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theme/theme1.xml" ContentType="application/vnd.openxmlformats-officedocument.theme+xml"/>
  <Override PartName="/xl/comments5.xml" ContentType="application/vnd.openxmlformats-officedocument.spreadsheetml.comments+xml"/>
  <Override PartName="/xl/comments15.xml" ContentType="application/vnd.openxmlformats-officedocument.spreadsheetml.comments+xml"/>
  <Override PartName="/xl/styles.xml" ContentType="application/vnd.openxmlformats-officedocument.spreadsheetml.styles+xml"/>
  <Override PartName="/xl/worksheets/_rels/sheet15.xml.rels" ContentType="application/vnd.openxmlformats-package.relationships+xml"/>
  <Override PartName="/xl/worksheets/_rels/sheet4.xml.rels" ContentType="application/vnd.openxmlformats-package.relationships+xml"/>
  <Override PartName="/xl/worksheets/_rels/sheet10.xml.rels" ContentType="application/vnd.openxmlformats-package.relationships+xml"/>
  <Override PartName="/xl/worksheets/_rels/sheet13.xml.rels" ContentType="application/vnd.openxmlformats-package.relationships+xml"/>
  <Override PartName="/xl/worksheets/_rels/sheet5.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_rels/externalLink7.xml.rels" ContentType="application/vnd.openxmlformats-package.relationships+xml"/>
  <Override PartName="/xl/externalLinks/_rels/externalLink6.xml.rels" ContentType="application/vnd.openxmlformats-package.relationships+xml"/>
  <Override PartName="/xl/externalLinks/_rels/externalLink5.xml.rels" ContentType="application/vnd.openxmlformats-package.relationships+xml"/>
  <Override PartName="/xl/externalLinks/_rels/externalLink4.xml.rels" ContentType="application/vnd.openxmlformats-package.relationships+xml"/>
  <Override PartName="/xl/externalLinks/_rels/externalLink3.xml.rels" ContentType="application/vnd.openxmlformats-package.relationships+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charts/chart1.xml" ContentType="application/vnd.openxmlformats-officedocument.drawingml.chart+xml"/>
  <Override PartName="/xl/sharedStrings.xml" ContentType="application/vnd.openxmlformats-officedocument.spreadsheetml.sharedStrings+xml"/>
  <Override PartName="/xl/ctrlProps/ctrlProps2.xml" ContentType="application/vnd.ms-excel.controlproperties+xml"/>
  <Override PartName="/xl/ctrlProps/ctrlProps3.xml" ContentType="application/vnd.ms-excel.controlproperties+xml"/>
  <Override PartName="/xl/comments10.xml" ContentType="application/vnd.openxmlformats-officedocument.spreadsheetml.comments+xml"/>
  <Override PartName="/xl/workbook.xml" ContentType="application/vnd.openxmlformats-officedocument.spreadsheetml.sheet.main+xml"/>
  <Override PartName="/xl/comments4.xml" ContentType="application/vnd.openxmlformats-officedocument.spreadsheetml.comment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4.xml" ContentType="application/vnd.openxmlformats-officedocument.drawing+xml"/>
  <Override PartName="/xl/drawings/vmlDrawing2.vml" ContentType="application/vnd.openxmlformats-officedocument.vmlDrawing"/>
  <Override PartName="/xl/drawings/vmlDrawing4.vml" ContentType="application/vnd.openxmlformats-officedocument.vmlDrawing"/>
  <Override PartName="/xl/drawings/_rels/drawing4.xml.rels" ContentType="application/vnd.openxmlformats-package.relationships+xml"/>
  <Override PartName="/xl/drawings/vmlDrawing5.vml" ContentType="application/vnd.openxmlformats-officedocument.vmlDrawing"/>
  <Override PartName="/xl/comments13.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monci" sheetId="1" state="hidden" r:id="rId3"/>
    <sheet name="Tracker" sheetId="2" state="visible" r:id="rId4"/>
    <sheet name="Value" sheetId="3" state="visible" r:id="rId5"/>
    <sheet name="Project Assumptions" sheetId="4" state="visible" r:id="rId6"/>
    <sheet name="PPA Assumptions &amp; Summary" sheetId="5" state="visible" r:id="rId7"/>
    <sheet name="Operations" sheetId="6" state="visible" r:id="rId8"/>
    <sheet name="Debt Amortization" sheetId="7" state="visible" r:id="rId9"/>
    <sheet name="Book Income Statement" sheetId="8" state="visible" r:id="rId10"/>
    <sheet name="Returns Summary" sheetId="9" state="visible" r:id="rId11"/>
    <sheet name="Cash Flow Statement" sheetId="10" state="visible" r:id="rId12"/>
    <sheet name="BS" sheetId="11" state="visible" r:id="rId13"/>
    <sheet name="Tax Calculations" sheetId="12" state="visible" r:id="rId14"/>
    <sheet name="Depreciation" sheetId="13" state="visible" r:id="rId15"/>
    <sheet name="Interest During Construction" sheetId="14" state="visible" r:id="rId16"/>
    <sheet name="Maintainance Reserves" sheetId="15" state="visible" r:id="rId17"/>
  </sheets>
  <externalReferences>
    <externalReference r:id="rId18"/>
    <externalReference r:id="rId19"/>
    <externalReference r:id="rId20"/>
    <externalReference r:id="rId21"/>
    <externalReference r:id="rId22"/>
    <externalReference r:id="rId23"/>
    <externalReference r:id="rId24"/>
  </externalReferences>
  <definedNames>
    <definedName function="false" hidden="false" localSheetId="7" name="_xlnm.Print_Area" vbProcedure="false">'Book Income Statement'!$B$1:$W$72</definedName>
    <definedName function="false" hidden="false" localSheetId="7" name="_xlnm.Print_Titles" vbProcedure="false">'Book Income Statement'!$B:$C</definedName>
    <definedName function="false" hidden="false" localSheetId="9" name="_xlnm.Print_Area" vbProcedure="false">'Cash Flow Statement'!$A$1:$W$44</definedName>
    <definedName function="false" hidden="false" localSheetId="9" name="_xlnm.Print_Titles" vbProcedure="false">'Cash Flow Statement'!$A:$C</definedName>
    <definedName function="false" hidden="false" localSheetId="6" name="_xlnm.Print_Area" vbProcedure="false">'Debt Amortization'!$A$1:$Y$56</definedName>
    <definedName function="false" hidden="false" localSheetId="6" name="_xlnm.Print_Titles" vbProcedure="false">'Debt Amortization'!$A:$C</definedName>
    <definedName function="false" hidden="false" localSheetId="12" name="_xlnm.Print_Area" vbProcedure="false">Depreciation!$A$1:$W$57</definedName>
    <definedName function="false" hidden="false" localSheetId="12" name="_xlnm.Print_Titles" vbProcedure="false">Depreciation!$A:$B</definedName>
    <definedName function="false" hidden="false" localSheetId="14" name="_xlnm.Print_Area" vbProcedure="false">'Maintainance Reserves'!$A$1:$W$34</definedName>
    <definedName function="false" hidden="false" localSheetId="14" name="_xlnm.Print_Titles" vbProcedure="false">'Maintainance Reserves'!$A:$B</definedName>
    <definedName function="false" hidden="false" localSheetId="5" name="_xlnm.Print_Area" vbProcedure="false">Operations!$A$1:$V$48</definedName>
    <definedName function="false" hidden="false" localSheetId="5" name="_xlnm.Print_Titles" vbProcedure="false">Operations!$A:$B</definedName>
    <definedName function="false" hidden="false" localSheetId="4" name="_xlnm.Print_Area" vbProcedure="false">'PPA Assumptions &amp; Summary'!$A$1:$V$76</definedName>
    <definedName function="false" hidden="false" localSheetId="4" name="_xlnm.Print_Titles" vbProcedure="false">'PPA Assumptions &amp; Summary'!$A:$B</definedName>
    <definedName function="false" hidden="false" localSheetId="3" name="_xlnm.Print_Area" vbProcedure="false">'Project Assumptions'!$A$2:$U$71</definedName>
    <definedName function="false" hidden="false" localSheetId="8" name="_xlnm.Print_Area" vbProcedure="false">'Returns Summary'!$A$1:$V$42</definedName>
    <definedName function="false" hidden="false" localSheetId="8" name="_xlnm.Print_Titles" vbProcedure="false">'Returns Summary'!$A:$B</definedName>
    <definedName function="false" hidden="false" localSheetId="11" name="_xlnm.Print_Area" vbProcedure="false">'Tax Calculations'!$A$1:$W$54</definedName>
    <definedName function="false" hidden="false" localSheetId="11" name="_xlnm.Print_Titles" vbProcedure="false">'Tax Calculations'!$A:$C</definedName>
    <definedName function="false" hidden="false" localSheetId="1" name="_xlnm.Print_Area" vbProcedure="false">Tracker!$A$2:$H$258</definedName>
    <definedName function="false" hidden="false" localSheetId="1" name="_xlnm.Print_Titles" vbProcedure="false">Tracker!$2:$6</definedName>
    <definedName function="false" hidden="false" name="AnnualHours" vbProcedure="false">'Project Assumptions'!$I$15</definedName>
    <definedName function="false" hidden="false" name="BI" vbProcedure="false">'Book Income Statement'!$B$1:$X$72</definedName>
    <definedName function="false" hidden="false" name="BS" vbProcedure="false">BS!$A$1:$V$45</definedName>
    <definedName function="false" hidden="false" name="BusnIInsr" vbProcedure="false">'Project Assumptions'!$N$30</definedName>
    <definedName function="false" hidden="false" name="Cap_Factor_Energy" vbProcedure="false">'Project Assumptions'!$I$24</definedName>
    <definedName function="false" hidden="false" name="CF" vbProcedure="false">'Cash Flow Statement'!$A$1:$AB$44</definedName>
    <definedName function="false" hidden="false" name="Cost_Start_Turbine" vbProcedure="false">'Project Assumptions'!$M$18</definedName>
    <definedName function="false" hidden="false" name="CountyAbatementRate" vbProcedure="false">'Project Assumptions'!$U$13</definedName>
    <definedName function="false" hidden="false" name="CountyAbatementTerm" vbProcedure="false">'Project Assumptions'!$U$12</definedName>
    <definedName function="false" hidden="false" name="CountyMillageRate" vbProcedure="false">'Project Assumptions'!$U$11</definedName>
    <definedName function="false" hidden="false" name="CountyTaxAbatementTerm" vbProcedure="false">'Project Assumptions'!$U$12</definedName>
    <definedName function="false" hidden="false" name="Debt" vbProcedure="false">'Debt Amortization'!$A$1:$Y$60</definedName>
    <definedName function="false" hidden="false" name="DebtTerm" vbProcedure="false">'Project Assumptions'!$I$40</definedName>
    <definedName function="false" hidden="false" name="Deg_Rate" vbProcedure="false">'Project Assumptions'!$F$12</definedName>
    <definedName function="false" hidden="false" name="Deprec" vbProcedure="false">Depreciation!$A$1:$X$57</definedName>
    <definedName function="false" hidden="false" name="Ebitda" vbProcedure="false">'Book Income Statement'!$B$61:$AB$61</definedName>
    <definedName function="false" hidden="false" name="Energy_Margin" vbProcedure="false">'Project Assumptions'!$F$24</definedName>
    <definedName function="false" hidden="false" name="Equity_Copy" vbProcedure="false">BS!$D$35:$X$35</definedName>
    <definedName function="false" hidden="false" name="Equity_Paste" vbProcedure="false">BS!$D$46:$X$46</definedName>
    <definedName function="false" hidden="false" name="EVAP_Date" vbProcedure="false">'Project Assumptions'!$G$11</definedName>
    <definedName function="false" hidden="false" name="FercMWh" vbProcedure="false">'Project Assumptions'!$N$9</definedName>
    <definedName function="false" hidden="false" name="Fixed" vbProcedure="false">'Project Assumptions'!$N$21</definedName>
    <definedName function="false" hidden="false" name="FracYr1" vbProcedure="false">'Project Assumptions'!$J$15</definedName>
    <definedName function="false" hidden="false" name="Fuel_Start" vbProcedure="false">'Project Assumptions'!$N$16</definedName>
    <definedName function="false" hidden="false" name="GRACE1" vbProcedure="false">'[5]Project Assumptions'!$F$36</definedName>
    <definedName function="false" hidden="false" name="GRACE2" vbProcedure="false">'[5]Project Assumptions'!$G$36</definedName>
    <definedName function="false" hidden="false" name="Grace3" vbProcedure="false">'[5]Project Assumptions'!$H$36</definedName>
    <definedName function="false" hidden="false" name="HeatRate" vbProcedure="false">'Project Assumptions'!$I$13</definedName>
    <definedName function="false" hidden="false" name="IDC" vbProcedure="false">'Interest During Construction'!$A$1:$H$59</definedName>
    <definedName function="false" hidden="false" name="Int1" vbProcedure="false">'Project Assumptions'!$F$41</definedName>
    <definedName function="false" hidden="false" name="Int2" vbProcedure="false">'Project Assumptions'!$G$41</definedName>
    <definedName function="false" hidden="false" name="Int3" vbProcedure="false">'Project Assumptions'!$H$41</definedName>
    <definedName function="false" hidden="false" name="InterestExpense" vbProcedure="false">'Debt Amortization'!$D$89:$AC$89</definedName>
    <definedName function="false" hidden="false" name="InterestIncome" vbProcedure="false">'Project Assumptions'!$U$21</definedName>
    <definedName function="false" hidden="false" name="ISO_MW" vbProcedure="false">'Project Assumptions'!$I$9</definedName>
    <definedName function="false" hidden="false" name="Labor" vbProcedure="false">'Project Assumptions'!$N$20</definedName>
    <definedName function="false" hidden="false" name="LiabInsr" vbProcedure="false">'Project Assumptions'!$N$29</definedName>
    <definedName function="false" hidden="false" name="Loan_Copy" vbProcedure="false">BS!$D$28:$X$28</definedName>
    <definedName function="false" hidden="false" name="Loan_Paste" vbProcedure="false">BS!$D$45:$X$45</definedName>
    <definedName function="false" hidden="false" name="Loop" vbProcedure="false">BS!$A$44</definedName>
    <definedName function="false" hidden="false" name="Main" vbProcedure="false">'Maintainance Reserves'!$A$1:$W$44</definedName>
    <definedName function="false" hidden="false" name="MainMWh" vbProcedure="false">'Project Assumptions'!$N$10</definedName>
    <definedName function="false" hidden="false" name="Maint_Accrual" vbProcedure="false">#REF!</definedName>
    <definedName function="false" hidden="false" name="Main_Escal" vbProcedure="false">'Project Assumptions'!$P$15</definedName>
    <definedName function="false" hidden="false" name="Main_Start" vbProcedure="false">'Project Assumptions'!$N$15</definedName>
    <definedName function="false" hidden="false" name="Main_Table" vbProcedure="false">'Maintainance Reserves'!$E$19:$J$44</definedName>
    <definedName function="false" hidden="false" name="NetMW" vbProcedure="false">'Project Assumptions'!$I$10</definedName>
    <definedName function="false" hidden="false" name="NetMW_New" vbProcedure="false">'Project Assumptions'!$I$11</definedName>
    <definedName function="false" hidden="false" name="OM_Escal" vbProcedure="false">'Project Assumptions'!$N$41</definedName>
    <definedName function="false" hidden="false" name="Opcostescalation" vbProcedure="false">'Project Assumptions'!$N$42</definedName>
    <definedName function="false" hidden="false" name="OpMachInsr" vbProcedure="false">'Project Assumptions'!$N$31</definedName>
    <definedName function="false" hidden="false" name="Ops" vbProcedure="false">Operations!$A$1:$W$48</definedName>
    <definedName function="false" hidden="false" name="PPA" vbProcedure="false">'PPA Assumptions &amp; Summary'!$A$1:$X$81</definedName>
    <definedName function="false" hidden="false" name="PPACAPACITY" vbProcedure="false">'Project Assumptions'!$I$28</definedName>
    <definedName function="false" hidden="false" name="PPAHours" vbProcedure="false">'Project Assumptions'!$I$29</definedName>
    <definedName function="false" hidden="false" name="PPAterm" vbProcedure="false">'Project Assumptions'!$F$27</definedName>
    <definedName function="false" hidden="false" name="PPA_Price" vbProcedure="false">'Project Assumptions'!$I$30</definedName>
    <definedName function="false" hidden="false" name="principal" vbProcedure="false">'Debt Amortization'!$D$90:$AC$90</definedName>
    <definedName function="false" hidden="false" name="Principal1" vbProcedure="false">'Project Assumptions'!$F$39</definedName>
    <definedName function="false" hidden="false" name="Principal2" vbProcedure="false">'Project Assumptions'!$G$39</definedName>
    <definedName function="false" hidden="false" name="Principal3" vbProcedure="false">'Project Assumptions'!$H$39</definedName>
    <definedName function="false" hidden="false" name="ProjectLife" vbProcedure="false">'Project Assumptions'!$I$16</definedName>
    <definedName function="false" hidden="false" name="Pro_Ass" vbProcedure="false">'Project Assumptions'!$A$1:$U$75</definedName>
    <definedName function="false" hidden="false" name="Returns" vbProcedure="false">'Returns Summary'!$A$1:$AA$42</definedName>
    <definedName function="false" hidden="false" name="s" vbProcedure="false">Tracker!$A$5:$X$11</definedName>
    <definedName function="false" hidden="false" name="SchoolAbatementRate" vbProcedure="false">'Project Assumptions'!$U$10</definedName>
    <definedName function="false" hidden="false" name="SchoolMillageRate" vbProcedure="false">'Project Assumptions'!$U$8</definedName>
    <definedName function="false" hidden="false" name="SchoolTaxAbatementTerm" vbProcedure="false">'Project Assumptions'!$U$9</definedName>
    <definedName function="false" hidden="false" name="StartDate" vbProcedure="false">'Project Assumptions'!$I$17</definedName>
    <definedName function="false" hidden="false" name="StartMWh" vbProcedure="false">#REF!</definedName>
    <definedName function="false" hidden="false" name="StartstoMajMaint" vbProcedure="false">#REF!</definedName>
    <definedName function="false" hidden="false" name="StartsYear" vbProcedure="false">'Project Assumptions'!$L$15</definedName>
    <definedName function="false" hidden="false" name="Tax" vbProcedure="false">'Tax Calculations'!$A$1:$AB$63</definedName>
    <definedName function="false" hidden="false" name="Term1" vbProcedure="false">'Project Assumptions'!$F$40</definedName>
    <definedName function="false" hidden="false" name="Term2" vbProcedure="false">'Project Assumptions'!$G$40</definedName>
    <definedName function="false" hidden="false" name="Term3" vbProcedure="false">'Project Assumptions'!$H$40</definedName>
    <definedName function="false" hidden="false" name="Variable" vbProcedure="false">'Project Assumptions'!$L$10</definedName>
    <definedName function="false" hidden="false" name="VariableMwh" vbProcedure="false">'Project Assumptions'!$N$11</definedName>
    <definedName function="false" hidden="false" name="VEP" vbProcedure="false">'Project Assumptions'!$F$22</definedName>
    <definedName function="false" hidden="false" name="VEP_ESCAL" vbProcedure="false">'Project Assumptions'!$I$22</definedName>
    <definedName function="false" hidden="false" name="WaterMWh" vbProcedure="false">'Project Assumptions'!$N$8</definedName>
    <definedName function="false" hidden="false" name="WaterOM" vbProcedure="false">'Project Assumptions'!$L$8</definedName>
    <definedName function="false" hidden="false" name="wrn_test1_" vbProcedure="false">{"Income Statement",#N/A,FALSE,"CFMODEL";"Balance Sheet",#N/A,FALSE,"CFMODEL"}</definedName>
    <definedName function="false" hidden="false" name="wrn_test2_" vbProcedure="false">{"SourcesUses",#N/A,TRUE,"CFMODEL";"TransOverview",#N/A,TRUE,"CFMODEL"}</definedName>
    <definedName function="false" hidden="false" name="wrn_test3_" vbProcedure="false">{"SourcesUses",#N/A,TRUE,#N/A;"TransOverview",#N/A,TRUE,"CFMODEL"}</definedName>
    <definedName function="false" hidden="false" name="wrn_test4_" vbProcedure="false">{"SourcesUses",#N/A,TRUE,"FundsFlow";"TransOverview",#N/A,TRUE,"FundsFlow"}</definedName>
    <definedName function="false" hidden="false" localSheetId="3" name="solver_adj" vbProcedure="false">'Project Assumptions'!$I$30</definedName>
    <definedName function="false" hidden="false" localSheetId="3" name="solver_cvg" vbProcedure="false">0.001</definedName>
    <definedName function="false" hidden="false" localSheetId="3" name="solver_drv" vbProcedure="false">1</definedName>
    <definedName function="false" hidden="false" localSheetId="3" name="solver_est" vbProcedure="false">1</definedName>
    <definedName function="false" hidden="false" localSheetId="3" name="solver_itr" vbProcedure="false">100</definedName>
    <definedName function="false" hidden="false" localSheetId="3" name="solver_lin" vbProcedure="false">2</definedName>
    <definedName function="false" hidden="false" localSheetId="3" name="solver_neg" vbProcedure="false">2</definedName>
    <definedName function="false" hidden="false" localSheetId="3" name="solver_num" vbProcedure="false">0</definedName>
    <definedName function="false" hidden="false" localSheetId="3" name="solver_nwt" vbProcedure="false">1</definedName>
    <definedName function="false" hidden="false" localSheetId="3" name="solver_opt" vbProcedure="false">'Project Assumptions'!$I$63</definedName>
    <definedName function="false" hidden="false" localSheetId="3" name="solver_pre" vbProcedure="false">0.000001</definedName>
    <definedName function="false" hidden="false" localSheetId="3" name="solver_scl" vbProcedure="false">2</definedName>
    <definedName function="false" hidden="false" localSheetId="3" name="solver_sho" vbProcedure="false">2</definedName>
    <definedName function="false" hidden="false" localSheetId="3" name="solver_tim" vbProcedure="false">100</definedName>
    <definedName function="false" hidden="false" localSheetId="3" name="solver_tol" vbProcedure="false">0.05</definedName>
    <definedName function="false" hidden="false" localSheetId="3" name="solver_typ" vbProcedure="false">3</definedName>
    <definedName function="false" hidden="false" localSheetId="3" name="solver_val" vbProcedure="false">0.12</definedName>
    <definedName function="false" hidden="false" localSheetId="3" name="Z_9D7575BF_255B_11D2_8267_00A0D1027254__wvu_PrintArea" vbProcedure="false">'Project Assumptions'!$A$1:$N$63</definedName>
    <definedName function="false" hidden="false" localSheetId="6" name="wrn_test1_" vbProcedure="false">{"Income Statement",#N/A,FALSE,"CFMODEL";"Balance Sheet",#N/A,FALSE,"CFMODEL"}</definedName>
    <definedName function="false" hidden="false" localSheetId="6" name="wrn_test2_" vbProcedure="false">{"SourcesUses",#N/A,TRUE,"CFMODEL";"TransOverview",#N/A,TRUE,"CFMODEL"}</definedName>
    <definedName function="false" hidden="false" localSheetId="6" name="wrn_test3_" vbProcedure="false">{"SourcesUses",#N/A,TRUE,#N/A;"TransOverview",#N/A,TRUE,"CFMODEL"}</definedName>
    <definedName function="false" hidden="false" localSheetId="6" name="wrn_test4_" vbProcedure="false">{"SourcesUses",#N/A,TRUE,"FundsFlow";"TransOverview",#N/A,TRUE,"FundsFlow"}</definedName>
    <definedName function="false" hidden="false" localSheetId="6" name="Z_9D7575BF_255B_11D2_8267_00A0D1027254__wvu_PrintTitles" vbProcedure="false">'Debt Amortization'!$A:$B</definedName>
    <definedName function="false" hidden="false" localSheetId="7" name="Z_9D7575BF_255B_11D2_8267_00A0D1027254__wvu_PrintArea" vbProcedure="false">'Book Income Statement'!$B$1:$AB$72</definedName>
    <definedName function="false" hidden="false" localSheetId="7" name="Z_9D7575BF_255B_11D2_8267_00A0D1027254__wvu_Rows" vbProcedure="false">'Book Income Statement'!$5:$8,#REF!</definedName>
    <definedName function="false" hidden="false" localSheetId="8" name="wrn_test1_" vbProcedure="false">{"Income Statement",#N/A,FALSE,"CFMODEL";"Balance Sheet",#N/A,FALSE,"CFMODEL"}</definedName>
    <definedName function="false" hidden="false" localSheetId="8" name="wrn_test2_" vbProcedure="false">{"SourcesUses",#N/A,TRUE,"CFMODEL";"TransOverview",#N/A,TRUE,"CFMODEL"}</definedName>
    <definedName function="false" hidden="false" localSheetId="8" name="wrn_test3_" vbProcedure="false">{"SourcesUses",#N/A,TRUE,#N/A;"TransOverview",#N/A,TRUE,"CFMODEL"}</definedName>
    <definedName function="false" hidden="false" localSheetId="8" name="wrn_test4_" vbProcedure="false">{"SourcesUses",#N/A,TRUE,"FundsFlow";"TransOverview",#N/A,TRUE,"FundsFlow"}</definedName>
    <definedName function="false" hidden="false" localSheetId="8" name="Z_9D7575BF_255B_11D2_8267_00A0D1027254__wvu_PrintArea" vbProcedure="false">'Returns Summary'!$C$1:$AA$37</definedName>
    <definedName function="false" hidden="false" localSheetId="9" name="Z_9D7575BF_255B_11D2_8267_00A0D1027254__wvu_PrintArea" vbProcedure="false">'Cash Flow Statement'!$D$1:$AB$36</definedName>
    <definedName function="false" hidden="false" localSheetId="13" name="Z_87D5054C_0AAC_11D2_824B_00A0D1027254__wvu_PrintArea" vbProcedure="false">'Interest During Construction'!$A$2:$H$64</definedName>
    <definedName function="false" hidden="false" localSheetId="14" name="wrn_test1_" vbProcedure="false">{"Income Statement",#N/A,FALSE,"CFMODEL";"Balance Sheet",#N/A,FALSE,"CFMODEL"}</definedName>
    <definedName function="false" hidden="false" localSheetId="14" name="wrn_test2_" vbProcedure="false">{"SourcesUses",#N/A,TRUE,"CFMODEL";"TransOverview",#N/A,TRUE,"CFMODEL"}</definedName>
    <definedName function="false" hidden="false" localSheetId="14" name="wrn_test3_" vbProcedure="false">{"SourcesUses",#N/A,TRUE,#N/A;"TransOverview",#N/A,TRUE,"CFMODEL"}</definedName>
    <definedName function="false" hidden="false" localSheetId="14" name="wrn_test4_" vbProcedure="false">{"SourcesUses",#N/A,TRUE,"FundsFlow";"TransOverview",#N/A,TRUE,"FundsFlow"}</definedName>
    <definedName function="false" hidden="false" localSheetId="14" name="Z_14FB3146_3CEF_11D2_B9CE_0060080D6A65__wvu_PrintArea" vbProcedure="false">'Maintainance Reserves'!$C$1:$AA$34</definedName>
    <definedName function="false" hidden="false" localSheetId="14" name="Z_14FB3146_3CEF_11D2_B9CE_0060080D6A65__wvu_PrintTitles" vbProcedure="false">'Maintainance Reserves'!$A:$B</definedName>
    <definedName function="false" hidden="false" localSheetId="14" name="Z_14FB3146_3CEF_11D2_B9CE_0060080D6A65__wvu_Rows" vbProcedure="false">'Maintainance Reserves'!$15:$15,'Maintainance Reserves'!$27:$34</definedName>
    <definedName function="false" hidden="false" localSheetId="14" name="Z_9D7575BF_255B_11D2_8267_00A0D1027254__wvu_PrintArea" vbProcedure="false">'Maintainance Reserves'!$C$1:$AA$34</definedName>
    <definedName function="false" hidden="false" localSheetId="14" name="Z_9D7575BF_255B_11D2_8267_00A0D1027254__wvu_PrintTitles" vbProcedure="false">'Maintainance Reserves'!$A:$B</definedName>
    <definedName function="false" hidden="false" localSheetId="14" name="Z_9D7575BF_255B_11D2_8267_00A0D1027254__wvu_Rows" vbProcedure="false">'Maintainance Reserves'!$15:$15,'Maintainance Reserves'!$27:$34</definedName>
  </definedNames>
  <calcPr iterateCount="100" refMode="A1" iterate="false" iterateDelta="0.001"/>
  <extLst>
    <ext xmlns:loext="http://schemas.libreoffice.org/" uri="{7626C862-2A13-11E5-B345-FEFF819CDC9F}">
      <loext:extCalcPr stringRefSyntax="CalcA1"/>
    </ext>
  </extLst>
</workbook>
</file>

<file path=xl/comments10.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37" authorId="0">
      <text>
        <r>
          <rPr>
            <b val="true"/>
            <sz val="8"/>
            <color rgb="FF000000"/>
            <rFont val="Tahoma"/>
            <family val="0"/>
          </rPr>
          <t xml:space="preserve">Sheetal J Bajoria x3-5692:
Cash payout Restricted to Net income.</t>
        </r>
      </text>
      <mc:AlternateContent>
        <mc:Choice Requires="v2">
          <commentPr autoFill="true" autoScale="false" colHidden="false" locked="false" rowHidden="false" textHAlign="justify" textVAlign="top">
            <anchor moveWithCells="false" sizeWithCells="false">
              <xdr:from>
                <xdr:col>2</xdr:col>
                <xdr:colOff>13</xdr:colOff>
                <xdr:row>35</xdr:row>
                <xdr:rowOff>4</xdr:rowOff>
              </xdr:from>
              <xdr:to>
                <xdr:col>4</xdr:col>
                <xdr:colOff>50</xdr:colOff>
                <xdr:row>39</xdr:row>
                <xdr:rowOff>15</xdr:rowOff>
              </xdr:to>
            </anchor>
          </commentPr>
        </mc:Choice>
        <mc:Fallback/>
      </mc:AlternateContent>
    </comment>
    <comment ref="E17" authorId="0">
      <text>
        <r>
          <rPr>
            <b val="true"/>
            <sz val="8"/>
            <color rgb="FF000000"/>
            <rFont val="Tahoma"/>
            <family val="0"/>
          </rPr>
          <t xml:space="preserve">Evap Coolers:
Neil S-C 5/5/99
</t>
        </r>
        <r>
          <rPr>
            <sz val="8"/>
            <color rgb="FF000000"/>
            <rFont val="Tahoma"/>
            <family val="2"/>
          </rPr>
          <t xml:space="preserve">Estimated at $400k to $500k per turbine according to Mike Miller and will use the more conservative until the numbers are firmed up.</t>
        </r>
      </text>
      <mc:AlternateContent>
        <mc:Choice Requires="v2">
          <commentPr autoFill="true" autoScale="false" colHidden="false" locked="false" rowHidden="false" textHAlign="justify" textVAlign="top">
            <anchor moveWithCells="false" sizeWithCells="false">
              <xdr:from>
                <xdr:col>5</xdr:col>
                <xdr:colOff>16</xdr:colOff>
                <xdr:row>9</xdr:row>
                <xdr:rowOff>14</xdr:rowOff>
              </xdr:from>
              <xdr:to>
                <xdr:col>9</xdr:col>
                <xdr:colOff>43</xdr:colOff>
                <xdr:row>19</xdr:row>
                <xdr:rowOff>17</xdr:rowOff>
              </xdr:to>
            </anchor>
          </commentPr>
        </mc:Choice>
        <mc:Fallback/>
      </mc:AlternateContent>
    </comment>
  </commentList>
</comments>
</file>

<file path=xl/comments1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36" authorId="0">
      <text>
        <r>
          <rPr>
            <b val="true"/>
            <sz val="8"/>
            <color rgb="FF000000"/>
            <rFont val="Tahoma"/>
            <family val="0"/>
          </rPr>
          <t xml:space="preserve">bgarret:
</t>
        </r>
        <r>
          <rPr>
            <sz val="8"/>
            <color rgb="FF000000"/>
            <rFont val="Tahoma"/>
            <family val="0"/>
          </rPr>
          <t xml:space="preserve">should vary with term of debt.
</t>
        </r>
      </text>
      <mc:AlternateContent>
        <mc:Choice Requires="v2">
          <commentPr autoFill="true" autoScale="false" colHidden="false" locked="false" rowHidden="false" textHAlign="justify" textVAlign="top">
            <anchor moveWithCells="false" sizeWithCells="false">
              <xdr:from>
                <xdr:col>2</xdr:col>
                <xdr:colOff>23</xdr:colOff>
                <xdr:row>33</xdr:row>
                <xdr:rowOff>6</xdr:rowOff>
              </xdr:from>
              <xdr:to>
                <xdr:col>4</xdr:col>
                <xdr:colOff>11</xdr:colOff>
                <xdr:row>37</xdr:row>
                <xdr:rowOff>15</xdr:rowOff>
              </xdr:to>
            </anchor>
          </commentPr>
        </mc:Choice>
        <mc:Fallback/>
      </mc:AlternateContent>
    </comment>
  </commentList>
</comments>
</file>

<file path=xl/comments1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2" authorId="0">
      <text>
        <r>
          <rPr>
            <b val="true"/>
            <sz val="8"/>
            <color rgb="FF000000"/>
            <rFont val="Tahoma"/>
            <family val="0"/>
          </rPr>
          <t xml:space="preserve">Cost Schedule:
</t>
        </r>
        <r>
          <rPr>
            <sz val="8"/>
            <color rgb="FF000000"/>
            <rFont val="Tahoma"/>
            <family val="2"/>
          </rPr>
          <t xml:space="preserve">This come directly from the OEC vender recommended cost schedules.</t>
        </r>
      </text>
      <mc:AlternateContent>
        <mc:Choice Requires="v2">
          <commentPr autoFill="true" autoScale="false" colHidden="false" locked="false" rowHidden="false" textHAlign="justify" textVAlign="top">
            <anchor moveWithCells="false" sizeWithCells="false">
              <xdr:from>
                <xdr:col>2</xdr:col>
                <xdr:colOff>0</xdr:colOff>
                <xdr:row>10</xdr:row>
                <xdr:rowOff>5</xdr:rowOff>
              </xdr:from>
              <xdr:to>
                <xdr:col>4</xdr:col>
                <xdr:colOff>1</xdr:colOff>
                <xdr:row>16</xdr:row>
                <xdr:rowOff>7</xdr:rowOff>
              </xdr:to>
            </anchor>
          </commentPr>
        </mc:Choice>
        <mc:Fallback/>
      </mc:AlternateContent>
    </comment>
    <comment ref="X7" authorId="0">
      <text>
        <r>
          <rPr>
            <b val="true"/>
            <sz val="8"/>
            <color rgb="FF000000"/>
            <rFont val="Tahoma"/>
            <family val="0"/>
          </rPr>
          <t xml:space="preserve">Sheetal J Bajoria x3-5692:
</t>
        </r>
        <r>
          <rPr>
            <sz val="8"/>
            <color rgb="FF000000"/>
            <rFont val="Tahoma"/>
            <family val="0"/>
          </rPr>
          <t xml:space="preserve">changed to 120 per year
</t>
        </r>
      </text>
      <mc:AlternateContent>
        <mc:Choice Requires="v2">
          <commentPr autoFill="true" autoScale="false" colHidden="false" locked="false" rowHidden="false" textHAlign="justify" textVAlign="top">
            <anchor moveWithCells="false" sizeWithCells="false">
              <xdr:from>
                <xdr:col>24</xdr:col>
                <xdr:colOff>26</xdr:colOff>
                <xdr:row>5</xdr:row>
                <xdr:rowOff>4</xdr:rowOff>
              </xdr:from>
              <xdr:to>
                <xdr:col>27</xdr:col>
                <xdr:colOff>3</xdr:colOff>
                <xdr:row>10</xdr:row>
                <xdr:rowOff>3</xdr:rowOff>
              </xdr:to>
            </anchor>
          </commentPr>
        </mc:Choice>
        <mc:Fallback/>
      </mc:AlternateContent>
    </comment>
    <comment ref="Y7" authorId="0">
      <text>
        <r>
          <rPr>
            <b val="true"/>
            <sz val="8"/>
            <color rgb="FF000000"/>
            <rFont val="Tahoma"/>
            <family val="0"/>
          </rPr>
          <t xml:space="preserve">Sheetal J Bajoria x3-5692:
</t>
        </r>
        <r>
          <rPr>
            <sz val="8"/>
            <color rgb="FF000000"/>
            <rFont val="Tahoma"/>
            <family val="0"/>
          </rPr>
          <t xml:space="preserve">changed to 120 per year
</t>
        </r>
      </text>
      <mc:AlternateContent>
        <mc:Choice Requires="v2">
          <commentPr autoFill="true" autoScale="false" colHidden="false" locked="false" rowHidden="false" textHAlign="justify" textVAlign="top">
            <anchor moveWithCells="false" sizeWithCells="false">
              <xdr:from>
                <xdr:col>25</xdr:col>
                <xdr:colOff>23</xdr:colOff>
                <xdr:row>5</xdr:row>
                <xdr:rowOff>4</xdr:rowOff>
              </xdr:from>
              <xdr:to>
                <xdr:col>27</xdr:col>
                <xdr:colOff>44</xdr:colOff>
                <xdr:row>10</xdr:row>
                <xdr:rowOff>3</xdr:rowOff>
              </xdr:to>
            </anchor>
          </commentPr>
        </mc:Choice>
        <mc:Fallback/>
      </mc:AlternateContent>
    </comment>
    <comment ref="Z7" authorId="0">
      <text>
        <r>
          <rPr>
            <b val="true"/>
            <sz val="8"/>
            <color rgb="FF000000"/>
            <rFont val="Tahoma"/>
            <family val="0"/>
          </rPr>
          <t xml:space="preserve">Sheetal J Bajoria x3-5692:
</t>
        </r>
        <r>
          <rPr>
            <sz val="8"/>
            <color rgb="FF000000"/>
            <rFont val="Tahoma"/>
            <family val="0"/>
          </rPr>
          <t xml:space="preserve">changed to 120 per year
</t>
        </r>
      </text>
      <mc:AlternateContent>
        <mc:Choice Requires="v2">
          <commentPr autoFill="true" autoScale="false" colHidden="false" locked="false" rowHidden="false" textHAlign="justify" textVAlign="top">
            <anchor moveWithCells="false" sizeWithCells="false">
              <xdr:from>
                <xdr:col>26</xdr:col>
                <xdr:colOff>23</xdr:colOff>
                <xdr:row>5</xdr:row>
                <xdr:rowOff>4</xdr:rowOff>
              </xdr:from>
              <xdr:to>
                <xdr:col>28</xdr:col>
                <xdr:colOff>41</xdr:colOff>
                <xdr:row>10</xdr:row>
                <xdr:rowOff>3</xdr:rowOff>
              </xdr:to>
            </anchor>
          </commentPr>
        </mc:Choice>
        <mc:Fallback/>
      </mc:AlternateContent>
    </comment>
    <comment ref="AA7" authorId="0">
      <text>
        <r>
          <rPr>
            <b val="true"/>
            <sz val="8"/>
            <color rgb="FF000000"/>
            <rFont val="Tahoma"/>
            <family val="0"/>
          </rPr>
          <t xml:space="preserve">Sheetal J Bajoria x3-5692:
</t>
        </r>
        <r>
          <rPr>
            <sz val="8"/>
            <color rgb="FF000000"/>
            <rFont val="Tahoma"/>
            <family val="0"/>
          </rPr>
          <t xml:space="preserve">changed to 120 per year
</t>
        </r>
      </text>
      <mc:AlternateContent>
        <mc:Choice Requires="v2">
          <commentPr autoFill="true" autoScale="false" colHidden="false" locked="false" rowHidden="false" textHAlign="justify" textVAlign="top">
            <anchor moveWithCells="false" sizeWithCells="false">
              <xdr:from>
                <xdr:col>27</xdr:col>
                <xdr:colOff>12</xdr:colOff>
                <xdr:row>5</xdr:row>
                <xdr:rowOff>4</xdr:rowOff>
              </xdr:from>
              <xdr:to>
                <xdr:col>29</xdr:col>
                <xdr:colOff>30</xdr:colOff>
                <xdr:row>10</xdr:row>
                <xdr:rowOff>3</xdr:rowOff>
              </xdr:to>
            </anchor>
          </commentPr>
        </mc:Choice>
        <mc:Fallback/>
      </mc:AlternateContent>
    </comment>
  </commentList>
</comments>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2" authorId="0">
      <text>
        <r>
          <rPr>
            <b val="true"/>
            <sz val="8"/>
            <color rgb="FF000000"/>
            <rFont val="Tahoma"/>
            <family val="0"/>
          </rPr>
          <t xml:space="preserve">Uses of Funds:
</t>
        </r>
        <r>
          <rPr>
            <sz val="8"/>
            <color rgb="FF000000"/>
            <rFont val="Tahoma"/>
            <family val="2"/>
          </rPr>
          <t xml:space="preserve">
All the costing information comes from the Control Budgets</t>
        </r>
      </text>
      <mc:AlternateContent>
        <mc:Choice Requires="v2">
          <commentPr autoFill="true" autoScale="false" colHidden="false" locked="false" rowHidden="false" textHAlign="justify" textVAlign="top">
            <anchor moveWithCells="false" sizeWithCells="false">
              <xdr:from>
                <xdr:col>1</xdr:col>
                <xdr:colOff>16</xdr:colOff>
                <xdr:row>10</xdr:row>
                <xdr:rowOff>6</xdr:rowOff>
              </xdr:from>
              <xdr:to>
                <xdr:col>3</xdr:col>
                <xdr:colOff>2</xdr:colOff>
                <xdr:row>13</xdr:row>
                <xdr:rowOff>22</xdr:rowOff>
              </xdr:to>
            </anchor>
          </commentPr>
        </mc:Choice>
        <mc:Fallback/>
      </mc:AlternateContent>
    </comment>
    <comment ref="B21" authorId="0">
      <text>
        <r>
          <rPr>
            <b val="true"/>
            <sz val="10"/>
            <color rgb="FF000000"/>
            <rFont val="Tahoma"/>
            <family val="2"/>
          </rPr>
          <t xml:space="preserve">SALES AND USE TAX ON EQUIPMENT
Sheetal J Bajoria x3-5692: jan 27,99
</t>
        </r>
        <r>
          <rPr>
            <sz val="10"/>
            <color rgb="FF000000"/>
            <rFont val="Tahoma"/>
            <family val="2"/>
          </rPr>
          <t xml:space="preserve">Verified $905,000 as per Capital Control Budget from Tammy Sheppard, Revision#11.
</t>
        </r>
        <r>
          <rPr>
            <b val="true"/>
            <sz val="10"/>
            <color rgb="FF000000"/>
            <rFont val="Tahoma"/>
            <family val="2"/>
          </rPr>
          <t xml:space="preserve"> However, Need to check Calculation w/ Patrick maloy because </t>
        </r>
        <r>
          <rPr>
            <sz val="10"/>
            <color rgb="FF000000"/>
            <rFont val="Tahoma"/>
            <family val="2"/>
          </rPr>
          <t xml:space="preserve">Per Memo from Patrick Maloy   (ECT multi-tax) to Ryan Tull, dated 5 June 98, re: MISSIPPI taxes:
</t>
        </r>
        <r>
          <rPr>
            <b val="true"/>
            <sz val="10"/>
            <color rgb="FF000000"/>
            <rFont val="Tahoma"/>
            <family val="2"/>
          </rPr>
          <t xml:space="preserve">-Tangible personal propery TPP is taxable at a rate of 7%. Machinery,
</t>
        </r>
        <r>
          <rPr>
            <sz val="10"/>
            <color rgb="FF000000"/>
            <rFont val="Tahoma"/>
            <family val="2"/>
          </rPr>
          <t xml:space="preserve">lease and rentals are subject to this tax.
-Therfore</t>
        </r>
        <r>
          <rPr>
            <b val="true"/>
            <sz val="10"/>
            <color rgb="FF000000"/>
            <rFont val="Tahoma"/>
            <family val="2"/>
          </rPr>
          <t xml:space="preserve">  the rate should be 7% and not .75% as it was on Jan 22,99.</t>
        </r>
      </text>
      <mc:AlternateContent>
        <mc:Choice Requires="v2">
          <commentPr autoFill="true" autoScale="false" colHidden="false" locked="false" rowHidden="false" textHAlign="justify" textVAlign="top">
            <anchor moveWithCells="false" sizeWithCells="false">
              <xdr:from>
                <xdr:col>0</xdr:col>
                <xdr:colOff>19</xdr:colOff>
                <xdr:row>0</xdr:row>
                <xdr:rowOff>9</xdr:rowOff>
              </xdr:from>
              <xdr:to>
                <xdr:col>1</xdr:col>
                <xdr:colOff>27</xdr:colOff>
                <xdr:row>16</xdr:row>
                <xdr:rowOff>14</xdr:rowOff>
              </xdr:to>
            </anchor>
          </commentPr>
        </mc:Choice>
        <mc:Fallback/>
      </mc:AlternateContent>
    </comment>
    <comment ref="B45" authorId="0">
      <text>
        <r>
          <rPr>
            <b val="true"/>
            <sz val="8"/>
            <color rgb="FF000000"/>
            <rFont val="Tahoma"/>
            <family val="0"/>
          </rPr>
          <t xml:space="preserve">IDC Rate:
Neil S-C: 5/28/99
</t>
        </r>
        <r>
          <rPr>
            <sz val="8"/>
            <color rgb="FF000000"/>
            <rFont val="Tahoma"/>
            <family val="2"/>
          </rPr>
          <t xml:space="preserve">On May 21 1999 the West LB loan was repaid and funding was continued from Enron Corp. at 6.5%
</t>
        </r>
        <r>
          <rPr>
            <b val="true"/>
            <sz val="8"/>
            <color rgb="FF000000"/>
            <rFont val="Tahoma"/>
            <family val="0"/>
          </rPr>
          <t xml:space="preserve">
Neil S-C: 2/16/99
</t>
        </r>
        <r>
          <rPr>
            <sz val="8"/>
            <color rgb="FF000000"/>
            <rFont val="Tahoma"/>
            <family val="2"/>
          </rPr>
          <t xml:space="preserve">
Enron Capital &amp; Trade Resources confirmation memo to Rodney Malcom for Swap Transaction Deal No. M140023</t>
        </r>
      </text>
      <mc:AlternateContent>
        <mc:Choice Requires="v2">
          <commentPr autoFill="true" autoScale="false" colHidden="false" locked="false" rowHidden="false" textHAlign="justify" textVAlign="top">
            <anchor moveWithCells="false" sizeWithCells="false">
              <xdr:from>
                <xdr:col>2</xdr:col>
                <xdr:colOff>16</xdr:colOff>
                <xdr:row>43</xdr:row>
                <xdr:rowOff>11</xdr:rowOff>
              </xdr:from>
              <xdr:to>
                <xdr:col>4</xdr:col>
                <xdr:colOff>131</xdr:colOff>
                <xdr:row>50</xdr:row>
                <xdr:rowOff>11</xdr:rowOff>
              </xdr:to>
            </anchor>
          </commentPr>
        </mc:Choice>
        <mc:Fallback/>
      </mc:AlternateContent>
    </comment>
    <comment ref="C21" authorId="0">
      <text>
        <r>
          <rPr>
            <b val="true"/>
            <sz val="10"/>
            <color rgb="FF000000"/>
            <rFont val="Tahoma"/>
            <family val="2"/>
          </rPr>
          <t xml:space="preserve">SALES AND USE TAX ON EQUIPMENT:
Neil S-C: 3/31/99
</t>
        </r>
        <r>
          <rPr>
            <sz val="10"/>
            <color rgb="FF000000"/>
            <rFont val="Tahoma"/>
            <family val="2"/>
          </rPr>
          <t xml:space="preserve">Verified with Control Budget Version #20
Neil S-C: 3/12/99
Pat Maloy believes this is understated.  There are applications in process to reduce our exposure so he can not give further direction at this time.
Neil S-C, x66527: 3/8/99
Verified with Capital Control Budget Dated March 1 99
Sheetal J Bajoria x3-5692: Jan 27,99
Verified as per Capital Control Budget from Tammy Sheppard, Revision#11.
However, Need to check Calculation w/ Patrick maloy.
Per Memo from Patrick Maloy to Ryan Tull, dated 5 june 98:
A Sales and Use tax of 1.5% is payable  on all raw material  (TPP_ tangible Personal property) that the company consumes to manufacture electricity (for utimate sale).
Tangible personal propery TPP is taxable at a rate of 7%. Machinery,
lease and rentals are subject to this tax.
</t>
        </r>
        <r>
          <rPr>
            <b val="true"/>
            <sz val="12"/>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4</xdr:col>
                <xdr:colOff>54</xdr:colOff>
                <xdr:row>4</xdr:row>
                <xdr:rowOff>11</xdr:rowOff>
              </xdr:from>
              <xdr:to>
                <xdr:col>8</xdr:col>
                <xdr:colOff>41</xdr:colOff>
                <xdr:row>22</xdr:row>
                <xdr:rowOff>9</xdr:rowOff>
              </xdr:to>
            </anchor>
          </commentPr>
        </mc:Choice>
        <mc:Fallback/>
      </mc:AlternateContent>
    </comment>
    <comment ref="C45" authorId="0">
      <text>
        <r>
          <rPr>
            <b val="true"/>
            <sz val="8"/>
            <color rgb="FF000000"/>
            <rFont val="Tahoma"/>
            <family val="0"/>
          </rPr>
          <t xml:space="preserve">IDC:
Neil S-C:
</t>
        </r>
        <r>
          <rPr>
            <sz val="8"/>
            <color rgb="FF000000"/>
            <rFont val="Tahoma"/>
            <family val="2"/>
          </rPr>
          <t xml:space="preserve">This model has an IDC sheet that can check this calculation.  Shelly May's group and the accountants are responsilbe for calculating this so it is input directly from the Control Budget.
</t>
        </r>
      </text>
      <mc:AlternateContent>
        <mc:Choice Requires="v2">
          <commentPr autoFill="true" autoScale="false" colHidden="false" locked="false" rowHidden="false" textHAlign="justify" textVAlign="top">
            <anchor moveWithCells="false" sizeWithCells="false">
              <xdr:from>
                <xdr:col>3</xdr:col>
                <xdr:colOff>13</xdr:colOff>
                <xdr:row>42</xdr:row>
                <xdr:rowOff>12</xdr:rowOff>
              </xdr:from>
              <xdr:to>
                <xdr:col>6</xdr:col>
                <xdr:colOff>37</xdr:colOff>
                <xdr:row>47</xdr:row>
                <xdr:rowOff>11</xdr:rowOff>
              </xdr:to>
            </anchor>
          </commentPr>
        </mc:Choice>
        <mc:Fallback/>
      </mc:AlternateContent>
    </comment>
    <comment ref="C50" authorId="0">
      <text>
        <r>
          <rPr>
            <b val="true"/>
            <sz val="8"/>
            <color rgb="FF000000"/>
            <rFont val="Tahoma"/>
            <family val="0"/>
          </rPr>
          <t xml:space="preserve">Total Uses:
Neil S-C:
</t>
        </r>
        <r>
          <rPr>
            <sz val="8"/>
            <color rgb="FF000000"/>
            <rFont val="Tahoma"/>
            <family val="2"/>
          </rPr>
          <t xml:space="preserve">All cost info is input off of the Control Budget generated by  Shelly May's team.  The individuals responsilble for each cost are also on the Drowdown schedule sent out by Shelly's group on a weekly basis.
</t>
        </r>
        <r>
          <rPr>
            <b val="true"/>
            <sz val="8"/>
            <color rgb="FF000000"/>
            <rFont val="Tahoma"/>
            <family val="0"/>
          </rPr>
          <t xml:space="preserve">The latest Version is # 28</t>
        </r>
      </text>
      <mc:AlternateContent>
        <mc:Choice Requires="v2">
          <commentPr autoFill="true" autoScale="false" colHidden="false" locked="false" rowHidden="false" textHAlign="justify" textVAlign="top">
            <anchor moveWithCells="false" sizeWithCells="false">
              <xdr:from>
                <xdr:col>3</xdr:col>
                <xdr:colOff>13</xdr:colOff>
                <xdr:row>44</xdr:row>
                <xdr:rowOff>9</xdr:rowOff>
              </xdr:from>
              <xdr:to>
                <xdr:col>5</xdr:col>
                <xdr:colOff>58</xdr:colOff>
                <xdr:row>52</xdr:row>
                <xdr:rowOff>7</xdr:rowOff>
              </xdr:to>
            </anchor>
          </commentPr>
        </mc:Choice>
        <mc:Fallback/>
      </mc:AlternateContent>
    </comment>
    <comment ref="E105" authorId="0">
      <text>
        <r>
          <rPr>
            <b val="true"/>
            <sz val="8"/>
            <color rgb="FF000000"/>
            <rFont val="Tahoma"/>
            <family val="0"/>
          </rPr>
          <t xml:space="preserve">Sheetal J Bajoria x3-5692:
</t>
        </r>
        <r>
          <rPr>
            <sz val="8"/>
            <color rgb="FF000000"/>
            <rFont val="Tahoma"/>
            <family val="0"/>
          </rPr>
          <t xml:space="preserve">Why have 6 months been used? The  plant runs for 7 months if commerical ops starts on Jun1.
</t>
        </r>
      </text>
      <mc:AlternateContent>
        <mc:Choice Requires="v2">
          <commentPr autoFill="true" autoScale="false" colHidden="false" locked="false" rowHidden="false" textHAlign="justify" textVAlign="top">
            <anchor moveWithCells="false" sizeWithCells="false">
              <xdr:from>
                <xdr:col>5</xdr:col>
                <xdr:colOff>38</xdr:colOff>
                <xdr:row>100</xdr:row>
                <xdr:rowOff>8</xdr:rowOff>
              </xdr:from>
              <xdr:to>
                <xdr:col>10</xdr:col>
                <xdr:colOff>70</xdr:colOff>
                <xdr:row>103</xdr:row>
                <xdr:rowOff>9</xdr:rowOff>
              </xdr:to>
            </anchor>
          </commentPr>
        </mc:Choice>
        <mc:Fallback/>
      </mc:AlternateContent>
    </comment>
    <comment ref="F39" authorId="0">
      <text>
        <r>
          <rPr>
            <b val="true"/>
            <sz val="8"/>
            <color rgb="FF000000"/>
            <rFont val="Tahoma"/>
            <family val="0"/>
          </rPr>
          <t xml:space="preserve">Tranche A:
</t>
        </r>
        <r>
          <rPr>
            <sz val="8"/>
            <color rgb="FF000000"/>
            <rFont val="Tahoma"/>
            <family val="2"/>
          </rPr>
          <t xml:space="preserve">
On a portfolio basis this tranche has 16.2% of the total debt.  See Consolidated Model</t>
        </r>
      </text>
      <mc:AlternateContent>
        <mc:Choice Requires="v2">
          <commentPr autoFill="true" autoScale="false" colHidden="false" locked="false" rowHidden="false" textHAlign="justify" textVAlign="top">
            <anchor moveWithCells="false" sizeWithCells="false">
              <xdr:from>
                <xdr:col>6</xdr:col>
                <xdr:colOff>16</xdr:colOff>
                <xdr:row>37</xdr:row>
                <xdr:rowOff>6</xdr:rowOff>
              </xdr:from>
              <xdr:to>
                <xdr:col>7</xdr:col>
                <xdr:colOff>68</xdr:colOff>
                <xdr:row>41</xdr:row>
                <xdr:rowOff>12</xdr:rowOff>
              </xdr:to>
            </anchor>
          </commentPr>
        </mc:Choice>
        <mc:Fallback/>
      </mc:AlternateContent>
    </comment>
    <comment ref="G39" authorId="0">
      <text>
        <r>
          <rPr>
            <b val="true"/>
            <sz val="8"/>
            <color rgb="FF000000"/>
            <rFont val="Tahoma"/>
            <family val="0"/>
          </rPr>
          <t xml:space="preserve">Tranche B:
</t>
        </r>
        <r>
          <rPr>
            <sz val="8"/>
            <color rgb="FF000000"/>
            <rFont val="Tahoma"/>
            <family val="2"/>
          </rPr>
          <t xml:space="preserve">
On a portfolio basis this tranche has 29.68% of the debt.  See the consolidated model.</t>
        </r>
      </text>
      <mc:AlternateContent>
        <mc:Choice Requires="v2">
          <commentPr autoFill="true" autoScale="false" colHidden="false" locked="false" rowHidden="false" textHAlign="justify" textVAlign="top">
            <anchor moveWithCells="false" sizeWithCells="false">
              <xdr:from>
                <xdr:col>7</xdr:col>
                <xdr:colOff>16</xdr:colOff>
                <xdr:row>37</xdr:row>
                <xdr:rowOff>6</xdr:rowOff>
              </xdr:from>
              <xdr:to>
                <xdr:col>8</xdr:col>
                <xdr:colOff>63</xdr:colOff>
                <xdr:row>41</xdr:row>
                <xdr:rowOff>12</xdr:rowOff>
              </xdr:to>
            </anchor>
          </commentPr>
        </mc:Choice>
        <mc:Fallback/>
      </mc:AlternateContent>
    </comment>
    <comment ref="H39" authorId="0">
      <text>
        <r>
          <rPr>
            <b val="true"/>
            <sz val="8"/>
            <color rgb="FF000000"/>
            <rFont val="Tahoma"/>
            <family val="0"/>
          </rPr>
          <t xml:space="preserve">Tranche C:
</t>
        </r>
        <r>
          <rPr>
            <sz val="8"/>
            <color rgb="FF000000"/>
            <rFont val="Tahoma"/>
            <family val="2"/>
          </rPr>
          <t xml:space="preserve">
On a portfolio basis this tranche has 54.19% of the total debt.  See consolidated model.</t>
        </r>
      </text>
      <mc:AlternateContent>
        <mc:Choice Requires="v2">
          <commentPr autoFill="true" autoScale="false" colHidden="false" locked="false" rowHidden="false" textHAlign="justify" textVAlign="top">
            <anchor moveWithCells="false" sizeWithCells="false">
              <xdr:from>
                <xdr:col>8</xdr:col>
                <xdr:colOff>16</xdr:colOff>
                <xdr:row>37</xdr:row>
                <xdr:rowOff>6</xdr:rowOff>
              </xdr:from>
              <xdr:to>
                <xdr:col>10</xdr:col>
                <xdr:colOff>36</xdr:colOff>
                <xdr:row>41</xdr:row>
                <xdr:rowOff>12</xdr:rowOff>
              </xdr:to>
            </anchor>
          </commentPr>
        </mc:Choice>
        <mc:Fallback/>
      </mc:AlternateContent>
    </comment>
    <comment ref="I7" authorId="0">
      <text>
        <r>
          <rPr>
            <b val="true"/>
            <sz val="8"/>
            <color rgb="FF000000"/>
            <rFont val="Tahoma"/>
            <family val="2"/>
          </rPr>
          <t xml:space="preserve">TURBINE TYPE
Bryan Garrett:
</t>
        </r>
        <r>
          <rPr>
            <sz val="8"/>
            <color rgb="FF000000"/>
            <rFont val="Tahoma"/>
            <family val="2"/>
          </rPr>
          <t xml:space="preserve">These are the machines that were previously slated for installation at the Fulton site.</t>
        </r>
      </text>
      <mc:AlternateContent>
        <mc:Choice Requires="v2">
          <commentPr autoFill="true" autoScale="false" colHidden="false" locked="false" rowHidden="false" textHAlign="justify" textVAlign="top">
            <anchor moveWithCells="false" sizeWithCells="false">
              <xdr:from>
                <xdr:col>7</xdr:col>
                <xdr:colOff>33</xdr:colOff>
                <xdr:row>1</xdr:row>
                <xdr:rowOff>11</xdr:rowOff>
              </xdr:from>
              <xdr:to>
                <xdr:col>9</xdr:col>
                <xdr:colOff>31</xdr:colOff>
                <xdr:row>4</xdr:row>
                <xdr:rowOff>13</xdr:rowOff>
              </xdr:to>
            </anchor>
          </commentPr>
        </mc:Choice>
        <mc:Fallback/>
      </mc:AlternateContent>
    </comment>
    <comment ref="I10" authorId="0">
      <text>
        <r>
          <rPr>
            <b val="true"/>
            <sz val="10"/>
            <color rgb="FF000000"/>
            <rFont val="Tahoma"/>
            <family val="2"/>
          </rPr>
          <t xml:space="preserve">NET MW 
Sheetal J Bajoria x3-5692
</t>
        </r>
        <r>
          <rPr>
            <sz val="10"/>
            <color rgb="FF000000"/>
            <rFont val="Tahoma"/>
            <family val="2"/>
          </rPr>
          <t xml:space="preserve">2/2/99: Per Azim Javin EE&amp;CC: 
Changed to 443.58
</t>
        </r>
        <r>
          <rPr>
            <b val="true"/>
            <sz val="10"/>
            <color rgb="FF000000"/>
            <rFont val="Tahoma"/>
            <family val="2"/>
          </rPr>
          <t xml:space="preserve">
</t>
        </r>
        <r>
          <rPr>
            <sz val="10"/>
            <color rgb="FF000000"/>
            <rFont val="Tahoma"/>
            <family val="2"/>
          </rPr>
          <t xml:space="preserve">
jan 27, 99:
Changed Heat rate from 12,110 to 11,834, and   changed MW from 450 (which was calculated as 6*75) to 445.7 by subtracting the balance amt. of MW.
WRT to document from Mike Nanny (EE&amp;CC) dated 12/17/98. 445.7 is the MW number associated with 11,834 heat rate which represents the Net Heat Rate, Btu/Kwh HHV at a 90 degree ambient temperature.
</t>
        </r>
      </text>
      <mc:AlternateContent>
        <mc:Choice Requires="v2">
          <commentPr autoFill="true" autoScale="false" colHidden="false" locked="false" rowHidden="false" textHAlign="justify" textVAlign="top">
            <anchor moveWithCells="false" sizeWithCells="false">
              <xdr:from>
                <xdr:col>10</xdr:col>
                <xdr:colOff>43</xdr:colOff>
                <xdr:row>12</xdr:row>
                <xdr:rowOff>18</xdr:rowOff>
              </xdr:from>
              <xdr:to>
                <xdr:col>12</xdr:col>
                <xdr:colOff>56</xdr:colOff>
                <xdr:row>40</xdr:row>
                <xdr:rowOff>6</xdr:rowOff>
              </xdr:to>
            </anchor>
          </commentPr>
        </mc:Choice>
        <mc:Fallback/>
      </mc:AlternateContent>
    </comment>
    <comment ref="I13" authorId="0">
      <text>
        <r>
          <rPr>
            <b val="true"/>
            <sz val="10"/>
            <color rgb="FF000000"/>
            <rFont val="Tahoma"/>
            <family val="2"/>
          </rPr>
          <t xml:space="preserve">HEAT RATE
Sheetal J Bajoria x3-5692 
</t>
        </r>
        <r>
          <rPr>
            <sz val="10"/>
            <color rgb="FF000000"/>
            <rFont val="Tahoma"/>
            <family val="2"/>
          </rPr>
          <t xml:space="preserve">2/2/99: Azim Javin EE&amp;CC dated 2/1/99: changed to 12007
</t>
        </r>
        <r>
          <rPr>
            <b val="true"/>
            <sz val="10"/>
            <color rgb="FF000000"/>
            <rFont val="Tahoma"/>
            <family val="2"/>
          </rPr>
          <t xml:space="preserve">
</t>
        </r>
        <r>
          <rPr>
            <sz val="10"/>
            <color rgb="FF000000"/>
            <rFont val="Tahoma"/>
            <family val="2"/>
          </rPr>
          <t xml:space="preserve">jan 27, 99:
changed from 12,110 to 11,834 wrt to document from Mike Nanny (EE&amp;CC) dated 12/17/98. 11,834 represents the Net Heat Rate, Btu/kWh HHV at a 90 degree ambient temperature.
</t>
        </r>
      </text>
      <mc:AlternateContent>
        <mc:Choice Requires="v2">
          <commentPr autoFill="true" autoScale="false" colHidden="false" locked="false" rowHidden="false" textHAlign="justify" textVAlign="top">
            <anchor moveWithCells="false" sizeWithCells="false">
              <xdr:from>
                <xdr:col>5</xdr:col>
                <xdr:colOff>22</xdr:colOff>
                <xdr:row>7</xdr:row>
                <xdr:rowOff>1</xdr:rowOff>
              </xdr:from>
              <xdr:to>
                <xdr:col>8</xdr:col>
                <xdr:colOff>28</xdr:colOff>
                <xdr:row>19</xdr:row>
                <xdr:rowOff>4</xdr:rowOff>
              </xdr:to>
            </anchor>
          </commentPr>
        </mc:Choice>
        <mc:Fallback/>
      </mc:AlternateContent>
    </comment>
    <comment ref="I15" authorId="0">
      <text>
        <r>
          <rPr>
            <b val="true"/>
            <sz val="10"/>
            <color rgb="FF000000"/>
            <rFont val="Tahoma"/>
            <family val="2"/>
          </rPr>
          <t xml:space="preserve">ANNUAL HOURS
Sheetal J Bajoria x3-5692:</t>
        </r>
        <r>
          <rPr>
            <sz val="10"/>
            <color rgb="FF000000"/>
            <rFont val="Tahoma"/>
            <family val="2"/>
          </rPr>
          <t xml:space="preserve"> 
STILL DOES NOT ACCOUNT FOR START UP EMISSIONS.
28/1/99- wrt Conversation with Kevin Presto and Rodney Malcolm: this will change when start up fuel is accounted for.
We may/not apply for  a repermit as the current permit did not account for start up fuel. - see Rodney for details.
27/1/99: was 1200, changed to 1378 per calculated below: 
Caldedonia is permitted for 248 Tons/ year of Nox emissions.
So: [248 * 2000 Lbs/Ton /6 for six machines /60] - a factor for conversion, lbs/hr,  guaranteed by the OEM.(49 is the number stated in GE Combustion performance datasheet for 7 EA. However, this plant has gas heaters and hence a higher factor of 60 was used)  =1377.7778.
</t>
        </r>
      </text>
      <mc:AlternateContent>
        <mc:Choice Requires="v2">
          <commentPr autoFill="true" autoScale="false" colHidden="false" locked="false" rowHidden="false" textHAlign="justify" textVAlign="top">
            <anchor moveWithCells="false" sizeWithCells="false">
              <xdr:from>
                <xdr:col>9</xdr:col>
                <xdr:colOff>5</xdr:colOff>
                <xdr:row>8</xdr:row>
                <xdr:rowOff>7</xdr:rowOff>
              </xdr:from>
              <xdr:to>
                <xdr:col>13</xdr:col>
                <xdr:colOff>66</xdr:colOff>
                <xdr:row>25</xdr:row>
                <xdr:rowOff>8</xdr:rowOff>
              </xdr:to>
            </anchor>
          </commentPr>
        </mc:Choice>
        <mc:Fallback/>
      </mc:AlternateContent>
    </comment>
    <comment ref="I31" authorId="0">
      <text>
        <r>
          <rPr>
            <b val="true"/>
            <sz val="8"/>
            <color rgb="FF000000"/>
            <rFont val="Tahoma"/>
            <family val="0"/>
          </rPr>
          <t xml:space="preserve">CAPACITY RATE ESCALATION
Sheetal J Bajoria x3-5692:
</t>
        </r>
        <r>
          <rPr>
            <sz val="8"/>
            <color rgb="FF000000"/>
            <rFont val="Tahoma"/>
            <family val="0"/>
          </rPr>
          <t xml:space="preserve">2/2/99 not wired properly, check before using</t>
        </r>
      </text>
      <mc:AlternateContent>
        <mc:Choice Requires="v2">
          <commentPr autoFill="true" autoScale="false" colHidden="false" locked="false" rowHidden="false" textHAlign="justify" textVAlign="top">
            <anchor moveWithCells="false" sizeWithCells="false">
              <xdr:from>
                <xdr:col>9</xdr:col>
                <xdr:colOff>4</xdr:colOff>
                <xdr:row>24</xdr:row>
                <xdr:rowOff>1</xdr:rowOff>
              </xdr:from>
              <xdr:to>
                <xdr:col>10</xdr:col>
                <xdr:colOff>105</xdr:colOff>
                <xdr:row>27</xdr:row>
                <xdr:rowOff>16</xdr:rowOff>
              </xdr:to>
            </anchor>
          </commentPr>
        </mc:Choice>
        <mc:Fallback/>
      </mc:AlternateContent>
    </comment>
    <comment ref="I35" authorId="0">
      <text>
        <r>
          <rPr>
            <b val="true"/>
            <sz val="8"/>
            <color rgb="FF000000"/>
            <rFont val="Tahoma"/>
            <family val="0"/>
          </rPr>
          <t xml:space="preserve">DEBT SELECTOR: NORMAL OR ALTERNATE
</t>
        </r>
        <r>
          <rPr>
            <sz val="8"/>
            <color rgb="FF000000"/>
            <rFont val="Tahoma"/>
            <family val="2"/>
          </rPr>
          <t xml:space="preserve">
The Alternate choice is built off of the CSFB debt terms.</t>
        </r>
      </text>
      <mc:AlternateContent>
        <mc:Choice Requires="v2">
          <commentPr autoFill="true" autoScale="false" colHidden="false" locked="false" rowHidden="false" textHAlign="justify" textVAlign="top">
            <anchor moveWithCells="false" sizeWithCells="false">
              <xdr:from>
                <xdr:col>8</xdr:col>
                <xdr:colOff>26</xdr:colOff>
                <xdr:row>37</xdr:row>
                <xdr:rowOff>8</xdr:rowOff>
              </xdr:from>
              <xdr:to>
                <xdr:col>11</xdr:col>
                <xdr:colOff>6</xdr:colOff>
                <xdr:row>44</xdr:row>
                <xdr:rowOff>22</xdr:rowOff>
              </xdr:to>
            </anchor>
          </commentPr>
        </mc:Choice>
        <mc:Fallback/>
      </mc:AlternateContent>
    </comment>
    <comment ref="I39" authorId="0">
      <text>
        <r>
          <rPr>
            <b val="true"/>
            <sz val="8"/>
            <color rgb="FF000000"/>
            <rFont val="Tahoma"/>
            <family val="0"/>
          </rPr>
          <t xml:space="preserve">Debt:
</t>
        </r>
        <r>
          <rPr>
            <sz val="8"/>
            <color rgb="FF000000"/>
            <rFont val="Tahoma"/>
            <family val="2"/>
          </rPr>
          <t xml:space="preserve">
This has been backed into assuming that the portfolio will be leveraged 75%.</t>
        </r>
      </text>
      <mc:AlternateContent>
        <mc:Choice Requires="v2">
          <commentPr autoFill="true" autoScale="false" colHidden="false" locked="false" rowHidden="false" textHAlign="justify" textVAlign="top">
            <anchor moveWithCells="false" sizeWithCells="false">
              <xdr:from>
                <xdr:col>9</xdr:col>
                <xdr:colOff>16</xdr:colOff>
                <xdr:row>37</xdr:row>
                <xdr:rowOff>6</xdr:rowOff>
              </xdr:from>
              <xdr:to>
                <xdr:col>10</xdr:col>
                <xdr:colOff>115</xdr:colOff>
                <xdr:row>41</xdr:row>
                <xdr:rowOff>12</xdr:rowOff>
              </xdr:to>
            </anchor>
          </commentPr>
        </mc:Choice>
        <mc:Fallback/>
      </mc:AlternateContent>
    </comment>
    <comment ref="I70" authorId="0">
      <text>
        <r>
          <rPr>
            <b val="true"/>
            <sz val="8"/>
            <color rgb="FF000000"/>
            <rFont val="Tahoma"/>
            <family val="0"/>
          </rPr>
          <t xml:space="preserve">AFTER TAX NPV
Sheetal J Bajoria x3-5692:
</t>
        </r>
        <r>
          <rPr>
            <sz val="8"/>
            <color rgb="FF000000"/>
            <rFont val="Tahoma"/>
            <family val="0"/>
          </rPr>
          <t xml:space="preserve">2/10/99 uses all after tax cash flow. Not restricted by Net Income.  Balance sheet/Retained Earnings will need to be corrected.
</t>
        </r>
      </text>
      <mc:AlternateContent>
        <mc:Choice Requires="v2">
          <commentPr autoFill="true" autoScale="false" colHidden="false" locked="false" rowHidden="false" textHAlign="justify" textVAlign="top">
            <anchor moveWithCells="false" sizeWithCells="false">
              <xdr:from>
                <xdr:col>9</xdr:col>
                <xdr:colOff>4</xdr:colOff>
                <xdr:row>62</xdr:row>
                <xdr:rowOff>27</xdr:rowOff>
              </xdr:from>
              <xdr:to>
                <xdr:col>10</xdr:col>
                <xdr:colOff>104</xdr:colOff>
                <xdr:row>66</xdr:row>
                <xdr:rowOff>14</xdr:rowOff>
              </xdr:to>
            </anchor>
          </commentPr>
        </mc:Choice>
        <mc:Fallback/>
      </mc:AlternateContent>
    </comment>
    <comment ref="K66" authorId="0">
      <text>
        <r>
          <rPr>
            <b val="true"/>
            <sz val="8"/>
            <color rgb="FF000000"/>
            <rFont val="Tahoma"/>
            <family val="0"/>
          </rPr>
          <t xml:space="preserve">SALES AND USE TAX TO ULTIMATE CONSUMER:
Sheetal J Bajoria x3-5692, Jan 27,99:
Per Memo from Patrick Maloy to Ryan Tull, dated 5 june 98:
</t>
        </r>
        <r>
          <rPr>
            <sz val="8"/>
            <color rgb="FF000000"/>
            <rFont val="Tahoma"/>
            <family val="0"/>
          </rPr>
          <t xml:space="preserve">
was Called State Utility Gross Receipts tax. Now changed to Sales and Use tax as per memo.</t>
        </r>
      </text>
      <mc:AlternateContent>
        <mc:Choice Requires="v2">
          <commentPr autoFill="true" autoScale="false" colHidden="false" locked="false" rowHidden="false" textHAlign="justify" textVAlign="top">
            <anchor moveWithCells="false" sizeWithCells="false">
              <xdr:from>
                <xdr:col>8</xdr:col>
                <xdr:colOff>52</xdr:colOff>
                <xdr:row>57</xdr:row>
                <xdr:rowOff>11</xdr:rowOff>
              </xdr:from>
              <xdr:to>
                <xdr:col>10</xdr:col>
                <xdr:colOff>68</xdr:colOff>
                <xdr:row>65</xdr:row>
                <xdr:rowOff>15</xdr:rowOff>
              </xdr:to>
            </anchor>
          </commentPr>
        </mc:Choice>
        <mc:Fallback/>
      </mc:AlternateContent>
    </comment>
    <comment ref="K67" authorId="0">
      <text>
        <r>
          <rPr>
            <b val="true"/>
            <sz val="8"/>
            <color rgb="FF000000"/>
            <rFont val="Tahoma"/>
            <family val="0"/>
          </rPr>
          <t xml:space="preserve">SALES AND USE TAX ON SALES TO EPMI:
Sheetal J Bajoria x3-5692, Jan 27,99:
Per Memo from Patrick Maloy to Ryan Tull, dated 5 june 98:
</t>
        </r>
        <r>
          <rPr>
            <sz val="8"/>
            <color rgb="FF000000"/>
            <rFont val="Tahoma"/>
            <family val="0"/>
          </rPr>
          <t xml:space="preserve">
was Called State Utility Gross Receipts tax. Now changed to Sales and Use tax as per memo.</t>
        </r>
      </text>
      <mc:AlternateContent>
        <mc:Choice Requires="v2">
          <commentPr autoFill="true" autoScale="false" colHidden="false" locked="false" rowHidden="false" textHAlign="justify" textVAlign="top">
            <anchor moveWithCells="false" sizeWithCells="false">
              <xdr:from>
                <xdr:col>11</xdr:col>
                <xdr:colOff>22</xdr:colOff>
                <xdr:row>62</xdr:row>
                <xdr:rowOff>1</xdr:rowOff>
              </xdr:from>
              <xdr:to>
                <xdr:col>12</xdr:col>
                <xdr:colOff>20</xdr:colOff>
                <xdr:row>74</xdr:row>
                <xdr:rowOff>6</xdr:rowOff>
              </xdr:to>
            </anchor>
          </commentPr>
        </mc:Choice>
        <mc:Fallback/>
      </mc:AlternateContent>
    </comment>
    <comment ref="L7" authorId="0">
      <text>
        <r>
          <rPr>
            <b val="true"/>
            <sz val="8"/>
            <color rgb="FF000000"/>
            <rFont val="Tahoma"/>
            <family val="0"/>
          </rPr>
          <t xml:space="preserve">Variable O&amp;M Hours
Neil S-C: 2/16/99
</t>
        </r>
        <r>
          <rPr>
            <sz val="8"/>
            <color rgb="FF000000"/>
            <rFont val="Tahoma"/>
            <family val="2"/>
          </rPr>
          <t xml:space="preserve">I have left 1200 here as the estimates were done on this run time.  Rodney had asked why this was different than the Operating Hours., which the expense calc's are based on.</t>
        </r>
      </text>
      <mc:AlternateContent>
        <mc:Choice Requires="v2">
          <commentPr autoFill="true" autoScale="false" colHidden="false" locked="false" rowHidden="false" textHAlign="justify" textVAlign="top">
            <anchor moveWithCells="false" sizeWithCells="false">
              <xdr:from>
                <xdr:col>12</xdr:col>
                <xdr:colOff>10</xdr:colOff>
                <xdr:row>5</xdr:row>
                <xdr:rowOff>11</xdr:rowOff>
              </xdr:from>
              <xdr:to>
                <xdr:col>15</xdr:col>
                <xdr:colOff>59</xdr:colOff>
                <xdr:row>9</xdr:row>
                <xdr:rowOff>12</xdr:rowOff>
              </xdr:to>
            </anchor>
          </commentPr>
        </mc:Choice>
        <mc:Fallback/>
      </mc:AlternateContent>
    </comment>
    <comment ref="L8" authorId="0">
      <text>
        <r>
          <rPr>
            <b val="true"/>
            <sz val="8"/>
            <color rgb="FF000000"/>
            <rFont val="Tahoma"/>
            <family val="0"/>
          </rPr>
          <t xml:space="preserve">WATER O&amp;M VARIABLE
</t>
        </r>
        <r>
          <rPr>
            <sz val="8"/>
            <color rgb="FF000000"/>
            <rFont val="Tahoma"/>
            <family val="2"/>
          </rPr>
          <t xml:space="preserve">2/10/99 reformatted water to match Rodney's format requirements
</t>
        </r>
        <r>
          <rPr>
            <b val="true"/>
            <sz val="8"/>
            <color rgb="FF000000"/>
            <rFont val="Tahoma"/>
            <family val="0"/>
          </rPr>
          <t xml:space="preserve">Sheetal J Bajoria x3-5692, 1/27/99:
</t>
        </r>
        <r>
          <rPr>
            <sz val="8"/>
            <color rgb="FF000000"/>
            <rFont val="Tahoma"/>
            <family val="2"/>
          </rPr>
          <t xml:space="preserve">SE Peaking power projects, O&amp;M Estimates, D Ehler,  B Scmitt, dated 1/22/99: -was 445. Changed to 445600/1000.
</t>
        </r>
        <r>
          <rPr>
            <sz val="8"/>
            <color rgb="FF000000"/>
            <rFont val="Tahoma"/>
            <family val="0"/>
          </rPr>
          <t xml:space="preserve">Was a "fixed" type estimate based on1200 hours that did not change with a change in MW or hours. Rewired to allow that kind of variation.</t>
        </r>
      </text>
      <mc:AlternateContent>
        <mc:Choice Requires="v2">
          <commentPr autoFill="true" autoScale="false" colHidden="false" locked="false" rowHidden="false" textHAlign="justify" textVAlign="top">
            <anchor moveWithCells="false" sizeWithCells="false">
              <xdr:from>
                <xdr:col>13</xdr:col>
                <xdr:colOff>37</xdr:colOff>
                <xdr:row>6</xdr:row>
                <xdr:rowOff>8</xdr:rowOff>
              </xdr:from>
              <xdr:to>
                <xdr:col>22</xdr:col>
                <xdr:colOff>1</xdr:colOff>
                <xdr:row>9</xdr:row>
                <xdr:rowOff>12</xdr:rowOff>
              </xdr:to>
            </anchor>
          </commentPr>
        </mc:Choice>
        <mc:Fallback/>
      </mc:AlternateContent>
    </comment>
    <comment ref="L10" authorId="0">
      <text>
        <r>
          <rPr>
            <b val="true"/>
            <sz val="8"/>
            <color rgb="FF000000"/>
            <rFont val="Tahoma"/>
            <family val="0"/>
          </rPr>
          <t xml:space="preserve">VARIABLE O&amp;M MAINTENANCE
Sheetal J Bajoria x3-5692, 1/27/99:
</t>
        </r>
        <r>
          <rPr>
            <sz val="8"/>
            <color rgb="FF000000"/>
            <rFont val="Tahoma"/>
            <family val="2"/>
          </rPr>
          <t xml:space="preserve">SE Peaking power projects, O&amp;M Estimates, D Ehler,  B Scmitt, dated 1/22/99: -was 445. Changed to 445600/1000.
</t>
        </r>
        <r>
          <rPr>
            <sz val="8"/>
            <color rgb="FF000000"/>
            <rFont val="Tahoma"/>
            <family val="0"/>
          </rPr>
          <t xml:space="preserve">Was a "fixed" type estimate based on1200 hours that did not change with a change in MW or hours. Rewired to allow that kind of variation.</t>
        </r>
      </text>
      <mc:AlternateContent>
        <mc:Choice Requires="v2">
          <commentPr autoFill="true" autoScale="false" colHidden="false" locked="false" rowHidden="false" textHAlign="justify" textVAlign="top">
            <anchor moveWithCells="false" sizeWithCells="false">
              <xdr:from>
                <xdr:col>9</xdr:col>
                <xdr:colOff>16</xdr:colOff>
                <xdr:row>4</xdr:row>
                <xdr:rowOff>1</xdr:rowOff>
              </xdr:from>
              <xdr:to>
                <xdr:col>16</xdr:col>
                <xdr:colOff>30</xdr:colOff>
                <xdr:row>6</xdr:row>
                <xdr:rowOff>28</xdr:rowOff>
              </xdr:to>
            </anchor>
          </commentPr>
        </mc:Choice>
        <mc:Fallback/>
      </mc:AlternateContent>
    </comment>
    <comment ref="M8" authorId="0">
      <text>
        <r>
          <rPr>
            <b val="true"/>
            <sz val="8"/>
            <color rgb="FF000000"/>
            <rFont val="Tahoma"/>
            <family val="0"/>
          </rPr>
          <t xml:space="preserve">Variable O&amp;M MW's
Neil S-C: 2/16/99
</t>
        </r>
        <r>
          <rPr>
            <sz val="8"/>
            <color rgb="FF000000"/>
            <rFont val="Tahoma"/>
            <family val="2"/>
          </rPr>
          <t xml:space="preserve">OEC cost estimate</t>
        </r>
      </text>
      <mc:AlternateContent>
        <mc:Choice Requires="v2">
          <commentPr autoFill="true" autoScale="false" colHidden="false" locked="false" rowHidden="false" textHAlign="justify" textVAlign="top">
            <anchor moveWithCells="false" sizeWithCells="false">
              <xdr:from>
                <xdr:col>13</xdr:col>
                <xdr:colOff>25</xdr:colOff>
                <xdr:row>6</xdr:row>
                <xdr:rowOff>8</xdr:rowOff>
              </xdr:from>
              <xdr:to>
                <xdr:col>15</xdr:col>
                <xdr:colOff>14</xdr:colOff>
                <xdr:row>9</xdr:row>
                <xdr:rowOff>12</xdr:rowOff>
              </xdr:to>
            </anchor>
          </commentPr>
        </mc:Choice>
        <mc:Fallback/>
      </mc:AlternateContent>
    </comment>
    <comment ref="N9" authorId="0">
      <text>
        <r>
          <rPr>
            <b val="true"/>
            <sz val="8"/>
            <color rgb="FF000000"/>
            <rFont val="Tahoma"/>
            <family val="0"/>
          </rPr>
          <t xml:space="preserve">FERC Fee:
Neil S-C: 2/19/99
</t>
        </r>
        <r>
          <rPr>
            <sz val="8"/>
            <color rgb="FF000000"/>
            <rFont val="Tahoma"/>
            <family val="2"/>
          </rPr>
          <t xml:space="preserve">Kevin Pesto and Agatha via a email</t>
        </r>
      </text>
      <mc:AlternateContent>
        <mc:Choice Requires="v2">
          <commentPr autoFill="true" autoScale="false" colHidden="false" locked="false" rowHidden="false" textHAlign="justify" textVAlign="top">
            <anchor moveWithCells="false" sizeWithCells="false">
              <xdr:from>
                <xdr:col>14</xdr:col>
                <xdr:colOff>16</xdr:colOff>
                <xdr:row>6</xdr:row>
                <xdr:rowOff>25</xdr:rowOff>
              </xdr:from>
              <xdr:to>
                <xdr:col>16</xdr:col>
                <xdr:colOff>1</xdr:colOff>
                <xdr:row>10</xdr:row>
                <xdr:rowOff>12</xdr:rowOff>
              </xdr:to>
            </anchor>
          </commentPr>
        </mc:Choice>
        <mc:Fallback/>
      </mc:AlternateContent>
    </comment>
    <comment ref="N11" authorId="0">
      <text>
        <r>
          <rPr>
            <b val="true"/>
            <sz val="8"/>
            <color rgb="FF000000"/>
            <rFont val="Tahoma"/>
            <family val="0"/>
          </rPr>
          <t xml:space="preserve">TOTAL VARIABLE O&amp;M $/MWH
Sheetal J Bajoria x3-5692:
</t>
        </r>
        <r>
          <rPr>
            <sz val="8"/>
            <color rgb="FF000000"/>
            <rFont val="Tahoma"/>
            <family val="0"/>
          </rPr>
          <t xml:space="preserve">feb 2, corrected calculation of this number. 
Was calculated off of 446.7. However the SE Peaking power projects, O&amp;M Estimates, D Ehler,  B Scmitt, dated 1/22/99 budget was calculated per 450.
</t>
        </r>
      </text>
      <mc:AlternateContent>
        <mc:Choice Requires="v2">
          <commentPr autoFill="true" autoScale="false" colHidden="false" locked="false" rowHidden="false" textHAlign="justify" textVAlign="top">
            <anchor moveWithCells="false" sizeWithCells="false">
              <xdr:from>
                <xdr:col>15</xdr:col>
                <xdr:colOff>54</xdr:colOff>
                <xdr:row>8</xdr:row>
                <xdr:rowOff>12</xdr:rowOff>
              </xdr:from>
              <xdr:to>
                <xdr:col>19</xdr:col>
                <xdr:colOff>5</xdr:colOff>
                <xdr:row>17</xdr:row>
                <xdr:rowOff>2</xdr:rowOff>
              </xdr:to>
            </anchor>
          </commentPr>
        </mc:Choice>
        <mc:Fallback/>
      </mc:AlternateContent>
    </comment>
    <comment ref="N20" authorId="0">
      <text>
        <r>
          <rPr>
            <b val="true"/>
            <sz val="10"/>
            <color rgb="FF000000"/>
            <rFont val="Tahoma"/>
            <family val="2"/>
          </rPr>
          <t xml:space="preserve">PAYROLL AND BURDEN
Sheetal J Bajoria x3-5692, 1/27/99:
SE Peaking power projects, </t>
        </r>
        <r>
          <rPr>
            <sz val="10"/>
            <color rgb="FF000000"/>
            <rFont val="Tahoma"/>
            <family val="2"/>
          </rPr>
          <t xml:space="preserve">O&amp;M Estimates, D Ehler,  B Scmitt, dated 1/22/99
was 428</t>
        </r>
      </text>
      <mc:AlternateContent>
        <mc:Choice Requires="v2">
          <commentPr autoFill="true" autoScale="false" colHidden="false" locked="false" rowHidden="false" textHAlign="justify" textVAlign="top">
            <anchor moveWithCells="false" sizeWithCells="false">
              <xdr:from>
                <xdr:col>15</xdr:col>
                <xdr:colOff>52</xdr:colOff>
                <xdr:row>16</xdr:row>
                <xdr:rowOff>9</xdr:rowOff>
              </xdr:from>
              <xdr:to>
                <xdr:col>20</xdr:col>
                <xdr:colOff>37</xdr:colOff>
                <xdr:row>24</xdr:row>
                <xdr:rowOff>2</xdr:rowOff>
              </xdr:to>
            </anchor>
          </commentPr>
        </mc:Choice>
        <mc:Fallback/>
      </mc:AlternateContent>
    </comment>
    <comment ref="N21" authorId="0">
      <text>
        <r>
          <rPr>
            <b val="true"/>
            <sz val="10"/>
            <color rgb="FF000000"/>
            <rFont val="Tahoma"/>
            <family val="2"/>
          </rPr>
          <t xml:space="preserve">OTHER O&amp;M EXPENSES
Sheetal J Bajoria x3-5692, 1/27/99:
SE Peaking power projects, </t>
        </r>
        <r>
          <rPr>
            <sz val="10"/>
            <color rgb="FF000000"/>
            <rFont val="Tahoma"/>
            <family val="2"/>
          </rPr>
          <t xml:space="preserve">O&amp;M Estimates, D Ehler,  B Scmitt, dated 1/22/99
was 230.</t>
        </r>
      </text>
      <mc:AlternateContent>
        <mc:Choice Requires="v2">
          <commentPr autoFill="true" autoScale="false" colHidden="false" locked="false" rowHidden="false" textHAlign="justify" textVAlign="top">
            <anchor moveWithCells="false" sizeWithCells="false">
              <xdr:from>
                <xdr:col>15</xdr:col>
                <xdr:colOff>52</xdr:colOff>
                <xdr:row>17</xdr:row>
                <xdr:rowOff>12</xdr:rowOff>
              </xdr:from>
              <xdr:to>
                <xdr:col>20</xdr:col>
                <xdr:colOff>37</xdr:colOff>
                <xdr:row>26</xdr:row>
                <xdr:rowOff>9</xdr:rowOff>
              </xdr:to>
            </anchor>
          </commentPr>
        </mc:Choice>
        <mc:Fallback/>
      </mc:AlternateContent>
    </comment>
    <comment ref="N24" authorId="0">
      <text>
        <r>
          <rPr>
            <b val="true"/>
            <sz val="10"/>
            <color rgb="FF000000"/>
            <rFont val="Tahoma"/>
            <family val="2"/>
          </rPr>
          <t xml:space="preserve">O&amp;M MANAGEMENT FEE
Sheetal J Bajoria x3-5692, 1/27/99:
SE Peaking power projects, </t>
        </r>
        <r>
          <rPr>
            <sz val="10"/>
            <color rgb="FF000000"/>
            <rFont val="Tahoma"/>
            <family val="2"/>
          </rPr>
          <t xml:space="preserve">O&amp;M Estimates, D Ehler,  B Scmitt, dated 1/22/99
was 84</t>
        </r>
      </text>
      <mc:AlternateContent>
        <mc:Choice Requires="v2">
          <commentPr autoFill="true" autoScale="false" colHidden="false" locked="false" rowHidden="false" textHAlign="justify" textVAlign="top">
            <anchor moveWithCells="false" sizeWithCells="false">
              <xdr:from>
                <xdr:col>15</xdr:col>
                <xdr:colOff>52</xdr:colOff>
                <xdr:row>20</xdr:row>
                <xdr:rowOff>7</xdr:rowOff>
              </xdr:from>
              <xdr:to>
                <xdr:col>20</xdr:col>
                <xdr:colOff>37</xdr:colOff>
                <xdr:row>27</xdr:row>
                <xdr:rowOff>27</xdr:rowOff>
              </xdr:to>
            </anchor>
          </commentPr>
        </mc:Choice>
        <mc:Fallback/>
      </mc:AlternateContent>
    </comment>
    <comment ref="N29" authorId="0">
      <text>
        <r>
          <rPr>
            <b val="true"/>
            <sz val="10"/>
            <color rgb="FF000000"/>
            <rFont val="Tahoma"/>
            <family val="2"/>
          </rPr>
          <t xml:space="preserve">LIABILITY INSURANCE:
</t>
        </r>
        <r>
          <rPr>
            <sz val="10"/>
            <color rgb="FF000000"/>
            <rFont val="Tahoma"/>
            <family val="2"/>
          </rPr>
          <t xml:space="preserve">Neil S-C x66527: 3/8/99
Updated 3/5/99 with new estimates from Agatha.
</t>
        </r>
        <r>
          <rPr>
            <b val="true"/>
            <sz val="10"/>
            <color rgb="FF000000"/>
            <rFont val="Tahoma"/>
            <family val="2"/>
          </rPr>
          <t xml:space="preserve">
Sheetal J Bajoria x3-5692:
</t>
        </r>
        <r>
          <rPr>
            <sz val="10"/>
            <color rgb="FF000000"/>
            <rFont val="Tahoma"/>
            <family val="2"/>
          </rPr>
          <t xml:space="preserve">1/27/99:
email from Paul Clayton to Agatha Andraczke on 1/20/99.
</t>
        </r>
      </text>
      <mc:AlternateContent>
        <mc:Choice Requires="v2">
          <commentPr autoFill="true" autoScale="false" colHidden="false" locked="false" rowHidden="false" textHAlign="justify" textVAlign="top">
            <anchor moveWithCells="false" sizeWithCells="false">
              <xdr:from>
                <xdr:col>15</xdr:col>
                <xdr:colOff>55</xdr:colOff>
                <xdr:row>18</xdr:row>
                <xdr:rowOff>16</xdr:rowOff>
              </xdr:from>
              <xdr:to>
                <xdr:col>20</xdr:col>
                <xdr:colOff>1</xdr:colOff>
                <xdr:row>31</xdr:row>
                <xdr:rowOff>14</xdr:rowOff>
              </xdr:to>
            </anchor>
          </commentPr>
        </mc:Choice>
        <mc:Fallback/>
      </mc:AlternateContent>
    </comment>
    <comment ref="N30" authorId="0">
      <text>
        <r>
          <rPr>
            <b val="true"/>
            <sz val="8"/>
            <color rgb="FF000000"/>
            <rFont val="Tahoma"/>
            <family val="2"/>
          </rPr>
          <t xml:space="preserve">BUSINESS INTERUPTION INSURANCE
Neil S-C, 3/29/99
</t>
        </r>
        <r>
          <rPr>
            <sz val="8"/>
            <color rgb="FF000000"/>
            <rFont val="Tahoma"/>
            <family val="2"/>
          </rPr>
          <t xml:space="preserve">New estimates from David Marshall, ECM
</t>
        </r>
        <r>
          <rPr>
            <b val="true"/>
            <sz val="8"/>
            <color rgb="FF000000"/>
            <rFont val="Tahoma"/>
            <family val="2"/>
          </rPr>
          <t xml:space="preserve">
Neil S-C x66527, 3/8/99
</t>
        </r>
        <r>
          <rPr>
            <sz val="8"/>
            <color rgb="FF000000"/>
            <rFont val="Tahoma"/>
            <family val="2"/>
          </rPr>
          <t xml:space="preserve">Updated 3/8/99 and increased based on the new estimates from Agatha.
</t>
        </r>
        <r>
          <rPr>
            <b val="true"/>
            <sz val="8"/>
            <color rgb="FF000000"/>
            <rFont val="Tahoma"/>
            <family val="2"/>
          </rPr>
          <t xml:space="preserve">
Sheetal J Bajoria x3-5692:
</t>
        </r>
        <r>
          <rPr>
            <sz val="8"/>
            <color rgb="FF000000"/>
            <rFont val="Tahoma"/>
            <family val="2"/>
          </rPr>
          <t xml:space="preserve">1/27/99:
email from Paul Clayton to Agatha Andraczke on 1/20/99.
Based on corporate allocation
</t>
        </r>
      </text>
      <mc:AlternateContent>
        <mc:Choice Requires="v2">
          <commentPr autoFill="true" autoScale="false" colHidden="false" locked="false" rowHidden="false" textHAlign="justify" textVAlign="top">
            <anchor moveWithCells="false" sizeWithCells="false">
              <xdr:from>
                <xdr:col>15</xdr:col>
                <xdr:colOff>68</xdr:colOff>
                <xdr:row>23</xdr:row>
                <xdr:rowOff>15</xdr:rowOff>
              </xdr:from>
              <xdr:to>
                <xdr:col>19</xdr:col>
                <xdr:colOff>51</xdr:colOff>
                <xdr:row>33</xdr:row>
                <xdr:rowOff>19</xdr:rowOff>
              </xdr:to>
            </anchor>
          </commentPr>
        </mc:Choice>
        <mc:Fallback/>
      </mc:AlternateContent>
    </comment>
    <comment ref="N31" authorId="0">
      <text>
        <r>
          <rPr>
            <b val="true"/>
            <sz val="10"/>
            <color rgb="FF000000"/>
            <rFont val="Tahoma"/>
            <family val="2"/>
          </rPr>
          <t xml:space="preserve">OPS AND MACHINERY INSURANCE
Neil S-C, 3/29/99
</t>
        </r>
        <r>
          <rPr>
            <sz val="10"/>
            <color rgb="FF000000"/>
            <rFont val="Tahoma"/>
            <family val="2"/>
          </rPr>
          <t xml:space="preserve">New revision has put the Replacement Value at $150M with a rate of 0.128%
</t>
        </r>
        <r>
          <rPr>
            <b val="true"/>
            <sz val="10"/>
            <color rgb="FF000000"/>
            <rFont val="Tahoma"/>
            <family val="2"/>
          </rPr>
          <t xml:space="preserve">Neil S-C x66527, 3/8/99
</t>
        </r>
        <r>
          <rPr>
            <sz val="10"/>
            <color rgb="FF000000"/>
            <rFont val="Tahoma"/>
            <family val="2"/>
          </rPr>
          <t xml:space="preserve">This decrease about $40K base on Agatha's new estimates
</t>
        </r>
        <r>
          <rPr>
            <b val="true"/>
            <sz val="10"/>
            <color rgb="FF000000"/>
            <rFont val="Tahoma"/>
            <family val="2"/>
          </rPr>
          <t xml:space="preserve">
Sheetal J Bajoria x3-5692, </t>
        </r>
        <r>
          <rPr>
            <sz val="10"/>
            <color rgb="FF000000"/>
            <rFont val="Tahoma"/>
            <family val="2"/>
          </rPr>
          <t xml:space="preserve">1/27/99:
wrt Email from Paul Clayton, CORP INSR, to Agatha Andraczke on 1/20/99.   Number based on corporate allocation of costs.</t>
        </r>
      </text>
      <mc:AlternateContent>
        <mc:Choice Requires="v2">
          <commentPr autoFill="true" autoScale="false" colHidden="false" locked="false" rowHidden="false" textHAlign="justify" textVAlign="top">
            <anchor moveWithCells="false" sizeWithCells="false">
              <xdr:from>
                <xdr:col>11</xdr:col>
                <xdr:colOff>8</xdr:colOff>
                <xdr:row>16</xdr:row>
                <xdr:rowOff>5</xdr:rowOff>
              </xdr:from>
              <xdr:to>
                <xdr:col>15</xdr:col>
                <xdr:colOff>1</xdr:colOff>
                <xdr:row>25</xdr:row>
                <xdr:rowOff>7</xdr:rowOff>
              </xdr:to>
            </anchor>
          </commentPr>
        </mc:Choice>
        <mc:Fallback/>
      </mc:AlternateContent>
    </comment>
    <comment ref="N33" authorId="0">
      <text>
        <r>
          <rPr>
            <b val="true"/>
            <sz val="8"/>
            <color rgb="FF000000"/>
            <rFont val="Tahoma"/>
            <family val="0"/>
          </rPr>
          <t xml:space="preserve">Utilities:
</t>
        </r>
        <r>
          <rPr>
            <sz val="8"/>
            <color rgb="FF000000"/>
            <rFont val="Tahoma"/>
            <family val="2"/>
          </rPr>
          <t xml:space="preserve">
Neil S-C, 3/1/99
Agatha calculated these and I have her back up in the binders.</t>
        </r>
      </text>
      <mc:AlternateContent>
        <mc:Choice Requires="v2">
          <commentPr autoFill="true" autoScale="false" colHidden="false" locked="false" rowHidden="false" textHAlign="justify" textVAlign="top">
            <anchor moveWithCells="false" sizeWithCells="false">
              <xdr:from>
                <xdr:col>13</xdr:col>
                <xdr:colOff>58</xdr:colOff>
                <xdr:row>24</xdr:row>
                <xdr:rowOff>8</xdr:rowOff>
              </xdr:from>
              <xdr:to>
                <xdr:col>15</xdr:col>
                <xdr:colOff>43</xdr:colOff>
                <xdr:row>32</xdr:row>
                <xdr:rowOff>4</xdr:rowOff>
              </xdr:to>
            </anchor>
          </commentPr>
        </mc:Choice>
        <mc:Fallback/>
      </mc:AlternateContent>
    </comment>
    <comment ref="N35" authorId="0">
      <text>
        <r>
          <rPr>
            <b val="true"/>
            <sz val="8"/>
            <color rgb="FF000000"/>
            <rFont val="Tahoma"/>
            <family val="0"/>
          </rPr>
          <t xml:space="preserve">INTERCONNECTION FEES:
</t>
        </r>
        <r>
          <rPr>
            <sz val="8"/>
            <color rgb="FF000000"/>
            <rFont val="Tahoma"/>
            <family val="2"/>
          </rPr>
          <t xml:space="preserve">
Neil S-C, 3/2/99
Kevin Presto estimates that this will come in about 3% of the Elec. Interconnect Fee.</t>
        </r>
      </text>
      <mc:AlternateContent>
        <mc:Choice Requires="v2">
          <commentPr autoFill="true" autoScale="false" colHidden="false" locked="false" rowHidden="false" textHAlign="justify" textVAlign="top">
            <anchor moveWithCells="false" sizeWithCells="false">
              <xdr:from>
                <xdr:col>13</xdr:col>
                <xdr:colOff>58</xdr:colOff>
                <xdr:row>30</xdr:row>
                <xdr:rowOff>4</xdr:rowOff>
              </xdr:from>
              <xdr:to>
                <xdr:col>15</xdr:col>
                <xdr:colOff>48</xdr:colOff>
                <xdr:row>33</xdr:row>
                <xdr:rowOff>19</xdr:rowOff>
              </xdr:to>
            </anchor>
          </commentPr>
        </mc:Choice>
        <mc:Fallback/>
      </mc:AlternateContent>
    </comment>
    <comment ref="N60" authorId="0">
      <text>
        <r>
          <rPr>
            <b val="true"/>
            <sz val="8"/>
            <color rgb="FF000000"/>
            <rFont val="Tahoma"/>
            <family val="0"/>
          </rPr>
          <t xml:space="preserve">Start Up Fuel Cost:
</t>
        </r>
        <r>
          <rPr>
            <sz val="8"/>
            <color rgb="FF000000"/>
            <rFont val="Tahoma"/>
            <family val="2"/>
          </rPr>
          <t xml:space="preserve">The costs came from Kevin Presto's group.  We are not showing this as it is a pass through and is not refelcted in the consolidated model.</t>
        </r>
      </text>
      <mc:AlternateContent>
        <mc:Choice Requires="v2">
          <commentPr autoFill="true" autoScale="false" colHidden="false" locked="false" rowHidden="false" textHAlign="justify" textVAlign="top">
            <anchor moveWithCells="false" sizeWithCells="false">
              <xdr:from>
                <xdr:col>14</xdr:col>
                <xdr:colOff>16</xdr:colOff>
                <xdr:row>56</xdr:row>
                <xdr:rowOff>4</xdr:rowOff>
              </xdr:from>
              <xdr:to>
                <xdr:col>17</xdr:col>
                <xdr:colOff>6</xdr:colOff>
                <xdr:row>62</xdr:row>
                <xdr:rowOff>9</xdr:rowOff>
              </xdr:to>
            </anchor>
          </commentPr>
        </mc:Choice>
        <mc:Fallback/>
      </mc:AlternateContent>
    </comment>
    <comment ref="N64" authorId="0">
      <text>
        <r>
          <rPr>
            <b val="true"/>
            <sz val="10"/>
            <color rgb="FF000000"/>
            <rFont val="Tahoma"/>
            <family val="2"/>
          </rPr>
          <t xml:space="preserve">STATE INCOME TAX RATE
Sheetal J Bajoria x3-5692:
</t>
        </r>
        <r>
          <rPr>
            <sz val="10"/>
            <color rgb="FF000000"/>
            <rFont val="Tahoma"/>
            <family val="2"/>
          </rPr>
          <t xml:space="preserve">Per Memo from Patrick Maloy to Ryan Tull, dated 5 june 98:  The maximum state tax rate in MS is 5%. We should clarify if we need to pay this max rate
</t>
        </r>
      </text>
      <mc:AlternateContent>
        <mc:Choice Requires="v2">
          <commentPr autoFill="true" autoScale="false" colHidden="false" locked="false" rowHidden="false" textHAlign="justify" textVAlign="top">
            <anchor moveWithCells="false" sizeWithCells="false">
              <xdr:from>
                <xdr:col>14</xdr:col>
                <xdr:colOff>20</xdr:colOff>
                <xdr:row>51</xdr:row>
                <xdr:rowOff>4</xdr:rowOff>
              </xdr:from>
              <xdr:to>
                <xdr:col>18</xdr:col>
                <xdr:colOff>40</xdr:colOff>
                <xdr:row>60</xdr:row>
                <xdr:rowOff>11</xdr:rowOff>
              </xdr:to>
            </anchor>
          </commentPr>
        </mc:Choice>
        <mc:Fallback/>
      </mc:AlternateContent>
    </comment>
    <comment ref="N66" authorId="0">
      <text>
        <r>
          <rPr>
            <b val="true"/>
            <sz val="10"/>
            <color rgb="FF000000"/>
            <rFont val="Tahoma"/>
            <family val="2"/>
          </rPr>
          <t xml:space="preserve">GROSS RECEIPTS TAX RATE
</t>
        </r>
        <r>
          <rPr>
            <sz val="10"/>
            <color rgb="FF000000"/>
            <rFont val="Tahoma"/>
            <family val="2"/>
          </rPr>
          <t xml:space="preserve">
</t>
        </r>
        <r>
          <rPr>
            <b val="true"/>
            <sz val="10"/>
            <color rgb="FF000000"/>
            <rFont val="Tahoma"/>
            <family val="2"/>
          </rPr>
          <t xml:space="preserve">Neil S-C: 3/12/99
</t>
        </r>
        <r>
          <rPr>
            <sz val="10"/>
            <color rgb="FF000000"/>
            <rFont val="Tahoma"/>
            <family val="2"/>
          </rPr>
          <t xml:space="preserve">
This gross receipts tax treatment will change if the plant sells directly to the customer.
</t>
        </r>
        <r>
          <rPr>
            <b val="true"/>
            <sz val="10"/>
            <color rgb="FF000000"/>
            <rFont val="Tahoma"/>
            <family val="2"/>
          </rPr>
          <t xml:space="preserve">Sheetal J Bajoria x3-5692, Jan 27,99:
</t>
        </r>
        <r>
          <rPr>
            <sz val="10"/>
            <color rgb="FF000000"/>
            <rFont val="Tahoma"/>
            <family val="2"/>
          </rPr>
          <t xml:space="preserve">
Per Memo from Patrick Maloy, ECT Multistate Tax Services to Ryan Tull, dated 5 june 98:
The project is exempt from Sales and Use tax on Sales to EPMI because EPMI will be reselling the electricity.   
EPMI has  to execute an Exemption Ceritficate with the project company in order to legally protect Cogen by documenting the EPMI will resell the electricity.</t>
        </r>
      </text>
      <mc:AlternateContent>
        <mc:Choice Requires="v2">
          <commentPr autoFill="true" autoScale="false" colHidden="false" locked="false" rowHidden="false" textHAlign="justify" textVAlign="top">
            <anchor moveWithCells="false" sizeWithCells="false">
              <xdr:from>
                <xdr:col>14</xdr:col>
                <xdr:colOff>62</xdr:colOff>
                <xdr:row>57</xdr:row>
                <xdr:rowOff>12</xdr:rowOff>
              </xdr:from>
              <xdr:to>
                <xdr:col>19</xdr:col>
                <xdr:colOff>59</xdr:colOff>
                <xdr:row>69</xdr:row>
                <xdr:rowOff>2</xdr:rowOff>
              </xdr:to>
            </anchor>
          </commentPr>
        </mc:Choice>
        <mc:Fallback/>
      </mc:AlternateContent>
    </comment>
    <comment ref="N67" authorId="0">
      <text>
        <r>
          <rPr>
            <b val="true"/>
            <sz val="10"/>
            <color rgb="FF000000"/>
            <rFont val="Tahoma"/>
            <family val="2"/>
          </rPr>
          <t xml:space="preserve">SALES AND USE TAX RATES:
</t>
        </r>
        <r>
          <rPr>
            <sz val="10"/>
            <color rgb="FF000000"/>
            <rFont val="Tahoma"/>
            <family val="2"/>
          </rPr>
          <t xml:space="preserve">
</t>
        </r>
        <r>
          <rPr>
            <b val="true"/>
            <sz val="10"/>
            <color rgb="FF000000"/>
            <rFont val="Tahoma"/>
            <family val="2"/>
          </rPr>
          <t xml:space="preserve">Sheetal J Bajoria x3-5692, Jan 27,99:
</t>
        </r>
        <r>
          <rPr>
            <sz val="10"/>
            <color rgb="FF000000"/>
            <rFont val="Tahoma"/>
            <family val="2"/>
          </rPr>
          <t xml:space="preserve">
Per Memo from Patrick Maloy, ECT Multistate Tax Services to Ryan Tull, dated 5 june 98:
A gross reciepts tax of 0.164%from sales to ultimate consumer is payable to pay for the expenses of PUC.  This is regardless of whether the util/pwr company's rates are regulated by or not. 
If EPMI sells the power to a retail customer, it will be subject to the Gr tax of 0.164%. 
</t>
        </r>
      </text>
      <mc:AlternateContent>
        <mc:Choice Requires="v2">
          <commentPr autoFill="true" autoScale="false" colHidden="false" locked="false" rowHidden="false" textHAlign="justify" textVAlign="top">
            <anchor moveWithCells="false" sizeWithCells="false">
              <xdr:from>
                <xdr:col>15</xdr:col>
                <xdr:colOff>33</xdr:colOff>
                <xdr:row>66</xdr:row>
                <xdr:rowOff>4</xdr:rowOff>
              </xdr:from>
              <xdr:to>
                <xdr:col>20</xdr:col>
                <xdr:colOff>51</xdr:colOff>
                <xdr:row>87</xdr:row>
                <xdr:rowOff>4</xdr:rowOff>
              </xdr:to>
            </anchor>
          </commentPr>
        </mc:Choice>
        <mc:Fallback/>
      </mc:AlternateContent>
    </comment>
    <comment ref="N68" authorId="0">
      <text>
        <r>
          <rPr>
            <b val="true"/>
            <sz val="10"/>
            <color rgb="FF000000"/>
            <rFont val="Tahoma"/>
            <family val="2"/>
          </rPr>
          <t xml:space="preserve">STATE FRANCHISE TAX RATE ON CORPORATE CAPITAL
Neil S-C, 3/12/99
</t>
        </r>
        <r>
          <rPr>
            <sz val="10"/>
            <color rgb="FF000000"/>
            <rFont val="Tahoma"/>
            <family val="2"/>
          </rPr>
          <t xml:space="preserve">
This has been zeroed out as of 7/8/99 as per Matt Gockerman
</t>
        </r>
        <r>
          <rPr>
            <b val="true"/>
            <sz val="10"/>
            <color rgb="FF000000"/>
            <rFont val="Tahoma"/>
            <family val="2"/>
          </rPr>
          <t xml:space="preserve">
</t>
        </r>
        <r>
          <rPr>
            <sz val="10"/>
            <color rgb="FF000000"/>
            <rFont val="Tahoma"/>
            <family val="2"/>
          </rPr>
          <t xml:space="preserve">
Memo from Pat Maloy dated 2/26/99
-.25% on Capital, Contributed Capital, Paid in Capital, Surplus, Retained Earnings, and Loans.
</t>
        </r>
        <r>
          <rPr>
            <b val="true"/>
            <sz val="10"/>
            <color rgb="FF000000"/>
            <rFont val="Tahoma"/>
            <family val="2"/>
          </rPr>
          <t xml:space="preserve">
Sheetal J Bajoria x3-5692:
</t>
        </r>
        <r>
          <rPr>
            <sz val="10"/>
            <color rgb="FF000000"/>
            <rFont val="Tahoma"/>
            <family val="2"/>
          </rPr>
          <t xml:space="preserve">
Per Memo from Patrick Maloy to Ryan Tull, dated 5 June 98:
There is a franchise tax on corporate capital of .25%, which the Fulton project would have been subject to. Since this plant is in MS as well, we should calculate this tax.
</t>
        </r>
      </text>
      <mc:AlternateContent>
        <mc:Choice Requires="v2">
          <commentPr autoFill="true" autoScale="false" colHidden="false" locked="false" rowHidden="false" textHAlign="justify" textVAlign="top">
            <anchor moveWithCells="false" sizeWithCells="false">
              <xdr:from>
                <xdr:col>14</xdr:col>
                <xdr:colOff>47</xdr:colOff>
                <xdr:row>62</xdr:row>
                <xdr:rowOff>1</xdr:rowOff>
              </xdr:from>
              <xdr:to>
                <xdr:col>19</xdr:col>
                <xdr:colOff>49</xdr:colOff>
                <xdr:row>76</xdr:row>
                <xdr:rowOff>4</xdr:rowOff>
              </xdr:to>
            </anchor>
          </commentPr>
        </mc:Choice>
        <mc:Fallback/>
      </mc:AlternateContent>
    </comment>
    <comment ref="N69" authorId="0">
      <text>
        <r>
          <rPr>
            <b val="true"/>
            <sz val="10"/>
            <color rgb="FF000000"/>
            <rFont val="Tahoma"/>
            <family val="2"/>
          </rPr>
          <t xml:space="preserve">SALES AND USE TAX ON FUEL 
Sheetal J Bajoria x3-5692, Jan 27,99:
</t>
        </r>
        <r>
          <rPr>
            <sz val="10"/>
            <color rgb="FF000000"/>
            <rFont val="Tahoma"/>
            <family val="2"/>
          </rPr>
          <t xml:space="preserve">Per Memo from Patrick Maloy to Ryan Tull, dated 5 June 98:
A Sales and Use tax of 1.5% is payable  on all raw material  (TPP- Tangible Personal Property) that the company consumes directly to manufacture electricity for sale to ultimate consumer.
</t>
        </r>
        <r>
          <rPr>
            <b val="true"/>
            <sz val="10"/>
            <color rgb="FF000000"/>
            <rFont val="Tahoma"/>
            <family val="2"/>
          </rPr>
          <t xml:space="preserve">Otherwise, </t>
        </r>
        <r>
          <rPr>
            <sz val="10"/>
            <color rgb="FF000000"/>
            <rFont val="Tahoma"/>
            <family val="2"/>
          </rPr>
          <t xml:space="preserve">Tangible personal propery TPP is taxable at a rate of 7%. Machinery,  lease and rentals are subject to this tax.
</t>
        </r>
        <r>
          <rPr>
            <b val="true"/>
            <sz val="10"/>
            <color rgb="FF000000"/>
            <rFont val="Tahoma"/>
            <family val="2"/>
          </rPr>
          <t xml:space="preserve">Therefore </t>
        </r>
        <r>
          <rPr>
            <sz val="10"/>
            <color rgb="FF000000"/>
            <rFont val="Tahoma"/>
            <family val="2"/>
          </rPr>
          <t xml:space="preserve">1.5% should be used here.</t>
        </r>
      </text>
      <mc:AlternateContent>
        <mc:Choice Requires="v2">
          <commentPr autoFill="true" autoScale="false" colHidden="false" locked="false" rowHidden="false" textHAlign="justify" textVAlign="top">
            <anchor moveWithCells="false" sizeWithCells="false">
              <xdr:from>
                <xdr:col>8</xdr:col>
                <xdr:colOff>56</xdr:colOff>
                <xdr:row>78</xdr:row>
                <xdr:rowOff>4</xdr:rowOff>
              </xdr:from>
              <xdr:to>
                <xdr:col>11</xdr:col>
                <xdr:colOff>59</xdr:colOff>
                <xdr:row>95</xdr:row>
                <xdr:rowOff>8</xdr:rowOff>
              </xdr:to>
            </anchor>
          </commentPr>
        </mc:Choice>
        <mc:Fallback/>
      </mc:AlternateContent>
    </comment>
    <comment ref="U6" authorId="0">
      <text>
        <r>
          <rPr>
            <b val="true"/>
            <sz val="8"/>
            <color rgb="FF000000"/>
            <rFont val="Tahoma"/>
            <family val="0"/>
          </rPr>
          <t xml:space="preserve">ASSESSED VALUE MULTIPLIER
Sheetal J Bajoria x3-5692:
</t>
        </r>
        <r>
          <rPr>
            <sz val="8"/>
            <color rgb="FF000000"/>
            <rFont val="Tahoma"/>
            <family val="0"/>
          </rPr>
          <t xml:space="preserve">2/10/99 This is applicable only on hard Costs, I.e. tubrines etc..  The rate is 15% as per Ben Jacoby's memo to Tom Huntington and Sheetal bajoria dated 2/10/99  
</t>
        </r>
      </text>
      <mc:AlternateContent>
        <mc:Choice Requires="v2">
          <commentPr autoFill="true" autoScale="false" colHidden="false" locked="false" rowHidden="false" textHAlign="justify" textVAlign="top">
            <anchor moveWithCells="false" sizeWithCells="false">
              <xdr:from>
                <xdr:col>22</xdr:col>
                <xdr:colOff>12</xdr:colOff>
                <xdr:row>2</xdr:row>
                <xdr:rowOff>15</xdr:rowOff>
              </xdr:from>
              <xdr:to>
                <xdr:col>26</xdr:col>
                <xdr:colOff>25</xdr:colOff>
                <xdr:row>7</xdr:row>
                <xdr:rowOff>12</xdr:rowOff>
              </xdr:to>
            </anchor>
          </commentPr>
        </mc:Choice>
        <mc:Fallback/>
      </mc:AlternateContent>
    </comment>
    <comment ref="U8" authorId="0">
      <text>
        <r>
          <rPr>
            <b val="true"/>
            <sz val="8"/>
            <color rgb="FF000000"/>
            <rFont val="Tahoma"/>
            <family val="0"/>
          </rPr>
          <t xml:space="preserve">MILLAGE RATE FOR SCHOOL TAX
Sheetal J Bajoria x3-5692:
</t>
        </r>
        <r>
          <rPr>
            <sz val="8"/>
            <color rgb="FF000000"/>
            <rFont val="Tahoma"/>
            <family val="0"/>
          </rPr>
          <t xml:space="preserve">2/10/99: The millage rate per year changes every year. The rate represented here is probably the 1997 millage rate.  
This rate has been taken from memo from Ben Jacoby to Tom Huntington and Sheetal bajoria.
It was 4.19% when model was recd. from Bryan Garret  on 1/25/99. It has been changed to 4.897% </t>
        </r>
      </text>
      <mc:AlternateContent>
        <mc:Choice Requires="v2">
          <commentPr autoFill="true" autoScale="false" colHidden="false" locked="false" rowHidden="false" textHAlign="justify" textVAlign="top">
            <anchor moveWithCells="false" sizeWithCells="false">
              <xdr:from>
                <xdr:col>20</xdr:col>
                <xdr:colOff>26</xdr:colOff>
                <xdr:row>2</xdr:row>
                <xdr:rowOff>15</xdr:rowOff>
              </xdr:from>
              <xdr:to>
                <xdr:col>21</xdr:col>
                <xdr:colOff>59</xdr:colOff>
                <xdr:row>6</xdr:row>
                <xdr:rowOff>16</xdr:rowOff>
              </xdr:to>
            </anchor>
          </commentPr>
        </mc:Choice>
        <mc:Fallback/>
      </mc:AlternateContent>
    </comment>
    <comment ref="U11" authorId="0">
      <text>
        <r>
          <rPr>
            <b val="true"/>
            <sz val="8"/>
            <color rgb="FF000000"/>
            <rFont val="Tahoma"/>
            <family val="0"/>
          </rPr>
          <t xml:space="preserve">MILLAGE RATE FOR COUNTY TAX
Sheetal J Bajoria x3-5692:
</t>
        </r>
        <r>
          <rPr>
            <sz val="8"/>
            <color rgb="FF000000"/>
            <rFont val="Tahoma"/>
            <family val="0"/>
          </rPr>
          <t xml:space="preserve">2/10/99: The millage rate per year changes every year. The rate represented here is probably the 1997 millage rate.  
This rate has been taken from memo from Ben Jacoby to Tom Huntington and Sheetal bajoria.
It was 6.732% when the model was recd by Sheetal from Bryan on Jan 25,99. Now 5.016%</t>
        </r>
      </text>
      <mc:AlternateContent>
        <mc:Choice Requires="v2">
          <commentPr autoFill="true" autoScale="false" colHidden="false" locked="false" rowHidden="false" textHAlign="justify" textVAlign="top">
            <anchor moveWithCells="false" sizeWithCells="false">
              <xdr:from>
                <xdr:col>20</xdr:col>
                <xdr:colOff>26</xdr:colOff>
                <xdr:row>5</xdr:row>
                <xdr:rowOff>4</xdr:rowOff>
              </xdr:from>
              <xdr:to>
                <xdr:col>21</xdr:col>
                <xdr:colOff>59</xdr:colOff>
                <xdr:row>9</xdr:row>
                <xdr:rowOff>12</xdr:rowOff>
              </xdr:to>
            </anchor>
          </commentPr>
        </mc:Choice>
        <mc:Fallback/>
      </mc:AlternateContent>
    </comment>
    <comment ref="U12" authorId="0">
      <text>
        <r>
          <rPr>
            <b val="true"/>
            <sz val="8"/>
            <color rgb="FF000000"/>
            <rFont val="Tahoma"/>
            <family val="0"/>
          </rPr>
          <t xml:space="preserve">ABATEMENT;
Neil S-C, 3/1/99
</t>
        </r>
        <r>
          <rPr>
            <sz val="8"/>
            <color rgb="FF000000"/>
            <rFont val="Tahoma"/>
            <family val="2"/>
          </rPr>
          <t xml:space="preserve">
Detailed in a Project Agreement from the State of Mississippi Dept. of Economic and Community Develop't</t>
        </r>
      </text>
      <mc:AlternateContent>
        <mc:Choice Requires="v2">
          <commentPr autoFill="true" autoScale="false" colHidden="false" locked="false" rowHidden="false" textHAlign="justify" textVAlign="top">
            <anchor moveWithCells="false" sizeWithCells="false">
              <xdr:from>
                <xdr:col>16</xdr:col>
                <xdr:colOff>33</xdr:colOff>
                <xdr:row>2</xdr:row>
                <xdr:rowOff>15</xdr:rowOff>
              </xdr:from>
              <xdr:to>
                <xdr:col>19</xdr:col>
                <xdr:colOff>56</xdr:colOff>
                <xdr:row>8</xdr:row>
                <xdr:rowOff>8</xdr:rowOff>
              </xdr:to>
            </anchor>
          </commentPr>
        </mc:Choice>
        <mc:Fallback/>
      </mc:AlternateContent>
    </comment>
    <comment ref="U14" authorId="0">
      <text>
        <r>
          <rPr>
            <b val="true"/>
            <sz val="8"/>
            <color rgb="FF000000"/>
            <rFont val="Tahoma"/>
            <family val="0"/>
          </rPr>
          <t xml:space="preserve">CITY TAX
Sheetal J Bajoria x3-5692:
</t>
        </r>
        <r>
          <rPr>
            <sz val="8"/>
            <color rgb="FF000000"/>
            <rFont val="Tahoma"/>
            <family val="0"/>
          </rPr>
          <t xml:space="preserve">2/10/99: The millage rate per year changes every year. The rate represented here is probably the 1997 millage rate.  
This rate has been taken from memo from Ben Jacoby to Tom Huntington and Sheetal bajoria.</t>
        </r>
      </text>
      <mc:AlternateContent>
        <mc:Choice Requires="v2">
          <commentPr autoFill="true" autoScale="false" colHidden="false" locked="false" rowHidden="false" textHAlign="justify" textVAlign="top">
            <anchor moveWithCells="false" sizeWithCells="false">
              <xdr:from>
                <xdr:col>20</xdr:col>
                <xdr:colOff>26</xdr:colOff>
                <xdr:row>8</xdr:row>
                <xdr:rowOff>1</xdr:rowOff>
              </xdr:from>
              <xdr:to>
                <xdr:col>21</xdr:col>
                <xdr:colOff>59</xdr:colOff>
                <xdr:row>11</xdr:row>
                <xdr:rowOff>12</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68" authorId="0">
      <text>
        <r>
          <rPr>
            <b val="true"/>
            <sz val="8"/>
            <color rgb="FF000000"/>
            <rFont val="Tahoma"/>
            <family val="0"/>
          </rPr>
          <t xml:space="preserve">Sheetal J Bajoria x3-5692:
</t>
        </r>
        <r>
          <rPr>
            <sz val="8"/>
            <color rgb="FF000000"/>
            <rFont val="Tahoma"/>
            <family val="0"/>
          </rPr>
          <t xml:space="preserve">from ICF kaisiser presentationn dated Sept 23, 98, ppage 36,</t>
        </r>
      </text>
      <mc:AlternateContent>
        <mc:Choice Requires="v2">
          <commentPr autoFill="true" autoScale="false" colHidden="false" locked="false" rowHidden="false" textHAlign="justify" textVAlign="top">
            <anchor moveWithCells="false" sizeWithCells="false">
              <xdr:from>
                <xdr:col>1</xdr:col>
                <xdr:colOff>16</xdr:colOff>
                <xdr:row>66</xdr:row>
                <xdr:rowOff>0</xdr:rowOff>
              </xdr:from>
              <xdr:to>
                <xdr:col>5</xdr:col>
                <xdr:colOff>0</xdr:colOff>
                <xdr:row>74</xdr:row>
                <xdr:rowOff>13</xdr:rowOff>
              </xdr:to>
            </anchor>
          </commentPr>
        </mc:Choice>
        <mc:Fallback/>
      </mc:AlternateContent>
    </comment>
    <comment ref="A69" authorId="0">
      <text>
        <r>
          <rPr>
            <b val="true"/>
            <sz val="8"/>
            <color rgb="FF000000"/>
            <rFont val="Tahoma"/>
            <family val="0"/>
          </rPr>
          <t xml:space="preserve">Sheetal J Bajoria x3-5692:
</t>
        </r>
        <r>
          <rPr>
            <sz val="8"/>
            <color rgb="FF000000"/>
            <rFont val="Tahoma"/>
            <family val="0"/>
          </rPr>
          <t xml:space="preserve">from ICF kaisiser presentationn dated Sept 23, 98, ppage 36,</t>
        </r>
      </text>
      <mc:AlternateContent>
        <mc:Choice Requires="v2">
          <commentPr autoFill="true" autoScale="false" colHidden="false" locked="false" rowHidden="false" textHAlign="justify" textVAlign="top">
            <anchor moveWithCells="false" sizeWithCells="false">
              <xdr:from>
                <xdr:col>1</xdr:col>
                <xdr:colOff>16</xdr:colOff>
                <xdr:row>67</xdr:row>
                <xdr:rowOff>0</xdr:rowOff>
              </xdr:from>
              <xdr:to>
                <xdr:col>4</xdr:col>
                <xdr:colOff>64</xdr:colOff>
                <xdr:row>75</xdr:row>
                <xdr:rowOff>12</xdr:rowOff>
              </xdr:to>
            </anchor>
          </commentPr>
        </mc:Choice>
        <mc:Fallback/>
      </mc:AlternateContent>
    </comment>
    <comment ref="A73" authorId="0">
      <text>
        <r>
          <rPr>
            <b val="true"/>
            <sz val="8"/>
            <color rgb="FF000000"/>
            <rFont val="Tahoma"/>
            <family val="0"/>
          </rPr>
          <t xml:space="preserve">Sheetal J Bajoria x3-5692:
</t>
        </r>
        <r>
          <rPr>
            <sz val="8"/>
            <color rgb="FF000000"/>
            <rFont val="Tahoma"/>
            <family val="0"/>
          </rPr>
          <t xml:space="preserve">Based on 1996 numbers, escalated at 3%</t>
        </r>
      </text>
      <mc:AlternateContent>
        <mc:Choice Requires="v2">
          <commentPr autoFill="true" autoScale="false" colHidden="false" locked="false" rowHidden="false" textHAlign="justify" textVAlign="top">
            <anchor moveWithCells="false" sizeWithCells="false">
              <xdr:from>
                <xdr:col>1</xdr:col>
                <xdr:colOff>13</xdr:colOff>
                <xdr:row>70</xdr:row>
                <xdr:rowOff>11</xdr:rowOff>
              </xdr:from>
              <xdr:to>
                <xdr:col>3</xdr:col>
                <xdr:colOff>12</xdr:colOff>
                <xdr:row>75</xdr:row>
                <xdr:rowOff>13</xdr:rowOff>
              </xdr:to>
            </anchor>
          </commentPr>
        </mc:Choice>
        <mc:Fallback/>
      </mc:AlternateContent>
    </comment>
    <comment ref="A78" authorId="0">
      <text>
        <r>
          <rPr>
            <b val="true"/>
            <sz val="8"/>
            <color rgb="FF000000"/>
            <rFont val="Tahoma"/>
            <family val="0"/>
          </rPr>
          <t xml:space="preserve">Energy Curve:
Neil S-C, 2/17/99
</t>
        </r>
        <r>
          <rPr>
            <sz val="8"/>
            <color rgb="FF000000"/>
            <rFont val="Tahoma"/>
            <family val="2"/>
          </rPr>
          <t xml:space="preserve">From the ICF Kaiser Market Assessment of TVA dated 9/23/98</t>
        </r>
      </text>
      <mc:AlternateContent>
        <mc:Choice Requires="v2">
          <commentPr autoFill="true" autoScale="false" colHidden="false" locked="false" rowHidden="false" textHAlign="justify" textVAlign="top">
            <anchor moveWithCells="false" sizeWithCells="false">
              <xdr:from>
                <xdr:col>1</xdr:col>
                <xdr:colOff>16</xdr:colOff>
                <xdr:row>76</xdr:row>
                <xdr:rowOff>7</xdr:rowOff>
              </xdr:from>
              <xdr:to>
                <xdr:col>4</xdr:col>
                <xdr:colOff>57</xdr:colOff>
                <xdr:row>81</xdr:row>
                <xdr:rowOff>6</xdr:rowOff>
              </xdr:to>
            </anchor>
          </commentPr>
        </mc:Choice>
        <mc:Fallback/>
      </mc:AlternateContent>
    </comment>
    <comment ref="A79" authorId="0">
      <text>
        <r>
          <rPr>
            <b val="true"/>
            <sz val="8"/>
            <color rgb="FF000000"/>
            <rFont val="Tahoma"/>
            <family val="0"/>
          </rPr>
          <t xml:space="preserve">Energy Curve:
Neil S-C, 2/17/99
</t>
        </r>
        <r>
          <rPr>
            <sz val="8"/>
            <color rgb="FF000000"/>
            <rFont val="Tahoma"/>
            <family val="2"/>
          </rPr>
          <t xml:space="preserve">From the ICF Kaiser Market Assessment of TVA dated 9/23/98</t>
        </r>
      </text>
      <mc:AlternateContent>
        <mc:Choice Requires="v2">
          <commentPr autoFill="true" autoScale="false" colHidden="false" locked="false" rowHidden="false" textHAlign="justify" textVAlign="top">
            <anchor moveWithCells="false" sizeWithCells="false">
              <xdr:from>
                <xdr:col>1</xdr:col>
                <xdr:colOff>16</xdr:colOff>
                <xdr:row>78</xdr:row>
                <xdr:rowOff>2</xdr:rowOff>
              </xdr:from>
              <xdr:to>
                <xdr:col>4</xdr:col>
                <xdr:colOff>57</xdr:colOff>
                <xdr:row>82</xdr:row>
                <xdr:rowOff>6</xdr:rowOff>
              </xdr:to>
            </anchor>
          </commentPr>
        </mc:Choice>
        <mc:Fallback/>
      </mc:AlternateContent>
    </comment>
    <comment ref="C21" authorId="0">
      <text>
        <r>
          <rPr>
            <b val="true"/>
            <sz val="8"/>
            <color rgb="FF000000"/>
            <rFont val="Tahoma"/>
            <family val="0"/>
          </rPr>
          <t xml:space="preserve">Bryan Garrett:
</t>
        </r>
        <r>
          <rPr>
            <sz val="8"/>
            <color rgb="FF000000"/>
            <rFont val="Tahoma"/>
            <family val="0"/>
          </rPr>
          <t xml:space="preserve">This is lower because you have only a partial year's costs vs a full year's MWh output (this is due to the fact that the plant only runs during summer months.</t>
        </r>
      </text>
      <mc:AlternateContent>
        <mc:Choice Requires="v2">
          <commentPr autoFill="true" autoScale="false" colHidden="false" locked="false" rowHidden="false" textHAlign="justify" textVAlign="top">
            <anchor moveWithCells="false" sizeWithCells="false">
              <xdr:from>
                <xdr:col>1</xdr:col>
                <xdr:colOff>19</xdr:colOff>
                <xdr:row>7</xdr:row>
                <xdr:rowOff>7</xdr:rowOff>
              </xdr:from>
              <xdr:to>
                <xdr:col>3</xdr:col>
                <xdr:colOff>7</xdr:colOff>
                <xdr:row>19</xdr:row>
                <xdr:rowOff>16</xdr:rowOff>
              </xdr:to>
            </anchor>
          </commentPr>
        </mc:Choice>
        <mc:Fallback/>
      </mc:AlternateContent>
    </comment>
    <comment ref="D63" authorId="0">
      <text>
        <r>
          <rPr>
            <b val="true"/>
            <sz val="8"/>
            <color rgb="FF000000"/>
            <rFont val="Tahoma"/>
            <family val="0"/>
          </rPr>
          <t xml:space="preserve">Sheetal J Bajoria x3-5692:
</t>
        </r>
        <r>
          <rPr>
            <sz val="8"/>
            <color rgb="FF000000"/>
            <rFont val="Tahoma"/>
            <family val="0"/>
          </rPr>
          <t xml:space="preserve">from Kaiser estimates
</t>
        </r>
      </text>
      <mc:AlternateContent>
        <mc:Choice Requires="v2">
          <commentPr autoFill="true" autoScale="false" colHidden="false" locked="false" rowHidden="false" textHAlign="justify" textVAlign="top">
            <anchor moveWithCells="false" sizeWithCells="false">
              <xdr:from>
                <xdr:col>5</xdr:col>
                <xdr:colOff>36</xdr:colOff>
                <xdr:row>61</xdr:row>
                <xdr:rowOff>2</xdr:rowOff>
              </xdr:from>
              <xdr:to>
                <xdr:col>7</xdr:col>
                <xdr:colOff>36</xdr:colOff>
                <xdr:row>65</xdr:row>
                <xdr:rowOff>13</xdr:rowOff>
              </xdr:to>
            </anchor>
          </commentPr>
        </mc:Choice>
        <mc:Fallback/>
      </mc:AlternateContent>
    </comment>
    <comment ref="D64" authorId="0">
      <text>
        <r>
          <rPr>
            <b val="true"/>
            <sz val="8"/>
            <color rgb="FF000000"/>
            <rFont val="Tahoma"/>
            <family val="0"/>
          </rPr>
          <t xml:space="preserve">Sheetal J Bajoria x3-5692:
</t>
        </r>
        <r>
          <rPr>
            <sz val="8"/>
            <color rgb="FF000000"/>
            <rFont val="Tahoma"/>
            <family val="0"/>
          </rPr>
          <t xml:space="preserve">from Kaiser estimates
</t>
        </r>
      </text>
      <mc:AlternateContent>
        <mc:Choice Requires="v2">
          <commentPr autoFill="true" autoScale="false" colHidden="false" locked="false" rowHidden="false" textHAlign="justify" textVAlign="top">
            <anchor moveWithCells="false" sizeWithCells="false">
              <xdr:from>
                <xdr:col>4</xdr:col>
                <xdr:colOff>16</xdr:colOff>
                <xdr:row>62</xdr:row>
                <xdr:rowOff>0</xdr:rowOff>
              </xdr:from>
              <xdr:to>
                <xdr:col>6</xdr:col>
                <xdr:colOff>16</xdr:colOff>
                <xdr:row>66</xdr:row>
                <xdr:rowOff>13</xdr:rowOff>
              </xdr:to>
            </anchor>
          </commentPr>
        </mc:Choice>
        <mc:Fallback/>
      </mc:AlternateContent>
    </comment>
    <comment ref="W6" authorId="0">
      <text>
        <r>
          <rPr>
            <b val="true"/>
            <sz val="8"/>
            <color rgb="FF000000"/>
            <rFont val="Tahoma"/>
            <family val="0"/>
          </rPr>
          <t xml:space="preserve">3/23/99
Neil S-C
</t>
        </r>
        <r>
          <rPr>
            <sz val="8"/>
            <color rgb="FF000000"/>
            <rFont val="Tahoma"/>
            <family val="2"/>
          </rPr>
          <t xml:space="preserve">This is a 20 Year deal starting 7/99.  If we go 5 months in this year you could argue that no run hours is a legitimate scenario.  Rodney Malcolm suggested we do a full year here.  I have not found any document or agreement binds us to 20 years.</t>
        </r>
      </text>
      <mc:AlternateContent>
        <mc:Choice Requires="v2">
          <commentPr autoFill="true" autoScale="false" colHidden="false" locked="false" rowHidden="false" textHAlign="justify" textVAlign="top">
            <anchor moveWithCells="false" sizeWithCells="false">
              <xdr:from>
                <xdr:col>23</xdr:col>
                <xdr:colOff>16</xdr:colOff>
                <xdr:row>4</xdr:row>
                <xdr:rowOff>6</xdr:rowOff>
              </xdr:from>
              <xdr:to>
                <xdr:col>26</xdr:col>
                <xdr:colOff>54</xdr:colOff>
                <xdr:row>12</xdr:row>
                <xdr:rowOff>8</xdr:rowOff>
              </xdr:to>
            </anchor>
          </commentPr>
        </mc:Choice>
        <mc:Fallback/>
      </mc:AlternateContent>
    </comment>
  </commentList>
</comments>
</file>

<file path=xl/sharedStrings.xml><?xml version="1.0" encoding="utf-8"?>
<sst xmlns="http://schemas.openxmlformats.org/spreadsheetml/2006/main" count="1564" uniqueCount="715">
  <si>
    <t xml:space="preserve">Tracker </t>
  </si>
  <si>
    <t xml:space="preserve">Current: Linked to the Model</t>
  </si>
  <si>
    <t xml:space="preserve">NPV at 15% 20 years After Tax</t>
  </si>
  <si>
    <t xml:space="preserve">NPV at 15% 20 years Before Tax</t>
  </si>
  <si>
    <t xml:space="preserve">YEAR</t>
  </si>
  <si>
    <t xml:space="preserve">Total NPV</t>
  </si>
  <si>
    <t xml:space="preserve">Delta</t>
  </si>
  <si>
    <t xml:space="preserve">Annual Revenues</t>
  </si>
  <si>
    <t xml:space="preserve">Annual Expenses</t>
  </si>
  <si>
    <t xml:space="preserve">After Tax Book Income</t>
  </si>
  <si>
    <t xml:space="preserve">After Tax Cash Flow</t>
  </si>
  <si>
    <t xml:space="preserve">1.  Models Sent to Banks on 2/23/99 - Neil Sainsbury-Carter</t>
  </si>
  <si>
    <t xml:space="preserve">Cumulative Changes</t>
  </si>
  <si>
    <t xml:space="preserve">2.  New Cost Summary from Shelly May - 2/25/99</t>
  </si>
  <si>
    <t xml:space="preserve">Incremental Changes</t>
  </si>
  <si>
    <t xml:space="preserve">3.  Changed the depreciable base to include EE&amp;CC Pro Manag't and Expense EI O&amp;M Mob in 1st year.</t>
  </si>
  <si>
    <t xml:space="preserve">4.  Changed the basis for Franchise Tax from Book Asset Value to Shareholders Equity and Long Term Debt.  Patrick Maloy Memo</t>
  </si>
  <si>
    <t xml:space="preserve">5.  EI O&amp;M Mobilization.  Took out the 1st year expense and depreciated it in the 1st year.</t>
  </si>
  <si>
    <t xml:space="preserve">6.  Took out the proration of the Utilities - Start up power</t>
  </si>
  <si>
    <t xml:space="preserve">7.  Overall Insurance during operations decreased per Agatha's new estimates</t>
  </si>
  <si>
    <t xml:space="preserve">8.  Changed the Order of the State Tax Calculation making Frachise and Gross Receipts Tax deductables to State Income Tax.</t>
  </si>
  <si>
    <t xml:space="preserve">9.  Changed the MACR Tables</t>
  </si>
  <si>
    <t xml:space="preserve">10.  Tax Calc for Federal was not deducting total State Taxes.  Excluded Franchise Tax.</t>
  </si>
  <si>
    <t xml:space="preserve">11.  Added to Fixed G&amp;A 30k for Gas Pipeline Metering</t>
  </si>
  <si>
    <t xml:space="preserve">12.  New Drawdowns from Shelly May</t>
  </si>
  <si>
    <t xml:space="preserve">13.   Updated Major Maintenance Schedules for the OEC</t>
  </si>
  <si>
    <t xml:space="preserve">14.   Made the year 20 a full year.  No more proration of the capacity and Fixed O&amp;M.</t>
  </si>
  <si>
    <t xml:space="preserve">15.  Revised Operating Insurance increased the estimate.</t>
  </si>
  <si>
    <t xml:space="preserve">16.  Put in the new Drawdown and the actual IDC's for the first 2 months.</t>
  </si>
  <si>
    <t xml:space="preserve">17.  Put the Franchise Tax Calculation into the Book Income </t>
  </si>
  <si>
    <t xml:space="preserve">18.  Version #20 of Control Budget and a new Drawdown Schedule</t>
  </si>
  <si>
    <t xml:space="preserve">19.  Rolled EI Mob into Turnkey Deprec and Increased Book Income Deprec. To 30 years.</t>
  </si>
  <si>
    <t xml:space="preserve">20.  Changed Interest Income to be 5% of 25% of EBITDA</t>
  </si>
  <si>
    <t xml:space="preserve">21.  Added a $1M Admin Fee which is prorated by MW among the projects</t>
  </si>
  <si>
    <t xml:space="preserve">22.  Changed the Site Capacity from 450 to 441.6</t>
  </si>
  <si>
    <t xml:space="preserve">23.  Changed the Fuel Price to Fixed at 2.5</t>
  </si>
  <si>
    <t xml:space="preserve">24.  Added a per start charge which causes maj main to be passeed through and reduced Capacity to 3.25</t>
  </si>
  <si>
    <t xml:space="preserve">25.   Revision #22 of Control Budget.  Took out the Debt Reserve.</t>
  </si>
  <si>
    <t xml:space="preserve">26.   Added the Final Report ICF Capacity Curve</t>
  </si>
  <si>
    <t xml:space="preserve">27.  Changed the MMBTU/start/Turbine as per the latest Azim estimates</t>
  </si>
  <si>
    <t xml:space="preserve">28.  Reduced estimated run hours back to 1200 hours</t>
  </si>
  <si>
    <t xml:space="preserve">29.  Capacity confirmed at 442 MW up from 441.6</t>
  </si>
  <si>
    <t xml:space="preserve">30.  Capacity price on PPA to $4.00 from 3.25</t>
  </si>
  <si>
    <t xml:space="preserve">31.  Version # 23 of the Control Budget</t>
  </si>
  <si>
    <t xml:space="preserve">32.  Moved Start Date to July 1st from June</t>
  </si>
  <si>
    <t xml:space="preserve">33.  Added a Degradation Factor of 2% to the Merchant Capacity Payment</t>
  </si>
  <si>
    <t xml:space="preserve">34.  Added a Marketing Fee of .07 / kw-mo</t>
  </si>
  <si>
    <t xml:space="preserve">35.  Revised the Start Up Fuel MMBTU's per Turbine and Entered the new Kaiser Curve.</t>
  </si>
  <si>
    <t xml:space="preserve">36.  Control Budget # 25</t>
  </si>
  <si>
    <t xml:space="preserve">37.  Added in the additional MW from Evap Cooling investment in 2000</t>
  </si>
  <si>
    <t xml:space="preserve">38.  Adjusted the Heat Rate to reflect the latest assumptions.</t>
  </si>
  <si>
    <t xml:space="preserve">39.  Moved the Start Date to Aug. so only 5 months in 1st year.</t>
  </si>
  <si>
    <t xml:space="preserve">40.  Added a $500k per turbine CAPEX to year 2000 for the EVAP Coolers</t>
  </si>
  <si>
    <t xml:space="preserve">41.  Changed the Block Payment to only include 1/3 of the Maj. Main. As the Kaiser curve has incorporated 2/3's</t>
  </si>
  <si>
    <t xml:space="preserve">42.  Ran the additional MW from Evap Coolers through the Demand Charge.</t>
  </si>
  <si>
    <t xml:space="preserve">43.  Incorporated the Energy Margin on 2% of MW's.</t>
  </si>
  <si>
    <t xml:space="preserve">44.  Control Budget Version #26</t>
  </si>
  <si>
    <t xml:space="preserve">45.  End of Commercial Op is 5/19 as in the PPA's</t>
  </si>
  <si>
    <t xml:space="preserve">46.  Control Budget Version # 27</t>
  </si>
  <si>
    <t xml:space="preserve">47.  Changed the escalation on the Marketing Fee so that the base year is 2003</t>
  </si>
  <si>
    <t xml:space="preserve">48.  Control Budget Version # 28</t>
  </si>
  <si>
    <t xml:space="preserve">49.  Control Budget Version # 29</t>
  </si>
  <si>
    <t xml:space="preserve">50.  The Major Maintenance in the Block Payment was prorated for the last partial year while the cost was not.</t>
  </si>
  <si>
    <t xml:space="preserve">51.  Added back in the Start Up Fuel Cost</t>
  </si>
  <si>
    <t xml:space="preserve">52.  Control Budget Version # 30</t>
  </si>
  <si>
    <t xml:space="preserve">53.  Changed the Financing to the CSFB terms</t>
  </si>
  <si>
    <t xml:space="preserve">54.  Made the last year, 2019, a full year as per the latest PPA</t>
  </si>
  <si>
    <t xml:space="preserve">55.  Control Budget Revision # 33</t>
  </si>
  <si>
    <t xml:space="preserve">56.  Zeroed out the Franchise tax</t>
  </si>
  <si>
    <t xml:space="preserve">57.  Control Budget revision # 36</t>
  </si>
  <si>
    <t xml:space="preserve">63.  The market based capacity drives off of the ISO numbers to stay constant with the Kaiser assumptions</t>
  </si>
  <si>
    <t xml:space="preserve">64.  Control Budget Version # 39</t>
  </si>
  <si>
    <t xml:space="preserve">65.  Control Budget Version # 40: ABB &amp; Development #'s Changed</t>
  </si>
  <si>
    <t xml:space="preserve">66.  Control Budget Version # 41: </t>
  </si>
  <si>
    <t xml:space="preserve">67.  Changes made to EE&amp;CC, NEPCO and IDC Credit</t>
  </si>
  <si>
    <t xml:space="preserve">67.  Changes made to Mobilization of O&amp;M, Start-up Fuel, &amp; IDC</t>
  </si>
  <si>
    <t xml:space="preserve">67.  Changes made to NEPCO, Development, &amp; Legal</t>
  </si>
  <si>
    <t xml:space="preserve">68 Changes made to ABB</t>
  </si>
  <si>
    <t xml:space="preserve">68 No changes made to model</t>
  </si>
  <si>
    <t xml:space="preserve">69 No changes made to model</t>
  </si>
  <si>
    <t xml:space="preserve">70 Changes made to Legal expenses and NEPCO expenses</t>
  </si>
  <si>
    <t xml:space="preserve">71. Changes made to legal, Development, NEPCO, &amp; Mobilization of Fuel</t>
  </si>
  <si>
    <t xml:space="preserve">72. Changes made to legal, Development, NEPCO, &amp; Mobilization of Fuel</t>
  </si>
  <si>
    <t xml:space="preserve">73. Changes made to legal, Development, NEPCO, &amp; Mobilization of Fuel</t>
  </si>
  <si>
    <t xml:space="preserve">74. Changes made to legal, Development, NEPCO, &amp; Mobilization of Fuel</t>
  </si>
  <si>
    <t xml:space="preserve">75. Changes made to mobilization of fuel, development, anf financing fee.</t>
  </si>
  <si>
    <t xml:space="preserve">76. Changes made to mobilization of fuel, development, anf financing fee.</t>
  </si>
  <si>
    <t xml:space="preserve">76. Changes made to mobilization of fuel, development, financing fee and legal expenses</t>
  </si>
  <si>
    <t xml:space="preserve">76. Changes made to spare parts and legal expenses</t>
  </si>
  <si>
    <t xml:space="preserve">COPIED TO THE CONSOLIDATED FILE</t>
  </si>
  <si>
    <t xml:space="preserve">Plant Summary</t>
  </si>
  <si>
    <t xml:space="preserve">Capacity</t>
  </si>
  <si>
    <t xml:space="preserve">Heat Rate</t>
  </si>
  <si>
    <t xml:space="preserve">No. of Turbines</t>
  </si>
  <si>
    <t xml:space="preserve">Operating Hours</t>
  </si>
  <si>
    <t xml:space="preserve">Start Up MMBTU's</t>
  </si>
  <si>
    <t xml:space="preserve">Book Income 1999 Costs</t>
  </si>
  <si>
    <t xml:space="preserve">Fixed Operating Cost</t>
  </si>
  <si>
    <t xml:space="preserve">Variable Operating Cost</t>
  </si>
  <si>
    <t xml:space="preserve">Start Fuel</t>
  </si>
  <si>
    <t xml:space="preserve">Major Main.</t>
  </si>
  <si>
    <t xml:space="preserve">Insurance</t>
  </si>
  <si>
    <t xml:space="preserve">SG&amp;A Cost</t>
  </si>
  <si>
    <t xml:space="preserve">Utility: Start Up Power</t>
  </si>
  <si>
    <t xml:space="preserve">Property Taxes &amp; Other</t>
  </si>
  <si>
    <t xml:space="preserve">Debt Service</t>
  </si>
  <si>
    <t xml:space="preserve">Admin Fees</t>
  </si>
  <si>
    <t xml:space="preserve">O&amp;M Fees</t>
  </si>
  <si>
    <t xml:space="preserve">Variable Revenue</t>
  </si>
  <si>
    <t xml:space="preserve">Variable Energy Payment</t>
  </si>
  <si>
    <t xml:space="preserve">Start Payment/Turbine</t>
  </si>
  <si>
    <t xml:space="preserve">Consolidated Check</t>
  </si>
  <si>
    <t xml:space="preserve">EGC EITDA</t>
  </si>
  <si>
    <t xml:space="preserve">Caladonia</t>
  </si>
  <si>
    <t xml:space="preserve">Plus : L/C</t>
  </si>
  <si>
    <t xml:space="preserve">Less:  Interest</t>
  </si>
  <si>
    <t xml:space="preserve">    Difference</t>
  </si>
  <si>
    <t xml:space="preserve">CALEDONIA, Lowndes County, MS</t>
  </si>
  <si>
    <t xml:space="preserve">ASSUMPTIONS AND SUMMARY ($000)</t>
  </si>
  <si>
    <t xml:space="preserve">SOURCES AND USES:</t>
  </si>
  <si>
    <t xml:space="preserve">PROJECT DESCRIPTION:</t>
  </si>
  <si>
    <t xml:space="preserve">VARIABLE OPERATING COSTS:</t>
  </si>
  <si>
    <t xml:space="preserve">PROPERTY TAX ASSUMPTIONS:</t>
  </si>
  <si>
    <t xml:space="preserve">Base Yr.</t>
  </si>
  <si>
    <t xml:space="preserve">Assessed Value Multiplier</t>
  </si>
  <si>
    <t xml:space="preserve">Sources of Funds</t>
  </si>
  <si>
    <t xml:space="preserve">Type of Turbines</t>
  </si>
  <si>
    <t xml:space="preserve">GE 7EA</t>
  </si>
  <si>
    <t xml:space="preserve">OEC #'s per 1200 hrs</t>
  </si>
  <si>
    <t xml:space="preserve">MW'hrs</t>
  </si>
  <si>
    <t xml:space="preserve">$/Mwh</t>
  </si>
  <si>
    <t xml:space="preserve">2000-2003  Ave.</t>
  </si>
  <si>
    <t xml:space="preserve">Average Depreciation for Property Taxes</t>
  </si>
  <si>
    <t xml:space="preserve">    Equity Capital</t>
  </si>
  <si>
    <t xml:space="preserve">No. Turbines</t>
  </si>
  <si>
    <t xml:space="preserve">Water Treatment</t>
  </si>
  <si>
    <t xml:space="preserve">Mileage Rate for School Tax</t>
  </si>
  <si>
    <t xml:space="preserve">    Permanent Loan</t>
  </si>
  <si>
    <t xml:space="preserve">ISO Capacity Rating</t>
  </si>
  <si>
    <t xml:space="preserve">FERC Fee</t>
  </si>
  <si>
    <t xml:space="preserve">Years of School Tax Abatement</t>
  </si>
  <si>
    <t xml:space="preserve">  Total Sources</t>
  </si>
  <si>
    <t xml:space="preserve">Net Project MW - Site</t>
  </si>
  <si>
    <t xml:space="preserve">Only</t>
  </si>
  <si>
    <t xml:space="preserve">Variable Maintenance</t>
  </si>
  <si>
    <t xml:space="preserve">School Abatement rate or amount</t>
  </si>
  <si>
    <t xml:space="preserve">WACC</t>
  </si>
  <si>
    <t xml:space="preserve">Net Project MW - Site w/ Evap Cooling</t>
  </si>
  <si>
    <t xml:space="preserve">On</t>
  </si>
  <si>
    <t xml:space="preserve">    TOTAL VEP</t>
  </si>
  <si>
    <t xml:space="preserve">Mileage rate for County Tax</t>
  </si>
  <si>
    <t xml:space="preserve">Uses of Funds</t>
  </si>
  <si>
    <t xml:space="preserve">Degraded Capacity</t>
  </si>
  <si>
    <t xml:space="preserve">On Merchant Hours Only</t>
  </si>
  <si>
    <t xml:space="preserve">Years of County Tax Abatement </t>
  </si>
  <si>
    <t xml:space="preserve">Hard Costs:</t>
  </si>
  <si>
    <t xml:space="preserve">Heat Rate (HHV)</t>
  </si>
  <si>
    <t xml:space="preserve">COST PER START:</t>
  </si>
  <si>
    <t xml:space="preserve">County Abatement rate or amount</t>
  </si>
  <si>
    <t xml:space="preserve">  Turbines</t>
  </si>
  <si>
    <t xml:space="preserve">Power Capacity Factor</t>
  </si>
  <si>
    <t xml:space="preserve">No of Starts (By 10's)</t>
  </si>
  <si>
    <t xml:space="preserve">Cost/Start/Turbine</t>
  </si>
  <si>
    <t xml:space="preserve">Cost/Start</t>
  </si>
  <si>
    <t xml:space="preserve">$/Yr. (000's)</t>
  </si>
  <si>
    <t xml:space="preserve">Escalation</t>
  </si>
  <si>
    <t xml:space="preserve">No City Taxes</t>
  </si>
  <si>
    <t xml:space="preserve">  ABB  (Transformers and Circuit Breakers)</t>
  </si>
  <si>
    <t xml:space="preserve">Annual Peak Operating Hours</t>
  </si>
  <si>
    <t xml:space="preserve">Major Maintenance</t>
  </si>
  <si>
    <t xml:space="preserve">Average Property Tax per year</t>
  </si>
  <si>
    <t xml:space="preserve">  NEPCO scope (Balance of Plant Costs and Construction)</t>
  </si>
  <si>
    <t xml:space="preserve">Project Life (Years)</t>
  </si>
  <si>
    <t xml:space="preserve">Start Up Fuel</t>
  </si>
  <si>
    <t xml:space="preserve">  Spare Parts</t>
  </si>
  <si>
    <t xml:space="preserve">Start of Commercial Operation</t>
  </si>
  <si>
    <t xml:space="preserve">BOOK INCOME ASSUMPTIONS:</t>
  </si>
  <si>
    <t xml:space="preserve">  Land Acquisition</t>
  </si>
  <si>
    <t xml:space="preserve">End of Commercial Operation</t>
  </si>
  <si>
    <t xml:space="preserve">P/E in Year 2000:</t>
  </si>
  <si>
    <t xml:space="preserve">  Gas Interconnection Costs</t>
  </si>
  <si>
    <t xml:space="preserve">Installed Cost ($/kW)</t>
  </si>
  <si>
    <t xml:space="preserve">W/Debt Res.</t>
  </si>
  <si>
    <t xml:space="preserve">W/O Debt Res.</t>
  </si>
  <si>
    <t xml:space="preserve">FIXED OPERATING COSTS:</t>
  </si>
  <si>
    <t xml:space="preserve">Book Depreciation Period</t>
  </si>
  <si>
    <t xml:space="preserve">  Electricity Interconnection Costs</t>
  </si>
  <si>
    <t xml:space="preserve">Payroll and Burden</t>
  </si>
  <si>
    <t xml:space="preserve">Book Residual</t>
  </si>
  <si>
    <t xml:space="preserve">  Sales and Use Tax on Equipment</t>
  </si>
  <si>
    <t xml:space="preserve">VARIABLE PAYMENTS:</t>
  </si>
  <si>
    <t xml:space="preserve">Other O&amp;M expenses</t>
  </si>
  <si>
    <t xml:space="preserve">Avg Annual Int Rate Earned on EBITDA and Maint Res</t>
  </si>
  <si>
    <t xml:space="preserve">  Mobilization Fuel</t>
  </si>
  <si>
    <t xml:space="preserve">$/ MW h</t>
  </si>
  <si>
    <t xml:space="preserve">Admin Fee</t>
  </si>
  <si>
    <t xml:space="preserve">Start Up Payment</t>
  </si>
  <si>
    <t xml:space="preserve">$/Start/ Turbine</t>
  </si>
  <si>
    <t xml:space="preserve">Marketing Fee (Merchant Only)</t>
  </si>
  <si>
    <t xml:space="preserve">$/kw-mo</t>
  </si>
  <si>
    <t xml:space="preserve">CHECKS:</t>
  </si>
  <si>
    <t xml:space="preserve">Energy Margin</t>
  </si>
  <si>
    <t xml:space="preserve">$/MWh</t>
  </si>
  <si>
    <t xml:space="preserve">Capacity Factor</t>
  </si>
  <si>
    <t xml:space="preserve">O&amp;M Fee</t>
  </si>
  <si>
    <t xml:space="preserve">Soft Costs:</t>
  </si>
  <si>
    <t xml:space="preserve">   TOTAL FIXED OPERATING COSTS</t>
  </si>
  <si>
    <t xml:space="preserve">Does Balance Sheet Balance</t>
  </si>
  <si>
    <t xml:space="preserve">  EE&amp;CC Project Management</t>
  </si>
  <si>
    <t xml:space="preserve">PPA ASSUMPTIONS:</t>
  </si>
  <si>
    <t xml:space="preserve">Total Depreciable Base</t>
  </si>
  <si>
    <t xml:space="preserve">  Mobilization of O&amp;M</t>
  </si>
  <si>
    <t xml:space="preserve">Term of ECT PPA (years)</t>
  </si>
  <si>
    <t xml:space="preserve">Yrs.</t>
  </si>
  <si>
    <t xml:space="preserve">End Month</t>
  </si>
  <si>
    <t xml:space="preserve">FIXED G&amp;A:</t>
  </si>
  <si>
    <t xml:space="preserve">Total Project Cost</t>
  </si>
  <si>
    <t xml:space="preserve">  Environmental Permitting</t>
  </si>
  <si>
    <t xml:space="preserve">Total PPA Capacity (MW)</t>
  </si>
  <si>
    <t xml:space="preserve">Insurance Costs:</t>
  </si>
  <si>
    <t xml:space="preserve">   Undepreciated Cost</t>
  </si>
  <si>
    <t xml:space="preserve">  Insurance During Construction</t>
  </si>
  <si>
    <t xml:space="preserve">Number of Hours Called under PPA</t>
  </si>
  <si>
    <t xml:space="preserve">   Liability Insurance </t>
  </si>
  <si>
    <t xml:space="preserve">   Debt Res + Land </t>
  </si>
  <si>
    <t xml:space="preserve">  Capitalized Salaries</t>
  </si>
  <si>
    <t xml:space="preserve">Beginning Capacity Rate Enron </t>
  </si>
  <si>
    <t xml:space="preserve">   Bus. Inter. Insr.</t>
  </si>
  <si>
    <t xml:space="preserve">  Resale Handling Fee</t>
  </si>
  <si>
    <t xml:space="preserve">Capacity Rate Escalation</t>
  </si>
  <si>
    <t xml:space="preserve">   Ops. and Mach. Insr.</t>
  </si>
  <si>
    <t xml:space="preserve">  Development Expenses</t>
  </si>
  <si>
    <t xml:space="preserve">Model uses Kaiser Estimates (average):  </t>
  </si>
  <si>
    <t xml:space="preserve">Insurance Cost</t>
  </si>
  <si>
    <t xml:space="preserve">  Legal Expense</t>
  </si>
  <si>
    <t xml:space="preserve">Utilities: Start Up Power</t>
  </si>
  <si>
    <t xml:space="preserve">DEBT FINANCING ASSUMPTIONS:</t>
  </si>
  <si>
    <t xml:space="preserve">Utilities: Facilities Load</t>
  </si>
  <si>
    <t xml:space="preserve">   </t>
  </si>
  <si>
    <t xml:space="preserve">Use Normal Debt Structure or Alternate?</t>
  </si>
  <si>
    <t xml:space="preserve">Alternate</t>
  </si>
  <si>
    <t xml:space="preserve">Interconnection Fees</t>
  </si>
  <si>
    <t xml:space="preserve">Gas Pipeline Meteing Station</t>
  </si>
  <si>
    <t xml:space="preserve">Financing Costs:</t>
  </si>
  <si>
    <t xml:space="preserve">Tranche A</t>
  </si>
  <si>
    <t xml:space="preserve">Tranche B</t>
  </si>
  <si>
    <t xml:space="preserve">Tranche C</t>
  </si>
  <si>
    <t xml:space="preserve">Total</t>
  </si>
  <si>
    <t xml:space="preserve">Miscellaneous</t>
  </si>
  <si>
    <t xml:space="preserve">  Lender's Engineer</t>
  </si>
  <si>
    <t xml:space="preserve">Principal Amount</t>
  </si>
  <si>
    <t xml:space="preserve">Other</t>
  </si>
  <si>
    <t xml:space="preserve">  Lender's Counsel</t>
  </si>
  <si>
    <t xml:space="preserve">Principal Amount - Alternative</t>
  </si>
  <si>
    <t xml:space="preserve">   Total FIXED G&amp;A</t>
  </si>
  <si>
    <t xml:space="preserve">  Financing Fee</t>
  </si>
  <si>
    <t xml:space="preserve">Term</t>
  </si>
  <si>
    <t xml:space="preserve">  Debt Reserves</t>
  </si>
  <si>
    <t xml:space="preserve">Interest Rate</t>
  </si>
  <si>
    <t xml:space="preserve">O&amp;M Escalation</t>
  </si>
  <si>
    <t xml:space="preserve">DSCR</t>
  </si>
  <si>
    <t xml:space="preserve">Operating Cost Escalation</t>
  </si>
  <si>
    <t xml:space="preserve">Choose for Tranches B &amp; C </t>
  </si>
  <si>
    <t xml:space="preserve">Interest Only</t>
  </si>
  <si>
    <t xml:space="preserve">Capitalized Interest:</t>
  </si>
  <si>
    <t xml:space="preserve">OPERATING COST SUMMARY:</t>
  </si>
  <si>
    <t xml:space="preserve">  Carrying Interest on Project Cost</t>
  </si>
  <si>
    <t xml:space="preserve">Avg. Life (years)</t>
  </si>
  <si>
    <t xml:space="preserve">1999 $000's</t>
  </si>
  <si>
    <t xml:space="preserve">Variable Operating Costs</t>
  </si>
  <si>
    <t xml:space="preserve">$/YR</t>
  </si>
  <si>
    <t xml:space="preserve">  Contingency</t>
  </si>
  <si>
    <t xml:space="preserve">DEBT RESERVE ASSUMPTIONS:</t>
  </si>
  <si>
    <t xml:space="preserve">$/Start</t>
  </si>
  <si>
    <t xml:space="preserve">Fund from Operations or Financing?</t>
  </si>
  <si>
    <t xml:space="preserve">Operations</t>
  </si>
  <si>
    <t xml:space="preserve">Total Uses</t>
  </si>
  <si>
    <t xml:space="preserve">Amount of Reserve Needed (6 mos DS)</t>
  </si>
  <si>
    <t xml:space="preserve">Interest Rate Earned on Outstanding Debt Reserve Balance </t>
  </si>
  <si>
    <t xml:space="preserve">MODEL TOGGLES:</t>
  </si>
  <si>
    <t xml:space="preserve">Fixed Operating Costs</t>
  </si>
  <si>
    <t xml:space="preserve">$/KWm</t>
  </si>
  <si>
    <t xml:space="preserve">Fixed Price or Index Gas Curve?</t>
  </si>
  <si>
    <t xml:space="preserve">Fixed</t>
  </si>
  <si>
    <t xml:space="preserve">RETURNS TO EQUITY HOLDERS:</t>
  </si>
  <si>
    <t xml:space="preserve">Fixed G&amp;A</t>
  </si>
  <si>
    <t xml:space="preserve">Fixed Gas Price</t>
  </si>
  <si>
    <t xml:space="preserve">Preferred Equity</t>
  </si>
  <si>
    <t xml:space="preserve">Term (yrs)</t>
  </si>
  <si>
    <t xml:space="preserve">Property Taxes ('01 Disc.)</t>
  </si>
  <si>
    <t xml:space="preserve">Use Fed NOL Carryforward?</t>
  </si>
  <si>
    <t xml:space="preserve">Yes</t>
  </si>
  <si>
    <t xml:space="preserve">Coupon</t>
  </si>
  <si>
    <t xml:space="preserve">Operation Taxes ('01 Disc.)</t>
  </si>
  <si>
    <t xml:space="preserve">Use State NOL Carryforward?</t>
  </si>
  <si>
    <t xml:space="preserve">Principal</t>
  </si>
  <si>
    <t xml:space="preserve">Maximum Term of Carryforward (years)</t>
  </si>
  <si>
    <t xml:space="preserve">   Total  Operating Cost</t>
  </si>
  <si>
    <t xml:space="preserve">Assumed run hours or dispatched?</t>
  </si>
  <si>
    <t xml:space="preserve">Assumed</t>
  </si>
  <si>
    <t xml:space="preserve">RETURN ON EQUITY:</t>
  </si>
  <si>
    <t xml:space="preserve">Allow Merchant Energy Revenue?</t>
  </si>
  <si>
    <t xml:space="preserve">Required Return on Equity</t>
  </si>
  <si>
    <t xml:space="preserve">Start Up Fuel (MMBTU/Turbine)</t>
  </si>
  <si>
    <t xml:space="preserve">Allow Residual Capacity Value?</t>
  </si>
  <si>
    <t xml:space="preserve">No</t>
  </si>
  <si>
    <t xml:space="preserve">Pre-Tax</t>
  </si>
  <si>
    <t xml:space="preserve">After-Tax</t>
  </si>
  <si>
    <t xml:space="preserve">Fuel use per start (MMBtu/Turbine)</t>
  </si>
  <si>
    <t xml:space="preserve">Residual Capacity Value ($/kWmo)</t>
  </si>
  <si>
    <t xml:space="preserve">Years</t>
  </si>
  <si>
    <t xml:space="preserve">XIRR</t>
  </si>
  <si>
    <t xml:space="preserve">KAISER capacity curve</t>
  </si>
  <si>
    <t xml:space="preserve">STATE &amp; FEDERAL TAX ASSUMPTIONS:</t>
  </si>
  <si>
    <t xml:space="preserve">Base, Low, Mid or Percentage (1, 2, 3 or 4)</t>
  </si>
  <si>
    <t xml:space="preserve">Federal Income Tax Rate</t>
  </si>
  <si>
    <t xml:space="preserve">Percentage for Option 4</t>
  </si>
  <si>
    <t xml:space="preserve">State Income Tax Rate</t>
  </si>
  <si>
    <t xml:space="preserve">Energy Revenue Curve</t>
  </si>
  <si>
    <t xml:space="preserve">Marginal cost curve</t>
  </si>
  <si>
    <t xml:space="preserve">Effective Income Tax Rate</t>
  </si>
  <si>
    <t xml:space="preserve">Pass through Variable O&amp;M in Marginal Cost curve?</t>
  </si>
  <si>
    <t xml:space="preserve">Gross receipts tax on Sale to ultimate consumer</t>
  </si>
  <si>
    <t xml:space="preserve">XNPV</t>
  </si>
  <si>
    <t xml:space="preserve">Sales and Use tax on Sales to EPMI</t>
  </si>
  <si>
    <t xml:space="preserve">State Franchise Tax Rate on Corp. Capital</t>
  </si>
  <si>
    <t xml:space="preserve">State Sales and Use Tax Rate on Fuel</t>
  </si>
  <si>
    <t xml:space="preserve">Outstanding issues:</t>
  </si>
  <si>
    <t xml:space="preserve">Cash out to Equity&gt;NI ok?</t>
  </si>
  <si>
    <t xml:space="preserve">Working capital</t>
  </si>
  <si>
    <t xml:space="preserve">Can we reduce  Debt reserve as Debt amt falls.</t>
  </si>
  <si>
    <t xml:space="preserve">0.25% of capital tax per year is currently calced on BV of assets, It should be on stock, paid in capital, surplus, RE- less some reserves</t>
  </si>
  <si>
    <t xml:space="preserve">21 st year add % Revenues</t>
  </si>
  <si>
    <t xml:space="preserve">*</t>
  </si>
  <si>
    <t xml:space="preserve">Interest income: EBITDA and maintenance reserves? Not avg of cash?</t>
  </si>
  <si>
    <t xml:space="preserve">**</t>
  </si>
  <si>
    <t xml:space="preserve">Variable OM should include major maint or not?</t>
  </si>
  <si>
    <t xml:space="preserve">Add Balance sheet</t>
  </si>
  <si>
    <t xml:space="preserve">Need back up for some numbers</t>
  </si>
  <si>
    <t xml:space="preserve">Moveable date format</t>
  </si>
  <si>
    <t xml:space="preserve">Book Income not structurally correct for the period between debt and project life</t>
  </si>
  <si>
    <t xml:space="preserve">Auction Value</t>
  </si>
  <si>
    <t xml:space="preserve">Total Value</t>
  </si>
  <si>
    <t xml:space="preserve">Less Cost</t>
  </si>
  <si>
    <t xml:space="preserve">Net Value</t>
  </si>
  <si>
    <t xml:space="preserve">IPO Equity Valuation*</t>
  </si>
  <si>
    <t xml:space="preserve">REIT Equity  Value**</t>
  </si>
  <si>
    <t xml:space="preserve">Checked and verified</t>
  </si>
  <si>
    <t xml:space="preserve">Check with Tax</t>
  </si>
  <si>
    <t xml:space="preserve">Modelling or Assumption # change needed</t>
  </si>
  <si>
    <t xml:space="preserve">Multiples</t>
  </si>
  <si>
    <t xml:space="preserve">IPO = NPV of 2001 Earnings*Multiple-Equity-Capacity Delta</t>
  </si>
  <si>
    <t xml:space="preserve">Need clarication of principle/verfication</t>
  </si>
  <si>
    <t xml:space="preserve">IPO Value</t>
  </si>
  <si>
    <t xml:space="preserve">Reit =NPV of 2001  EBT*Multiple-Equity-Capacity Delta</t>
  </si>
  <si>
    <t xml:space="preserve">PPA Assumptions and Pricing Summary</t>
  </si>
  <si>
    <t xml:space="preserve">Months of Operation</t>
  </si>
  <si>
    <t xml:space="preserve">Months of Year Under PPA</t>
  </si>
  <si>
    <t xml:space="preserve">Months of Year Merchant</t>
  </si>
  <si>
    <t xml:space="preserve">% of Capacity Under PPA</t>
  </si>
  <si>
    <t xml:space="preserve">Capacity Payment Terms</t>
  </si>
  <si>
    <t xml:space="preserve"> </t>
  </si>
  <si>
    <t xml:space="preserve">   Energy ($/MWH)</t>
  </si>
  <si>
    <t xml:space="preserve">   Capacity ($/kw-mo)</t>
  </si>
  <si>
    <t xml:space="preserve">   Capacity Escalation Index</t>
  </si>
  <si>
    <t xml:space="preserve">   Ancillary Services</t>
  </si>
  <si>
    <t xml:space="preserve">   Fees</t>
  </si>
  <si>
    <t xml:space="preserve">Power Pricing Summary</t>
  </si>
  <si>
    <t xml:space="preserve">   All in Power Price $/MWH</t>
  </si>
  <si>
    <t xml:space="preserve">   Fuel $/MWH</t>
  </si>
  <si>
    <t xml:space="preserve">   Variable O&amp;M $/MWH</t>
  </si>
  <si>
    <t xml:space="preserve">   Marginal cost of Generation $/MWh</t>
  </si>
  <si>
    <t xml:space="preserve">Operations &amp; Maintenance Costs</t>
  </si>
  <si>
    <r>
      <rPr>
        <b val="true"/>
        <sz val="8"/>
        <rFont val="Times New Roman"/>
        <family val="1"/>
      </rPr>
      <t xml:space="preserve">   </t>
    </r>
    <r>
      <rPr>
        <b val="true"/>
        <u val="single"/>
        <sz val="8"/>
        <rFont val="Times New Roman"/>
        <family val="1"/>
      </rPr>
      <t xml:space="preserve">Annual Costs by Type:</t>
    </r>
  </si>
  <si>
    <t xml:space="preserve">Term Ave.</t>
  </si>
  <si>
    <t xml:space="preserve">   Total Variable Operating Costs</t>
  </si>
  <si>
    <t xml:space="preserve">   Total Per Start Expenses</t>
  </si>
  <si>
    <t xml:space="preserve">   Total Fixed (incl  G&amp;A)</t>
  </si>
  <si>
    <t xml:space="preserve">   Total Property Tax</t>
  </si>
  <si>
    <t xml:space="preserve">   Total Operating Taxes</t>
  </si>
  <si>
    <t xml:space="preserve">   Total Debt Service</t>
  </si>
  <si>
    <t xml:space="preserve">   Total Annual Expenses</t>
  </si>
  <si>
    <t xml:space="preserve">   Breakout of Total Fixed:</t>
  </si>
  <si>
    <t xml:space="preserve">   Fixed O&amp;M (excluding Maj. Main.)</t>
  </si>
  <si>
    <t xml:space="preserve">   Fixed G&amp;A</t>
  </si>
  <si>
    <r>
      <rPr>
        <b val="true"/>
        <sz val="8"/>
        <rFont val="Times New Roman"/>
        <family val="1"/>
      </rPr>
      <t xml:space="preserve">   </t>
    </r>
    <r>
      <rPr>
        <b val="true"/>
        <u val="single"/>
        <sz val="8"/>
        <rFont val="Times New Roman"/>
        <family val="1"/>
      </rPr>
      <t xml:space="preserve">$/kWmo Costs by Type:</t>
    </r>
  </si>
  <si>
    <t xml:space="preserve">   Variable Costs $/kWmo</t>
  </si>
  <si>
    <t xml:space="preserve">   Start Up Expenses $/Kwmo</t>
  </si>
  <si>
    <t xml:space="preserve">   Fixed Costs $/kWmo</t>
  </si>
  <si>
    <t xml:space="preserve">   Total Operating Costs $/kWmo</t>
  </si>
  <si>
    <t xml:space="preserve">   Total Op. Costs $/kWmo (excluding Debt Service)</t>
  </si>
  <si>
    <t xml:space="preserve">    Property Taxes</t>
  </si>
  <si>
    <t xml:space="preserve">    Operating Taxes $/KWEmo</t>
  </si>
  <si>
    <t xml:space="preserve">    Debt Service $/kWmo</t>
  </si>
  <si>
    <t xml:space="preserve">   Total Op Costs $/kWmo (including Debt Service)</t>
  </si>
  <si>
    <t xml:space="preserve">   Fixed Operating Costs (excluding Maj. Main.)</t>
  </si>
  <si>
    <r>
      <rPr>
        <b val="true"/>
        <sz val="8"/>
        <rFont val="Times New Roman"/>
        <family val="1"/>
      </rPr>
      <t xml:space="preserve">   </t>
    </r>
    <r>
      <rPr>
        <b val="true"/>
        <u val="single"/>
        <sz val="8"/>
        <rFont val="Times New Roman"/>
        <family val="1"/>
      </rPr>
      <t xml:space="preserve">$/MWh Costs by Type:</t>
    </r>
  </si>
  <si>
    <t xml:space="preserve">   Variable O&amp;M $/MWh</t>
  </si>
  <si>
    <t xml:space="preserve">   Fixed Op. Cost (Incl. G&amp;A) $/MWh</t>
  </si>
  <si>
    <t xml:space="preserve">   Total Operating Costs $/MWh</t>
  </si>
  <si>
    <t xml:space="preserve">Consultant's Capacity Curve</t>
  </si>
  <si>
    <t xml:space="preserve">Kaiser Base </t>
  </si>
  <si>
    <t xml:space="preserve">Kaiser Low </t>
  </si>
  <si>
    <t xml:space="preserve">Kaiser Mid (Average of Base and Low)</t>
  </si>
  <si>
    <t xml:space="preserve">Kaiser Percent (Percentage of Low and Mid)</t>
  </si>
  <si>
    <t xml:space="preserve">Kaiser TVA Base $/kw-year (in 1998 real $)</t>
  </si>
  <si>
    <t xml:space="preserve">REAL</t>
  </si>
  <si>
    <t xml:space="preserve">Kaiser TVA Low $/kw-year (in 1998 real $)</t>
  </si>
  <si>
    <t xml:space="preserve">Consultant's Energy Curve</t>
  </si>
  <si>
    <t xml:space="preserve">Kaiser Peak</t>
  </si>
  <si>
    <t xml:space="preserve">Kaiser Off peak</t>
  </si>
  <si>
    <t xml:space="preserve">ECT Peak Curve</t>
  </si>
  <si>
    <t xml:space="preserve">Marginal Cost Curve</t>
  </si>
  <si>
    <t xml:space="preserve">Kaiser Peak as of 1998 ( $ / MWh )</t>
  </si>
  <si>
    <t xml:space="preserve">Kaiser Off Peak as of 1998 ( $ / MWh )</t>
  </si>
  <si>
    <t xml:space="preserve">Diff Peak-Offpeak</t>
  </si>
  <si>
    <t xml:space="preserve">PPA Plant Output Summary</t>
  </si>
  <si>
    <t xml:space="preserve">   Capacity Degradation</t>
  </si>
  <si>
    <t xml:space="preserve">   Heat Rate Degradation</t>
  </si>
  <si>
    <t xml:space="preserve">   Degraded Capacity (MW)</t>
  </si>
  <si>
    <t xml:space="preserve">   Peak Capacity Sales Rate (MW)</t>
  </si>
  <si>
    <t xml:space="preserve">   Peak  Hours</t>
  </si>
  <si>
    <t xml:space="preserve">   Maximum Peak Generation (MWh)</t>
  </si>
  <si>
    <t xml:space="preserve">Merchant Plant Output Summary</t>
  </si>
  <si>
    <t xml:space="preserve">   Peak Energy Sales (MW)</t>
  </si>
  <si>
    <t xml:space="preserve">PPA to Merchant Split</t>
  </si>
  <si>
    <t xml:space="preserve">  PPA MWh</t>
  </si>
  <si>
    <t xml:space="preserve">      % of Total MWh Taken</t>
  </si>
  <si>
    <t xml:space="preserve">  Market MWh</t>
  </si>
  <si>
    <t xml:space="preserve">   Actual MWh Produced</t>
  </si>
  <si>
    <t xml:space="preserve">      % of Total MWH Available</t>
  </si>
  <si>
    <t xml:space="preserve">   Degraded Peak Heat Rate (Btu/kWh)</t>
  </si>
  <si>
    <t xml:space="preserve">   Peak Fuel BBtu</t>
  </si>
  <si>
    <t xml:space="preserve">   Peak Fuel Cost $000</t>
  </si>
  <si>
    <t xml:space="preserve">   Start up fuel</t>
  </si>
  <si>
    <t xml:space="preserve">Gas &amp; Power Curves</t>
  </si>
  <si>
    <t xml:space="preserve">   Avg Mid Gas Curve Price ($/MMBtu)</t>
  </si>
  <si>
    <t xml:space="preserve">   Fixed Price ($/MMBtu)</t>
  </si>
  <si>
    <t xml:space="preserve">   Sales Tax Rate</t>
  </si>
  <si>
    <t xml:space="preserve">   Delivered Gas Price</t>
  </si>
  <si>
    <t xml:space="preserve">   Desk Mid Peak Power Curve ($/MWh)</t>
  </si>
  <si>
    <t xml:space="preserve">   Assumed Residual Capacity Value Curve ($/kWmo)</t>
  </si>
  <si>
    <t xml:space="preserve">Debt Amortization</t>
  </si>
  <si>
    <t xml:space="preserve">EBITDA</t>
  </si>
  <si>
    <t xml:space="preserve">DSCR - Tranche A</t>
  </si>
  <si>
    <t xml:space="preserve">DSCR - Tranche B</t>
  </si>
  <si>
    <t xml:space="preserve">DSCR - Tranche C</t>
  </si>
  <si>
    <t xml:space="preserve">Interest Rate For Period, Tranche A</t>
  </si>
  <si>
    <t xml:space="preserve">Interest Rate For Period, Tranche B</t>
  </si>
  <si>
    <t xml:space="preserve">Interest Rate For Period, Tranche C</t>
  </si>
  <si>
    <t xml:space="preserve">Total Annual CFAFDS</t>
  </si>
  <si>
    <t xml:space="preserve">NPV of CFAFDS Tranche A</t>
  </si>
  <si>
    <t xml:space="preserve">NPV of CFAFDS Tranche B</t>
  </si>
  <si>
    <t xml:space="preserve">NPV of CFAFDS Tranche C</t>
  </si>
  <si>
    <t xml:space="preserve">NPV of Total CFAFDS</t>
  </si>
  <si>
    <t xml:space="preserve">  Beginning Balance</t>
  </si>
  <si>
    <t xml:space="preserve">  Interest </t>
  </si>
  <si>
    <t xml:space="preserve">  Principal</t>
  </si>
  <si>
    <t xml:space="preserve">  Total Debt Service</t>
  </si>
  <si>
    <t xml:space="preserve">  Ending Balance</t>
  </si>
  <si>
    <t xml:space="preserve">  Average Life (years)</t>
  </si>
  <si>
    <t xml:space="preserve">`</t>
  </si>
  <si>
    <t xml:space="preserve">TOTAL ANNUAL DEBT AMORTIZATION</t>
  </si>
  <si>
    <t xml:space="preserve">  Check</t>
  </si>
  <si>
    <t xml:space="preserve">Actual Debt Coverage Ratio</t>
  </si>
  <si>
    <t xml:space="preserve">Error catch line</t>
  </si>
  <si>
    <t xml:space="preserve">TRANCHE 1</t>
  </si>
  <si>
    <t xml:space="preserve">Beginning Prinipal</t>
  </si>
  <si>
    <t xml:space="preserve">Grace Period</t>
  </si>
  <si>
    <t xml:space="preserve">Project Period</t>
  </si>
  <si>
    <t xml:space="preserve">     Beginning Balance</t>
  </si>
  <si>
    <t xml:space="preserve">     Interests</t>
  </si>
  <si>
    <t xml:space="preserve">     Principal Payments</t>
  </si>
  <si>
    <t xml:space="preserve">     Debt Service</t>
  </si>
  <si>
    <t xml:space="preserve">     Ending Balance</t>
  </si>
  <si>
    <t xml:space="preserve">     Average Life (years)</t>
  </si>
  <si>
    <t xml:space="preserve">Percentage of Principal Repaid</t>
  </si>
  <si>
    <t xml:space="preserve">TRANCHE 2</t>
  </si>
  <si>
    <t xml:space="preserve">TRANCHE 3</t>
  </si>
  <si>
    <t xml:space="preserve">Income Statement</t>
  </si>
  <si>
    <t xml:space="preserve">Revenues</t>
  </si>
  <si>
    <t xml:space="preserve">   Energy Revenues</t>
  </si>
  <si>
    <t xml:space="preserve">  Capacity Revenues</t>
  </si>
  <si>
    <t xml:space="preserve">  Variable Energy Payment</t>
  </si>
  <si>
    <t xml:space="preserve">  Block Payment</t>
  </si>
  <si>
    <t xml:space="preserve">   Energy Margin</t>
  </si>
  <si>
    <t xml:space="preserve">   Total Revenue</t>
  </si>
  <si>
    <t xml:space="preserve">EXPENSES</t>
  </si>
  <si>
    <t xml:space="preserve">Variable Expenses:</t>
  </si>
  <si>
    <t xml:space="preserve">   Fuel and start up fuel</t>
  </si>
  <si>
    <t xml:space="preserve">   Water Treatment</t>
  </si>
  <si>
    <t xml:space="preserve">   FERC Fee</t>
  </si>
  <si>
    <t xml:space="preserve">   Variable Maintenance</t>
  </si>
  <si>
    <t xml:space="preserve">   Total Variable O&amp;M</t>
  </si>
  <si>
    <t xml:space="preserve">Total Variable Expenses</t>
  </si>
  <si>
    <t xml:space="preserve">Per Start Expenses:</t>
  </si>
  <si>
    <t xml:space="preserve">   Major Maintenance Accrual</t>
  </si>
  <si>
    <t xml:space="preserve">   Start-Up Fuel</t>
  </si>
  <si>
    <t xml:space="preserve">Total Per Start Expenses</t>
  </si>
  <si>
    <t xml:space="preserve">Fixed Expenses:</t>
  </si>
  <si>
    <t xml:space="preserve">   Payroll &amp; Burden</t>
  </si>
  <si>
    <t xml:space="preserve">   Other O&amp;M Expenses</t>
  </si>
  <si>
    <t xml:space="preserve">   Admin Fee</t>
  </si>
  <si>
    <t xml:space="preserve">   Marketing Fee</t>
  </si>
  <si>
    <t xml:space="preserve">   O&amp;M Fee</t>
  </si>
  <si>
    <t xml:space="preserve">   Total Fixed Expenses</t>
  </si>
  <si>
    <t xml:space="preserve">Fixed G&amp;A:</t>
  </si>
  <si>
    <t xml:space="preserve">   Total Insurance</t>
  </si>
  <si>
    <t xml:space="preserve">   Utilities: Start Up Costs</t>
  </si>
  <si>
    <t xml:space="preserve">   Utilities: Facility Loads</t>
  </si>
  <si>
    <t xml:space="preserve">   Interconnection Fees</t>
  </si>
  <si>
    <t xml:space="preserve">   Gas Pipeline Metering Station</t>
  </si>
  <si>
    <t xml:space="preserve">   Miscellaneous</t>
  </si>
  <si>
    <t xml:space="preserve">   Total Fixed G&amp;A</t>
  </si>
  <si>
    <t xml:space="preserve">Property Taxes</t>
  </si>
  <si>
    <t xml:space="preserve">Operating Taxes</t>
  </si>
  <si>
    <t xml:space="preserve">   Franchise Tax</t>
  </si>
  <si>
    <t xml:space="preserve">TOTAL EXPENSES</t>
  </si>
  <si>
    <t xml:space="preserve">   Book Depreciation &amp; Amortization</t>
  </si>
  <si>
    <t xml:space="preserve">EBIT</t>
  </si>
  <si>
    <t xml:space="preserve">   Interest Expense</t>
  </si>
  <si>
    <t xml:space="preserve">   Interest Income</t>
  </si>
  <si>
    <t xml:space="preserve">   Net Interest Expense</t>
  </si>
  <si>
    <t xml:space="preserve">EBT</t>
  </si>
  <si>
    <t xml:space="preserve">   Book Provision for Taxes</t>
  </si>
  <si>
    <t xml:space="preserve">NPV of 2001 EBT</t>
  </si>
  <si>
    <t xml:space="preserve">NPV of 2001 Earnings</t>
  </si>
  <si>
    <t xml:space="preserve">Returns Summary</t>
  </si>
  <si>
    <t xml:space="preserve">Equity Returns Analysis</t>
  </si>
  <si>
    <t xml:space="preserve">Date of Cashflow</t>
  </si>
  <si>
    <t xml:space="preserve">Pretax Cashflow</t>
  </si>
  <si>
    <t xml:space="preserve">Pre-Tax XIRR</t>
  </si>
  <si>
    <t xml:space="preserve">Pre-Tax XNPV</t>
  </si>
  <si>
    <t xml:space="preserve">After-Tax Cashflow</t>
  </si>
  <si>
    <t xml:space="preserve">After-Tax XIRR</t>
  </si>
  <si>
    <t xml:space="preserve">After-Tax XNPV</t>
  </si>
  <si>
    <t xml:space="preserve">Unlevered Pre-tax Cash Flow</t>
  </si>
  <si>
    <t xml:space="preserve">Pre-tax Unlevered XIRR</t>
  </si>
  <si>
    <t xml:space="preserve">Pre-tax Unlevered XNPV</t>
  </si>
  <si>
    <t xml:space="preserve">Discount Rate</t>
  </si>
  <si>
    <t xml:space="preserve">NPV</t>
  </si>
  <si>
    <t xml:space="preserve">IRR</t>
  </si>
  <si>
    <t xml:space="preserve">Debt Amounts and Annual Balances</t>
  </si>
  <si>
    <t xml:space="preserve">  Debt Payment, P+I ($MM)</t>
  </si>
  <si>
    <t xml:space="preserve">  Debt Service Coverage Ratio (EWG)</t>
  </si>
  <si>
    <t xml:space="preserve">  Remaining Debt Outstanding</t>
  </si>
  <si>
    <t xml:space="preserve">  Debt Reserve</t>
  </si>
  <si>
    <t xml:space="preserve">  Debt Service, P+I ($MM)</t>
  </si>
  <si>
    <t xml:space="preserve">  Min DSCR</t>
  </si>
  <si>
    <t xml:space="preserve">Cash Flow Statement</t>
  </si>
  <si>
    <t xml:space="preserve">Pretax Book Income</t>
  </si>
  <si>
    <t xml:space="preserve">  Plus Depreciation &amp; Amortization</t>
  </si>
  <si>
    <t xml:space="preserve">  Plus Accrued Prop Tax Expense</t>
  </si>
  <si>
    <t xml:space="preserve">  Less Property Tax Payment</t>
  </si>
  <si>
    <t xml:space="preserve">Accrued Interest </t>
  </si>
  <si>
    <t xml:space="preserve">  Less Interest Payments</t>
  </si>
  <si>
    <t xml:space="preserve">  Less Principal Payments</t>
  </si>
  <si>
    <t xml:space="preserve">Subtotal </t>
  </si>
  <si>
    <t xml:space="preserve">  Less Debt Reserve Funding</t>
  </si>
  <si>
    <t xml:space="preserve">  Plus Release of Debt Reserve</t>
  </si>
  <si>
    <t xml:space="preserve">  Additional Capital Expenditures</t>
  </si>
  <si>
    <t xml:space="preserve">  Initial Working Capital Adjustment</t>
  </si>
  <si>
    <t xml:space="preserve">Pretax Cash Flow</t>
  </si>
  <si>
    <t xml:space="preserve">  Total Income Tax Expense (Benefit)</t>
  </si>
  <si>
    <t xml:space="preserve">  Cash Flow Available to Preferred Equity</t>
  </si>
  <si>
    <t xml:space="preserve">  Dividends </t>
  </si>
  <si>
    <t xml:space="preserve">  Accrued Dividends To Date</t>
  </si>
  <si>
    <t xml:space="preserve">  Dividends Paid</t>
  </si>
  <si>
    <t xml:space="preserve">  Ending Principal Amount</t>
  </si>
  <si>
    <t xml:space="preserve">Common Equity</t>
  </si>
  <si>
    <t xml:space="preserve">  Cash Flow Available to Common Equity</t>
  </si>
  <si>
    <t xml:space="preserve">  Dividends Paid to Common Equity</t>
  </si>
  <si>
    <t xml:space="preserve">Retained Earnings</t>
  </si>
  <si>
    <t xml:space="preserve">Cash Beginning Balance</t>
  </si>
  <si>
    <t xml:space="preserve">Add Cash generated </t>
  </si>
  <si>
    <t xml:space="preserve">Ending balance</t>
  </si>
  <si>
    <t xml:space="preserve">Balance Sheet</t>
  </si>
  <si>
    <t xml:space="preserve">Assets:</t>
  </si>
  <si>
    <t xml:space="preserve">Cash</t>
  </si>
  <si>
    <t xml:space="preserve">Accounts Receivable</t>
  </si>
  <si>
    <t xml:space="preserve">Inventories</t>
  </si>
  <si>
    <t xml:space="preserve">Other Current Assets</t>
  </si>
  <si>
    <t xml:space="preserve">Debt Service Reserve</t>
  </si>
  <si>
    <t xml:space="preserve">Maintenance Reserve</t>
  </si>
  <si>
    <t xml:space="preserve">Total Current Assets</t>
  </si>
  <si>
    <t xml:space="preserve">Gross PP&amp;E</t>
  </si>
  <si>
    <t xml:space="preserve">Accumulated Depreciation</t>
  </si>
  <si>
    <t xml:space="preserve">Net PP&amp;E</t>
  </si>
  <si>
    <t xml:space="preserve">Land</t>
  </si>
  <si>
    <t xml:space="preserve">Other Assets</t>
  </si>
  <si>
    <t xml:space="preserve">Total Assets</t>
  </si>
  <si>
    <t xml:space="preserve">Liabilities</t>
  </si>
  <si>
    <t xml:space="preserve">Accounts Payable</t>
  </si>
  <si>
    <t xml:space="preserve">Accrued Expenses</t>
  </si>
  <si>
    <t xml:space="preserve">Deferred Tax Liability</t>
  </si>
  <si>
    <t xml:space="preserve">Working Capital Revolver</t>
  </si>
  <si>
    <t xml:space="preserve">Long Term Debt</t>
  </si>
  <si>
    <t xml:space="preserve">Other Non-Current Liabilities</t>
  </si>
  <si>
    <t xml:space="preserve">Total Long-term Liabilities</t>
  </si>
  <si>
    <t xml:space="preserve">Stockholders' Equity</t>
  </si>
  <si>
    <t xml:space="preserve">Paid-In-Capital</t>
  </si>
  <si>
    <t xml:space="preserve">Retained earnings</t>
  </si>
  <si>
    <t xml:space="preserve">Total stockholders' equity</t>
  </si>
  <si>
    <t xml:space="preserve">Total Liabilities &amp; Equity</t>
  </si>
  <si>
    <t xml:space="preserve">Proof</t>
  </si>
  <si>
    <t xml:space="preserve">Preferred Stock</t>
  </si>
  <si>
    <t xml:space="preserve">Paste Range for Franchise Tax Calc</t>
  </si>
  <si>
    <t xml:space="preserve">Note:  If this range is moved the MACRO will not paste into the correct range.</t>
  </si>
  <si>
    <t xml:space="preserve">Stockholders Equity</t>
  </si>
  <si>
    <t xml:space="preserve">State and Federal Tax Calculation</t>
  </si>
  <si>
    <t xml:space="preserve">STATE TAXES</t>
  </si>
  <si>
    <t xml:space="preserve">State Franchise Taxes</t>
  </si>
  <si>
    <t xml:space="preserve">   Shareholders Equity &amp; Long Term Debt</t>
  </si>
  <si>
    <t xml:space="preserve">   State Franchise Tax Rate</t>
  </si>
  <si>
    <t xml:space="preserve">   State Franchise Tax Liability (See Book Inc.)</t>
  </si>
  <si>
    <t xml:space="preserve">State Gross Receipts Taxes</t>
  </si>
  <si>
    <t xml:space="preserve">   Gross Revenue</t>
  </si>
  <si>
    <t xml:space="preserve">   Gross Receipts Tax Rate</t>
  </si>
  <si>
    <t xml:space="preserve">   Gross Receipts Tax Liability</t>
  </si>
  <si>
    <t xml:space="preserve">State Income Taxes</t>
  </si>
  <si>
    <t xml:space="preserve">   Pretax Book Income</t>
  </si>
  <si>
    <t xml:space="preserve">   Less: Gross Receipts Tax</t>
  </si>
  <si>
    <t xml:space="preserve">   Adjusted Pretax Book Income</t>
  </si>
  <si>
    <t xml:space="preserve">   Plus Book Depreciation &amp; Amortization</t>
  </si>
  <si>
    <t xml:space="preserve">   Less State Tax Depreciation</t>
  </si>
  <si>
    <t xml:space="preserve">   State Taxable Income</t>
  </si>
  <si>
    <t xml:space="preserve">   Taxable Income</t>
  </si>
  <si>
    <t xml:space="preserve">   State Income Tax Rate</t>
  </si>
  <si>
    <t xml:space="preserve">   State Income Tax Expense (Benefit)</t>
  </si>
  <si>
    <t xml:space="preserve">   Beginning NOL's</t>
  </si>
  <si>
    <t xml:space="preserve">   New NOL's</t>
  </si>
  <si>
    <t xml:space="preserve">   NOL Expired  (5 Year)</t>
  </si>
  <si>
    <t xml:space="preserve">   NOL Utilization</t>
  </si>
  <si>
    <t xml:space="preserve">   Ending NOL's</t>
  </si>
  <si>
    <t xml:space="preserve">   State Cash Taxes Payable/(Benefit)</t>
  </si>
  <si>
    <t xml:space="preserve">   Plus: Gross Receipts Tax Liability</t>
  </si>
  <si>
    <t xml:space="preserve">        Total State Taxes</t>
  </si>
  <si>
    <t xml:space="preserve">FEDERAL TAXES</t>
  </si>
  <si>
    <t xml:space="preserve">   Less: Federal Tax Depreciation</t>
  </si>
  <si>
    <t xml:space="preserve">   Less: State Taxes</t>
  </si>
  <si>
    <t xml:space="preserve">   Federal Tax Rate</t>
  </si>
  <si>
    <t xml:space="preserve">   Federal Tax Expense (Benefit)</t>
  </si>
  <si>
    <t xml:space="preserve">   NOL Carryforward</t>
  </si>
  <si>
    <t xml:space="preserve">   Total Federal Cash Taxes Payable/(Benefit)</t>
  </si>
  <si>
    <t xml:space="preserve">Total Cash Taxes</t>
  </si>
  <si>
    <t xml:space="preserve">Total Book Taxes</t>
  </si>
  <si>
    <t xml:space="preserve">  Total Deferred Tax Liability</t>
  </si>
  <si>
    <t xml:space="preserve">  Cumulative DTL</t>
  </si>
  <si>
    <t xml:space="preserve">Depreciation and Property Taxes</t>
  </si>
  <si>
    <t xml:space="preserve">US FEDERAL TAX DEPRECIATION &amp; AMORTIZATION</t>
  </si>
  <si>
    <t xml:space="preserve">   Plant and Equipment - MACRS</t>
  </si>
  <si>
    <t xml:space="preserve">   Start-up Costs - SL </t>
  </si>
  <si>
    <t xml:space="preserve">   Debt Iss &amp; Loan Fees - SL</t>
  </si>
  <si>
    <t xml:space="preserve">   Tax Depr - Plant and Equipment</t>
  </si>
  <si>
    <t xml:space="preserve">   Amort - Start-up Costs</t>
  </si>
  <si>
    <t xml:space="preserve">   Amort - Debt Iss &amp; Loan Fees</t>
  </si>
  <si>
    <t xml:space="preserve">   Evap Coolers</t>
  </si>
  <si>
    <t xml:space="preserve">   EI O&amp;M Mobilization</t>
  </si>
  <si>
    <t xml:space="preserve">   Total Annual Depr &amp; Amort </t>
  </si>
  <si>
    <t xml:space="preserve">STATE TAX DEPRECIATION &amp; AMORTIZATION</t>
  </si>
  <si>
    <t xml:space="preserve">BOOK DEPRECIATION &amp; AMORTIZATION</t>
  </si>
  <si>
    <t xml:space="preserve">Residual</t>
  </si>
  <si>
    <t xml:space="preserve">   Plant and Equipment - SL</t>
  </si>
  <si>
    <t xml:space="preserve">   Book Depr - Plant and Equipment</t>
  </si>
  <si>
    <t xml:space="preserve">   Total Beginning Book Value</t>
  </si>
  <si>
    <t xml:space="preserve">   Ending Book Value of Assets</t>
  </si>
  <si>
    <t xml:space="preserve">PROPERTY TAX CALCULATION</t>
  </si>
  <si>
    <t xml:space="preserve">Average</t>
  </si>
  <si>
    <t xml:space="preserve">   Assessable Value of Hard Assets</t>
  </si>
  <si>
    <t xml:space="preserve">   Annual Depreciated Assessable Value</t>
  </si>
  <si>
    <t xml:space="preserve">   Annual School Tax (with abatement)</t>
  </si>
  <si>
    <t xml:space="preserve">   Annual County Tax (with abatement)</t>
  </si>
  <si>
    <t xml:space="preserve">   Annual City Tax (no city taxes)</t>
  </si>
  <si>
    <t xml:space="preserve">   Total Property Tax (with Abatement)</t>
  </si>
  <si>
    <t xml:space="preserve">15 Year MACRS Table</t>
  </si>
  <si>
    <t xml:space="preserve">Half-Year Convention</t>
  </si>
  <si>
    <t xml:space="preserve">Year</t>
  </si>
  <si>
    <t xml:space="preserve">Depr. %</t>
  </si>
  <si>
    <t xml:space="preserve">20 Year MACRS Table</t>
  </si>
  <si>
    <t xml:space="preserve">IDC Calculations</t>
  </si>
  <si>
    <t xml:space="preserve">CARRYING COST OF TURBINES, TRANSFORMERS AND CIRCUIT BREAKERS</t>
  </si>
  <si>
    <t xml:space="preserve">Turbine Cost</t>
  </si>
  <si>
    <t xml:space="preserve">Total Financed Through WestLB</t>
  </si>
  <si>
    <t xml:space="preserve">Base Rate</t>
  </si>
  <si>
    <t xml:space="preserve">Term (Months)</t>
  </si>
  <si>
    <t xml:space="preserve">Monthly Rate</t>
  </si>
  <si>
    <t xml:space="preserve">Financing Fee (Basis Points)</t>
  </si>
  <si>
    <t xml:space="preserve">Drawdown Schedule</t>
  </si>
  <si>
    <t xml:space="preserve">   0=Straightline, 1=Custom</t>
  </si>
  <si>
    <t xml:space="preserve">Calculated IDC</t>
  </si>
  <si>
    <t xml:space="preserve">Month</t>
  </si>
  <si>
    <t xml:space="preserve">Percentage Drawn</t>
  </si>
  <si>
    <t xml:space="preserve">Cumulative Principal + Cum Int.</t>
  </si>
  <si>
    <t xml:space="preserve">Monthly Interest</t>
  </si>
  <si>
    <t xml:space="preserve">Cumulative Interest</t>
  </si>
  <si>
    <t xml:space="preserve">Maintenance Reserves</t>
  </si>
  <si>
    <t xml:space="preserve">Number of Starts to Maintenance Draw</t>
  </si>
  <si>
    <t xml:space="preserve">Number of Starts per Year</t>
  </si>
  <si>
    <t xml:space="preserve">o</t>
  </si>
  <si>
    <t xml:space="preserve">Total Cumulative Starts</t>
  </si>
  <si>
    <t xml:space="preserve">Annual Overhaul Accrual Expense</t>
  </si>
  <si>
    <t xml:space="preserve">Estimated Cost Schedule for 120 Starts</t>
  </si>
  <si>
    <t xml:space="preserve">Cumulative Overhaul Accrual Expense</t>
  </si>
  <si>
    <t xml:space="preserve">Annual Overhaul Accrual Interest Income</t>
  </si>
  <si>
    <t xml:space="preserve">Cumulative Overhaul Accrual Interest Income</t>
  </si>
  <si>
    <t xml:space="preserve">Annual Growth of Total Cost</t>
  </si>
  <si>
    <t xml:space="preserve">Sales &amp; Use Tax on Fuel </t>
  </si>
  <si>
    <t xml:space="preserve">NO. of Starts Per Yr.</t>
  </si>
  <si>
    <t xml:space="preserve">Major Main</t>
  </si>
  <si>
    <t xml:space="preserve">Fuel</t>
  </si>
  <si>
    <t xml:space="preserve">Total/Start Cost</t>
  </si>
  <si>
    <t xml:space="preserve">Fuel %</t>
  </si>
  <si>
    <t xml:space="preserve">Main %</t>
  </si>
  <si>
    <t xml:space="preserve">Fuel Price</t>
  </si>
  <si>
    <t xml:space="preserve">Fuel /Start/Turbine</t>
  </si>
</sst>
</file>

<file path=xl/styles.xml><?xml version="1.0" encoding="utf-8"?>
<styleSheet xmlns="http://schemas.openxmlformats.org/spreadsheetml/2006/main">
  <numFmts count="102">
    <numFmt numFmtId="164" formatCode="General"/>
    <numFmt numFmtId="165" formatCode="0.00000000000000000000000000"/>
    <numFmt numFmtId="166" formatCode="0.0000E+00"/>
    <numFmt numFmtId="167" formatCode="\$#,##0.00000"/>
    <numFmt numFmtId="168" formatCode="\$#,##0.0000"/>
    <numFmt numFmtId="169" formatCode="[$-409]#,##0_);[RED]\(#,##0\)"/>
    <numFmt numFmtId="170" formatCode="\$#,##0_);[RED]&quot;($&quot;#,##0\)"/>
    <numFmt numFmtId="171" formatCode="m"/>
    <numFmt numFmtId="172" formatCode="0.000000000_)"/>
    <numFmt numFmtId="173" formatCode="\£#,##0.0000_);&quot;(£&quot;#,##0.0000\)"/>
    <numFmt numFmtId="174" formatCode="\$#,##0;[RED]\$#,##0"/>
    <numFmt numFmtId="175" formatCode="0.0000000000000000000000000000"/>
    <numFmt numFmtId="176" formatCode="#,##0.00000000000000000000"/>
    <numFmt numFmtId="177" formatCode="0.0000000%"/>
    <numFmt numFmtId="178" formatCode="0.000000%"/>
    <numFmt numFmtId="179" formatCode="[$-409]#,##0.00_);[RED]\(#,##0.00\)"/>
    <numFmt numFmtId="180" formatCode="\$#,##0.00_);[RED]&quot;($&quot;#,##0.00\)"/>
    <numFmt numFmtId="181" formatCode="_(\$* #,##0.000_);_(\$* \(#,##0.000\);_(\$* \-??_);_(@_)"/>
    <numFmt numFmtId="182" formatCode="0.0000000000000000000000"/>
    <numFmt numFmtId="183" formatCode="0.00000000000"/>
    <numFmt numFmtId="184" formatCode="_(* #,##0.00000000000000_);_(* \(#,##0.00000000000000\);_(* \-_);_(@_)"/>
    <numFmt numFmtId="185" formatCode="_(* #,##0_);_(* \(#,##0\);_(* \-_);_(@_)"/>
    <numFmt numFmtId="186" formatCode="\$#,##0.0000000_);&quot;($&quot;#,##0.0000000\)"/>
    <numFmt numFmtId="187" formatCode="0.000000000000000%"/>
    <numFmt numFmtId="188" formatCode="0.00_);[RED]\(0.00\)"/>
    <numFmt numFmtId="189" formatCode="\£#,##0.00_);&quot;(£&quot;#,##0.00\)"/>
    <numFmt numFmtId="190" formatCode="0.000000000000000000000000000000000"/>
    <numFmt numFmtId="191" formatCode="0.000"/>
    <numFmt numFmtId="192" formatCode="_(* #,##0.0_);_(* \(#,##0.0\);_(* \-?_);_(@_)"/>
    <numFmt numFmtId="193" formatCode="_(* #,##0.00_);_(* \(#,##0.00\);_(* \-??_);_(@_)"/>
    <numFmt numFmtId="194" formatCode="#,##0.00"/>
    <numFmt numFmtId="195" formatCode="0.0000000000"/>
    <numFmt numFmtId="196" formatCode="\£#,##0.00_);[RED]&quot;(£&quot;#,##0.00\)"/>
    <numFmt numFmtId="197" formatCode="0_);[RED]\(0\)"/>
    <numFmt numFmtId="198" formatCode="0.00000000000000000000000000000000000"/>
    <numFmt numFmtId="199" formatCode="_(* #,##0.0000000000000_);_(* \(#,##0.0000000000000\);_(* \-_);_(@_)"/>
    <numFmt numFmtId="200" formatCode="_(\$* #,##0_);_(\$* \(#,##0\);_(\$* \-_);_(@_)"/>
    <numFmt numFmtId="201" formatCode="##0.000"/>
    <numFmt numFmtId="202" formatCode="_(* #,##0.0000000000_);_(* \(#,##0.0000000000\);_(* \-_);_(@_)"/>
    <numFmt numFmtId="203" formatCode="_(\$* #,##0.000000_);_(\$* \(#,##0.000000\);_(\$* \-??_);_(@_)"/>
    <numFmt numFmtId="204" formatCode="0.0000000000000000"/>
    <numFmt numFmtId="205" formatCode="0.0000_)"/>
    <numFmt numFmtId="206" formatCode="#,##0.000_);\(#,##0.000\)"/>
    <numFmt numFmtId="207" formatCode="_(\$* #,##0.00000_);_(\$* \(#,##0.00000\);_(\$* \-??_);_(@_)"/>
    <numFmt numFmtId="208" formatCode="0.000E+00"/>
    <numFmt numFmtId="209" formatCode="0.00000000000000%"/>
    <numFmt numFmtId="210" formatCode="\£#,##0.0_);&quot;(£&quot;#,##0.0\)"/>
    <numFmt numFmtId="211" formatCode="0.0000000000000000000000000"/>
    <numFmt numFmtId="212" formatCode="m/d/yyyy"/>
    <numFmt numFmtId="213" formatCode="0.00000000000000000000000000000000"/>
    <numFmt numFmtId="214" formatCode="\£#,##0.0_);[RED]&quot;(£&quot;#,##0.0\)"/>
    <numFmt numFmtId="215" formatCode="_(* #,##0.0000_);_(* \(#,##0.0000\);_(* \-??_);_(@_)"/>
    <numFmt numFmtId="216" formatCode="_(* #,##0.00000000_);_(* \(#,##0.00000000\);_(* \-??_);_(@_)"/>
    <numFmt numFmtId="217" formatCode="_(\$* #,##0.00_);_(\$* \(#,##0.00\);_(\$* \-??_);_(@_)"/>
    <numFmt numFmtId="218" formatCode="_(* #,##0.000000000000_);_(* \(#,##0.000000000000\);_(* \-_);_(@_)"/>
    <numFmt numFmtId="219" formatCode="#,##0.000_);[RED]\(#,##0.000\)"/>
    <numFmt numFmtId="220" formatCode="0.00000000000000000"/>
    <numFmt numFmtId="221" formatCode="0.000000000"/>
    <numFmt numFmtId="222" formatCode="\£#,##0_);&quot;(£&quot;#,##0\)"/>
    <numFmt numFmtId="223" formatCode="_(\$* #,##0.0000000_);_(\$* \(#,##0.0000000\);_(\$* \-??_);_(@_)"/>
    <numFmt numFmtId="224" formatCode="[$-409]m/d/yyyy"/>
    <numFmt numFmtId="225" formatCode="\£#,##0.000_);&quot;(£&quot;#,##0.000\)"/>
    <numFmt numFmtId="226" formatCode="0.000000000000000000000000000"/>
    <numFmt numFmtId="227" formatCode="0.0000000000000000000000000000000000"/>
    <numFmt numFmtId="228" formatCode="\£#,##0_);[RED]&quot;(£&quot;#,##0\)"/>
    <numFmt numFmtId="229" formatCode="0.00"/>
    <numFmt numFmtId="230" formatCode="[$-409]d\-mmm\-yy"/>
    <numFmt numFmtId="231" formatCode=";;;"/>
    <numFmt numFmtId="232" formatCode="m/d/yyyy\ h:mm:ss"/>
    <numFmt numFmtId="233" formatCode="_(* #,##0.000_);_(* \(#,##0.000\);_(* \-???_);_(@_)"/>
    <numFmt numFmtId="234" formatCode="0.000000000000000000"/>
    <numFmt numFmtId="235" formatCode="[$-409]#,##0_);\(#,##0\)"/>
    <numFmt numFmtId="236" formatCode="0.00_)"/>
    <numFmt numFmtId="237" formatCode="0.000000000000000000000000000000"/>
    <numFmt numFmtId="238" formatCode="General_)"/>
    <numFmt numFmtId="239" formatCode="#,##0"/>
    <numFmt numFmtId="240" formatCode="#,##0.0_);\(#,##0.0\)"/>
    <numFmt numFmtId="241" formatCode="#,##0.0000_);[RED]\(#,##0.0000\)"/>
    <numFmt numFmtId="242" formatCode="0"/>
    <numFmt numFmtId="243" formatCode="0.00%"/>
    <numFmt numFmtId="244" formatCode="0%"/>
    <numFmt numFmtId="245" formatCode="00000"/>
    <numFmt numFmtId="246" formatCode="\$#,##0_);&quot;($&quot;#,##0\)"/>
    <numFmt numFmtId="247" formatCode="_(* #,##0_);_(* \(#,##0\);_(* \-??_);_(@_)"/>
    <numFmt numFmtId="248" formatCode="0.0%"/>
    <numFmt numFmtId="249" formatCode="_(\$* #,##0_);_(\$* \(#,##0\);_(\$* \-??_);_(@_)"/>
    <numFmt numFmtId="250" formatCode="\$#,##0.000_);[RED]&quot;($&quot;#,##0.000\)"/>
    <numFmt numFmtId="251" formatCode="0.000%"/>
    <numFmt numFmtId="252" formatCode="_(* #,##0.0_);_(* \(#,##0.0\);_(* \-??_);_(@_)"/>
    <numFmt numFmtId="253" formatCode="# ?/?"/>
    <numFmt numFmtId="254" formatCode="\$#,##0.000"/>
    <numFmt numFmtId="255" formatCode="[$-409]0.00"/>
    <numFmt numFmtId="256" formatCode="0.0"/>
    <numFmt numFmtId="257" formatCode="\$#,##0.00"/>
    <numFmt numFmtId="258" formatCode="\$#,##0.00_);&quot;($&quot;#,##0.00\)"/>
    <numFmt numFmtId="259" formatCode="0_)"/>
    <numFmt numFmtId="260" formatCode="[$-409]#,##0.00_);\(#,##0.00\)"/>
    <numFmt numFmtId="261" formatCode="_(* #,##0.000000_);_(* \(#,##0.000000\);_(* \-??_);_(@_)"/>
    <numFmt numFmtId="262" formatCode="_(* #,##0.00000_);_(* \(#,##0.00000\);_(* \-??_);_(@_)"/>
    <numFmt numFmtId="263" formatCode="_(* #,##0.00_);_(* \(#,##0.00\);_(* \-_);_(@_)"/>
    <numFmt numFmtId="264" formatCode="mmm\-yy_)"/>
    <numFmt numFmtId="265" formatCode="0.000_)"/>
  </numFmts>
  <fonts count="145">
    <font>
      <sz val="10"/>
      <name val="Arial"/>
      <family val="0"/>
    </font>
    <font>
      <sz val="10"/>
      <name val="Arial"/>
      <family val="0"/>
    </font>
    <font>
      <sz val="10"/>
      <name val="Arial"/>
      <family val="0"/>
    </font>
    <font>
      <sz val="10"/>
      <name val="Arial"/>
      <family val="0"/>
    </font>
    <font>
      <sz val="10"/>
      <name val="MS Sans Serif"/>
      <family val="2"/>
    </font>
    <font>
      <sz val="12"/>
      <name val="???"/>
      <family val="3"/>
      <charset val="129"/>
    </font>
    <font>
      <sz val="12"/>
      <name val="???"/>
      <family val="1"/>
      <charset val="129"/>
    </font>
    <font>
      <sz val="10"/>
      <name val="???"/>
      <family val="3"/>
      <charset val="129"/>
    </font>
    <font>
      <sz val="11"/>
      <name val="??"/>
      <family val="3"/>
      <charset val="129"/>
    </font>
    <font>
      <sz val="10"/>
      <name val="Arial"/>
      <family val="2"/>
    </font>
    <font>
      <sz val="11"/>
      <name val="???"/>
      <family val="1"/>
      <charset val="129"/>
    </font>
    <font>
      <sz val="11"/>
      <name val="???"/>
      <family val="3"/>
      <charset val="129"/>
    </font>
    <font>
      <sz val="8"/>
      <name val="Arial"/>
      <family val="2"/>
    </font>
    <font>
      <b val="true"/>
      <u val="single"/>
      <sz val="11"/>
      <color rgb="FF800000"/>
      <name val="Arial"/>
      <family val="2"/>
    </font>
    <font>
      <sz val="10"/>
      <color rgb="FF0000FF"/>
      <name val="Arial"/>
      <family val="2"/>
    </font>
    <font>
      <u val="single"/>
      <sz val="8.4"/>
      <color rgb="FF0000FF"/>
      <name val="Arial"/>
      <family val="2"/>
    </font>
    <font>
      <sz val="7"/>
      <name val="Small Fonts"/>
      <family val="0"/>
    </font>
    <font>
      <b val="true"/>
      <i val="true"/>
      <sz val="16"/>
      <name val="Arial"/>
      <family val="0"/>
    </font>
    <font>
      <sz val="12"/>
      <name val="Arial"/>
      <family val="2"/>
    </font>
    <font>
      <sz val="10"/>
      <name val="Courier New"/>
      <family val="0"/>
    </font>
    <font>
      <sz val="12"/>
      <color rgb="FF000000"/>
      <name val="Arial MT"/>
      <family val="0"/>
    </font>
    <font>
      <sz val="10"/>
      <name val="MS Sans Serif"/>
      <family val="0"/>
    </font>
    <font>
      <sz val="12"/>
      <name val="Courier New"/>
      <family val="3"/>
    </font>
    <font>
      <sz val="8"/>
      <name val="Courier New"/>
      <family val="3"/>
    </font>
    <font>
      <sz val="10"/>
      <name val="Geneva"/>
      <family val="2"/>
    </font>
    <font>
      <sz val="8"/>
      <name val="Arial"/>
      <family val="0"/>
    </font>
    <font>
      <sz val="10"/>
      <name val="Book Antiqua"/>
      <family val="1"/>
    </font>
    <font>
      <sz val="10"/>
      <name val="Times New Roman"/>
      <family val="0"/>
    </font>
    <font>
      <sz val="10"/>
      <name val="Times New Roman"/>
      <family val="1"/>
    </font>
    <font>
      <sz val="8"/>
      <name val=""/>
      <family val="0"/>
    </font>
    <font>
      <sz val="8"/>
      <name val="MS Sans Serif"/>
      <family val="2"/>
    </font>
    <font>
      <sz val="10"/>
      <color rgb="FF000000"/>
      <name val="Arial"/>
      <family val="2"/>
    </font>
    <font>
      <sz val="12"/>
      <name val="Times New Roman"/>
      <family val="1"/>
    </font>
    <font>
      <sz val="10"/>
      <name val="Courier New"/>
      <family val="3"/>
    </font>
    <font>
      <sz val="10"/>
      <name val="Univers (W1)"/>
      <family val="0"/>
    </font>
    <font>
      <sz val="12"/>
      <name val="Times New Roman"/>
      <family val="0"/>
    </font>
    <font>
      <sz val="10"/>
      <name val="Univers (W1)"/>
      <family val="2"/>
    </font>
    <font>
      <b val="true"/>
      <sz val="14"/>
      <name val="Times New Roman"/>
      <family val="1"/>
    </font>
    <font>
      <b val="true"/>
      <sz val="14"/>
      <name val="Times New Roman"/>
      <family val="0"/>
    </font>
    <font>
      <sz val="10"/>
      <name val="Geneva"/>
      <family val="0"/>
    </font>
    <font>
      <sz val="14"/>
      <name val="AngsanaUPC"/>
      <family val="1"/>
    </font>
    <font>
      <sz val="9"/>
      <name val="Arial Narrow"/>
      <family val="2"/>
    </font>
    <font>
      <sz val="7"/>
      <name val="Arial"/>
      <family val="2"/>
    </font>
    <font>
      <sz val="7"/>
      <name val="Arial"/>
      <family val="0"/>
    </font>
    <font>
      <sz val="12"/>
      <name val="EucrosiaUPC"/>
      <family val="1"/>
    </font>
    <font>
      <sz val="14"/>
      <name val="CordiaUPC"/>
      <family val="1"/>
    </font>
    <font>
      <sz val="10"/>
      <name val="Advisor SSi"/>
      <family val="1"/>
    </font>
    <font>
      <sz val="14"/>
      <name val="FreesiaUPC"/>
      <family val="1"/>
    </font>
    <font>
      <sz val="12"/>
      <name val="PathWay Access 3.0"/>
      <family val="3"/>
    </font>
    <font>
      <sz val="12"/>
      <name val="Arial"/>
      <family val="0"/>
    </font>
    <font>
      <sz val="8.5"/>
      <name val="MS Sans Serif"/>
      <family val="2"/>
    </font>
    <font>
      <sz val="10"/>
      <name val="Arial Narrow"/>
      <family val="2"/>
    </font>
    <font>
      <sz val="10"/>
      <color rgb="FF000000"/>
      <name val="MS Sans Serif"/>
      <family val="0"/>
    </font>
    <font>
      <sz val="9"/>
      <name val="Arial"/>
      <family val="0"/>
    </font>
    <font>
      <sz val="11"/>
      <name val="Book Antiqua"/>
      <family val="1"/>
    </font>
    <font>
      <sz val="8"/>
      <name val="Times New Roman"/>
      <family val="0"/>
    </font>
    <font>
      <sz val="10"/>
      <name val="TimesNewRomanPS"/>
      <family val="1"/>
    </font>
    <font>
      <sz val="8"/>
      <name val="Times New Roman"/>
      <family val="1"/>
    </font>
    <font>
      <sz val="8"/>
      <color rgb="FF0000FF"/>
      <name val="Arial"/>
      <family val="2"/>
    </font>
    <font>
      <b val="true"/>
      <sz val="16"/>
      <name val="Times New Roman"/>
      <family val="1"/>
    </font>
    <font>
      <b val="true"/>
      <u val="single"/>
      <sz val="15"/>
      <color rgb="FFFF0000"/>
      <name val="Times New Roman"/>
      <family val="1"/>
    </font>
    <font>
      <b val="true"/>
      <sz val="10"/>
      <name val="Times New Roman"/>
      <family val="1"/>
    </font>
    <font>
      <b val="true"/>
      <sz val="8"/>
      <color rgb="FF008000"/>
      <name val="Times New Roman"/>
      <family val="1"/>
    </font>
    <font>
      <b val="true"/>
      <sz val="10"/>
      <color rgb="FF0000FF"/>
      <name val="Times New Roman"/>
      <family val="1"/>
    </font>
    <font>
      <b val="true"/>
      <sz val="8"/>
      <name val="Times New Roman"/>
      <family val="1"/>
    </font>
    <font>
      <u val="single"/>
      <sz val="10"/>
      <color rgb="FF0000FF"/>
      <name val="Arial"/>
      <family val="0"/>
    </font>
    <font>
      <b val="true"/>
      <sz val="10"/>
      <name val="Arial"/>
      <family val="0"/>
    </font>
    <font>
      <b val="true"/>
      <sz val="10"/>
      <name val="Arial"/>
      <family val="2"/>
    </font>
    <font>
      <b val="true"/>
      <u val="single"/>
      <sz val="10"/>
      <name val="Arial"/>
      <family val="2"/>
    </font>
    <font>
      <u val="single"/>
      <sz val="10"/>
      <name val="Arial"/>
      <family val="0"/>
    </font>
    <font>
      <sz val="9"/>
      <name val="Times New Roman"/>
      <family val="1"/>
    </font>
    <font>
      <sz val="9"/>
      <name val="Arial"/>
      <family val="2"/>
    </font>
    <font>
      <sz val="9"/>
      <color rgb="FF0000FF"/>
      <name val="Times New Roman"/>
      <family val="1"/>
    </font>
    <font>
      <b val="true"/>
      <sz val="12"/>
      <color rgb="FFFF0000"/>
      <name val="Times New Roman"/>
      <family val="1"/>
    </font>
    <font>
      <sz val="16"/>
      <name val="Times New Roman"/>
      <family val="1"/>
    </font>
    <font>
      <sz val="11"/>
      <name val="Times New Roman"/>
      <family val="1"/>
    </font>
    <font>
      <b val="true"/>
      <u val="single"/>
      <sz val="12"/>
      <name val="Times New Roman"/>
      <family val="1"/>
    </font>
    <font>
      <sz val="9"/>
      <color rgb="FFFFFFFF"/>
      <name val="Times New Roman"/>
      <family val="1"/>
    </font>
    <font>
      <sz val="9"/>
      <color rgb="FF000000"/>
      <name val="Times New Roman"/>
      <family val="1"/>
    </font>
    <font>
      <b val="true"/>
      <sz val="9"/>
      <name val="Times New Roman"/>
      <family val="1"/>
    </font>
    <font>
      <u val="single"/>
      <sz val="11"/>
      <name val="Times New Roman"/>
      <family val="1"/>
    </font>
    <font>
      <b val="true"/>
      <u val="single"/>
      <sz val="10"/>
      <name val="Times New Roman"/>
      <family val="1"/>
    </font>
    <font>
      <u val="single"/>
      <sz val="9"/>
      <color rgb="FF000000"/>
      <name val="Times New Roman"/>
      <family val="1"/>
    </font>
    <font>
      <u val="single"/>
      <sz val="9"/>
      <name val="Times New Roman"/>
      <family val="1"/>
    </font>
    <font>
      <b val="true"/>
      <u val="single"/>
      <sz val="9"/>
      <name val="Arial"/>
      <family val="0"/>
    </font>
    <font>
      <u val="single"/>
      <sz val="9"/>
      <color rgb="FF0000FF"/>
      <name val="Times New Roman"/>
      <family val="1"/>
    </font>
    <font>
      <b val="true"/>
      <sz val="9"/>
      <color rgb="FF000000"/>
      <name val="Times New Roman"/>
      <family val="1"/>
    </font>
    <font>
      <sz val="9"/>
      <color rgb="FF000000"/>
      <name val="Arial"/>
      <family val="2"/>
    </font>
    <font>
      <i val="true"/>
      <sz val="9"/>
      <name val="Times New Roman"/>
      <family val="1"/>
    </font>
    <font>
      <b val="true"/>
      <u val="single"/>
      <sz val="12"/>
      <color rgb="FF000000"/>
      <name val="Times New Roman"/>
      <family val="1"/>
    </font>
    <font>
      <b val="true"/>
      <sz val="9"/>
      <color rgb="FF0000FF"/>
      <name val="Times New Roman"/>
      <family val="1"/>
    </font>
    <font>
      <u val="single"/>
      <sz val="9"/>
      <color rgb="FFFFFFFF"/>
      <name val="Times New Roman"/>
      <family val="1"/>
    </font>
    <font>
      <b val="true"/>
      <u val="single"/>
      <sz val="9"/>
      <color rgb="FF0000FF"/>
      <name val="Times New Roman"/>
      <family val="1"/>
    </font>
    <font>
      <b val="true"/>
      <sz val="12"/>
      <name val="Times New Roman"/>
      <family val="1"/>
    </font>
    <font>
      <sz val="9"/>
      <color rgb="FF003366"/>
      <name val="Times New Roman"/>
      <family val="1"/>
    </font>
    <font>
      <sz val="9"/>
      <color rgb="FFFF0000"/>
      <name val="Times New Roman"/>
      <family val="1"/>
    </font>
    <font>
      <sz val="8"/>
      <color rgb="FF0000FF"/>
      <name val="Times New Roman"/>
      <family val="1"/>
    </font>
    <font>
      <b val="true"/>
      <u val="single"/>
      <sz val="9"/>
      <name val="Times New Roman"/>
      <family val="1"/>
    </font>
    <font>
      <sz val="9"/>
      <color rgb="FF0000FF"/>
      <name val="Arial"/>
      <family val="0"/>
    </font>
    <font>
      <sz val="9"/>
      <color rgb="FF0000FF"/>
      <name val="Arial"/>
      <family val="2"/>
    </font>
    <font>
      <b val="true"/>
      <sz val="8"/>
      <color rgb="FF000000"/>
      <name val="Tahoma"/>
      <family val="0"/>
    </font>
    <font>
      <sz val="8"/>
      <color rgb="FF000000"/>
      <name val="Tahoma"/>
      <family val="2"/>
    </font>
    <font>
      <b val="true"/>
      <sz val="10"/>
      <color rgb="FF000000"/>
      <name val="Tahoma"/>
      <family val="2"/>
    </font>
    <font>
      <sz val="10"/>
      <color rgb="FF000000"/>
      <name val="Tahoma"/>
      <family val="2"/>
    </font>
    <font>
      <b val="true"/>
      <sz val="12"/>
      <color rgb="FF000000"/>
      <name val="Tahoma"/>
      <family val="2"/>
    </font>
    <font>
      <sz val="8"/>
      <color rgb="FF000000"/>
      <name val="Tahoma"/>
      <family val="0"/>
    </font>
    <font>
      <b val="true"/>
      <sz val="8"/>
      <color rgb="FF000000"/>
      <name val="Tahoma"/>
      <family val="2"/>
    </font>
    <font>
      <sz val="12"/>
      <color rgb="FF000000"/>
      <name val="Tahoma"/>
      <family val="2"/>
    </font>
    <font>
      <b val="true"/>
      <u val="single"/>
      <sz val="8"/>
      <name val="Times New Roman"/>
      <family val="1"/>
    </font>
    <font>
      <u val="single"/>
      <sz val="8"/>
      <name val="Times New Roman"/>
      <family val="1"/>
    </font>
    <font>
      <b val="true"/>
      <sz val="8"/>
      <color rgb="FF0000FF"/>
      <name val="Times New Roman"/>
      <family val="1"/>
    </font>
    <font>
      <sz val="8.25"/>
      <color rgb="FF000000"/>
      <name val="Arial"/>
      <family val="2"/>
    </font>
    <font>
      <b val="true"/>
      <u val="single"/>
      <sz val="8"/>
      <name val="Arial"/>
      <family val="2"/>
    </font>
    <font>
      <b val="true"/>
      <sz val="8"/>
      <name val="Arial"/>
      <family val="0"/>
    </font>
    <font>
      <sz val="8"/>
      <color rgb="FF0000FF"/>
      <name val="Arial"/>
      <family val="0"/>
    </font>
    <font>
      <u val="single"/>
      <sz val="8"/>
      <name val="Arial"/>
      <family val="0"/>
    </font>
    <font>
      <sz val="8"/>
      <color rgb="FF000000"/>
      <name val="Times New Roman"/>
      <family val="1"/>
    </font>
    <font>
      <sz val="8"/>
      <color rgb="FF800000"/>
      <name val="Times New Roman"/>
      <family val="1"/>
    </font>
    <font>
      <u val="single"/>
      <sz val="10"/>
      <name val="Times New Roman"/>
      <family val="1"/>
    </font>
    <font>
      <sz val="10"/>
      <color rgb="FF0000FF"/>
      <name val="Times New Roman"/>
      <family val="1"/>
    </font>
    <font>
      <b val="true"/>
      <sz val="10"/>
      <color rgb="FF0000FF"/>
      <name val="Arial"/>
      <family val="2"/>
    </font>
    <font>
      <u val="single"/>
      <sz val="10"/>
      <color rgb="FF000000"/>
      <name val="Times New Roman"/>
      <family val="1"/>
    </font>
    <font>
      <sz val="10"/>
      <color rgb="FF000000"/>
      <name val="Times New Roman"/>
      <family val="1"/>
    </font>
    <font>
      <u val="single"/>
      <sz val="10"/>
      <color rgb="FF000000"/>
      <name val="Arial"/>
      <family val="2"/>
    </font>
    <font>
      <sz val="10"/>
      <color rgb="FF0000FF"/>
      <name val="Arial"/>
      <family val="0"/>
    </font>
    <font>
      <sz val="8"/>
      <color rgb="FFFF0000"/>
      <name val="Times New Roman"/>
      <family val="1"/>
    </font>
    <font>
      <u val="single"/>
      <sz val="8"/>
      <name val="Arial"/>
      <family val="2"/>
    </font>
    <font>
      <u val="double"/>
      <sz val="8"/>
      <name val="Times New Roman"/>
      <family val="1"/>
    </font>
    <font>
      <u val="double"/>
      <sz val="8"/>
      <name val="Arial"/>
      <family val="0"/>
    </font>
    <font>
      <sz val="8"/>
      <color rgb="FFFFFFFF"/>
      <name val="Times New Roman"/>
      <family val="1"/>
    </font>
    <font>
      <sz val="10"/>
      <color rgb="FFFF0000"/>
      <name val="Times New Roman"/>
      <family val="1"/>
    </font>
    <font>
      <b val="true"/>
      <i val="true"/>
      <u val="single"/>
      <sz val="8"/>
      <name val="Times New Roman"/>
      <family val="1"/>
    </font>
    <font>
      <i val="true"/>
      <u val="single"/>
      <sz val="8"/>
      <name val="Times New Roman"/>
      <family val="1"/>
    </font>
    <font>
      <i val="true"/>
      <sz val="8"/>
      <name val="Times New Roman"/>
      <family val="1"/>
    </font>
    <font>
      <b val="true"/>
      <sz val="8"/>
      <color rgb="FF000000"/>
      <name val="Times New Roman"/>
      <family val="1"/>
    </font>
    <font>
      <u val="single"/>
      <sz val="8"/>
      <color rgb="FF0000FF"/>
      <name val="Times New Roman"/>
      <family val="1"/>
    </font>
    <font>
      <sz val="8"/>
      <color rgb="FF000000"/>
      <name val="Arial MT"/>
      <family val="0"/>
    </font>
    <font>
      <b val="true"/>
      <sz val="16"/>
      <name val="Arial"/>
      <family val="0"/>
    </font>
    <font>
      <b val="true"/>
      <i val="true"/>
      <sz val="8"/>
      <color rgb="FF000000"/>
      <name val="P-TIMES"/>
      <family val="0"/>
    </font>
    <font>
      <sz val="8"/>
      <color rgb="FF000000"/>
      <name val="P-TIMES"/>
      <family val="0"/>
    </font>
    <font>
      <b val="true"/>
      <sz val="8"/>
      <color rgb="FF000000"/>
      <name val="Arial MT"/>
      <family val="0"/>
    </font>
    <font>
      <b val="true"/>
      <sz val="8"/>
      <color rgb="FF000000"/>
      <name val="P-TIMES"/>
      <family val="0"/>
    </font>
    <font>
      <b val="true"/>
      <sz val="8"/>
      <color rgb="FF0000FF"/>
      <name val="P-TIMES"/>
      <family val="0"/>
    </font>
    <font>
      <b val="true"/>
      <sz val="8"/>
      <color rgb="FFFF0000"/>
      <name val="P-TIMES"/>
      <family val="0"/>
    </font>
    <font>
      <sz val="8"/>
      <color rgb="FF0000FF"/>
      <name val="P-TIMES"/>
      <family val="0"/>
    </font>
  </fonts>
  <fills count="12">
    <fill>
      <patternFill patternType="none"/>
    </fill>
    <fill>
      <patternFill patternType="gray125"/>
    </fill>
    <fill>
      <patternFill patternType="solid">
        <fgColor rgb="FF99CCFF"/>
        <bgColor rgb="FFCCCCFF"/>
      </patternFill>
    </fill>
    <fill>
      <patternFill patternType="solid">
        <fgColor rgb="FF00FFFF"/>
        <bgColor rgb="FF00FFFF"/>
      </patternFill>
    </fill>
    <fill>
      <patternFill patternType="solid">
        <fgColor rgb="FFC0C0C0"/>
        <bgColor rgb="FFCCCCFF"/>
      </patternFill>
    </fill>
    <fill>
      <patternFill patternType="solid">
        <fgColor rgb="FFFFFFCC"/>
        <bgColor rgb="FFFFFFFF"/>
      </patternFill>
    </fill>
    <fill>
      <patternFill patternType="solid">
        <fgColor rgb="FF003300"/>
        <bgColor rgb="FF333300"/>
      </patternFill>
    </fill>
    <fill>
      <patternFill patternType="solid">
        <fgColor rgb="FFCCFFFF"/>
        <bgColor rgb="FFCCFFFF"/>
      </patternFill>
    </fill>
    <fill>
      <patternFill patternType="solid">
        <fgColor rgb="FFFFFF99"/>
        <bgColor rgb="FFFFFFCC"/>
      </patternFill>
    </fill>
    <fill>
      <patternFill patternType="solid">
        <fgColor rgb="FFCC99FF"/>
        <bgColor rgb="FF9999FF"/>
      </patternFill>
    </fill>
    <fill>
      <patternFill patternType="solid">
        <fgColor rgb="FFFFFF00"/>
        <bgColor rgb="FFFFFF00"/>
      </patternFill>
    </fill>
    <fill>
      <patternFill patternType="solid">
        <fgColor rgb="FFCCFFCC"/>
        <bgColor rgb="FFCCFFFF"/>
      </patternFill>
    </fill>
  </fills>
  <borders count="28">
    <border diagonalUp="false" diagonalDown="false">
      <left/>
      <right/>
      <top/>
      <bottom/>
      <diagonal/>
    </border>
    <border diagonalUp="false" diagonalDown="false">
      <left style="double"/>
      <right/>
      <top/>
      <bottom style="hair"/>
      <diagonal/>
    </border>
    <border diagonalUp="false" diagonalDown="false">
      <left style="double"/>
      <right style="double"/>
      <top style="double"/>
      <bottom style="double"/>
      <diagonal/>
    </border>
    <border diagonalUp="false" diagonalDown="false">
      <left/>
      <right/>
      <top/>
      <bottom style="thin"/>
      <diagonal/>
    </border>
    <border diagonalUp="false" diagonalDown="false">
      <left style="thin"/>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style="thin"/>
      <bottom style="thin"/>
      <diagonal/>
    </border>
    <border diagonalUp="false" diagonalDown="false">
      <left/>
      <right/>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right/>
      <top/>
      <bottom style="medium"/>
      <diagonal/>
    </border>
    <border diagonalUp="false" diagonalDown="false">
      <left/>
      <right style="medium"/>
      <top/>
      <bottom style="medium"/>
      <diagonal/>
    </border>
    <border diagonalUp="false" diagonalDown="false">
      <left style="medium"/>
      <right/>
      <top style="medium"/>
      <bottom/>
      <diagonal/>
    </border>
    <border diagonalUp="false" diagonalDown="false">
      <left/>
      <right style="medium"/>
      <top style="medium"/>
      <bottom/>
      <diagonal/>
    </border>
    <border diagonalUp="false" diagonalDown="false">
      <left/>
      <right/>
      <top style="medium"/>
      <bottom/>
      <diagonal/>
    </border>
    <border diagonalUp="false" diagonalDown="false">
      <left style="medium"/>
      <right style="medium"/>
      <top style="medium"/>
      <bottom style="mediu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style="thin"/>
      <bottom style="medium"/>
      <diagonal/>
    </border>
  </borders>
  <cellStyleXfs count="155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93" fontId="0" fillId="0" borderId="0" applyFont="true" applyBorder="false" applyAlignment="false" applyProtection="false"/>
    <xf numFmtId="41" fontId="1" fillId="0" borderId="0" applyFont="true" applyBorder="false" applyAlignment="false" applyProtection="false"/>
    <xf numFmtId="217" fontId="0" fillId="0" borderId="0" applyFont="true" applyBorder="false" applyAlignment="false" applyProtection="false"/>
    <xf numFmtId="42" fontId="1" fillId="0" borderId="0" applyFont="true" applyBorder="false" applyAlignment="false" applyProtection="false"/>
    <xf numFmtId="244" fontId="0" fillId="0" borderId="0" applyFont="true" applyBorder="false" applyAlignment="false" applyProtection="false"/>
    <xf numFmtId="164" fontId="65"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70" fontId="0" fillId="0" borderId="0" applyFont="true" applyBorder="false" applyAlignment="false" applyProtection="false"/>
    <xf numFmtId="171" fontId="0" fillId="0" borderId="0" applyFont="true" applyBorder="false" applyAlignment="false" applyProtection="false"/>
    <xf numFmtId="168"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72"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173" fontId="0" fillId="0" borderId="0" applyFont="true" applyBorder="false" applyAlignment="false" applyProtection="false"/>
    <xf numFmtId="174" fontId="0" fillId="0" borderId="0" applyFont="true" applyBorder="false" applyAlignment="false" applyProtection="false"/>
    <xf numFmtId="175" fontId="0" fillId="0" borderId="0" applyFont="true" applyBorder="false" applyAlignment="false" applyProtection="false"/>
    <xf numFmtId="176"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7"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9"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80" fontId="0" fillId="0" borderId="0" applyFont="true" applyBorder="false" applyAlignment="false" applyProtection="false"/>
    <xf numFmtId="181"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64" fontId="8"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7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3"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82"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83" fontId="0" fillId="2" borderId="1" applyFont="true" applyBorder="true" applyAlignment="true" applyProtection="true">
      <alignment horizontal="center" vertical="center" textRotation="0" wrapText="false" indent="0" shrinkToFit="false"/>
      <protection locked="true" hidden="false"/>
    </xf>
    <xf numFmtId="184"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5" fontId="0" fillId="0" borderId="0" applyFont="true" applyBorder="false" applyAlignment="false" applyProtection="false"/>
    <xf numFmtId="185"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7"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8"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65"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90"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90" fontId="0" fillId="0" borderId="0" applyFont="true" applyBorder="false" applyAlignment="false" applyProtection="false"/>
    <xf numFmtId="18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5" fontId="0" fillId="0" borderId="0" applyFont="true" applyBorder="false" applyAlignment="false" applyProtection="false"/>
    <xf numFmtId="190" fontId="0" fillId="0" borderId="0" applyFont="true" applyBorder="false" applyAlignment="false" applyProtection="false"/>
    <xf numFmtId="18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91" fontId="8" fillId="0" borderId="0" applyFont="true" applyBorder="true" applyAlignment="true" applyProtection="true">
      <alignment horizontal="general" vertical="bottom" textRotation="0" wrapText="false" indent="0" shrinkToFit="false"/>
      <protection locked="true" hidden="false"/>
    </xf>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87" fontId="0" fillId="0" borderId="0" applyFont="true" applyBorder="false" applyAlignment="false" applyProtection="false"/>
    <xf numFmtId="185"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3" fontId="0" fillId="0" borderId="0" applyFont="true" applyBorder="false" applyAlignment="false" applyProtection="false"/>
    <xf numFmtId="175"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4" fontId="0" fillId="0" borderId="0" applyFont="true" applyBorder="false" applyAlignment="false" applyProtection="false"/>
    <xf numFmtId="193"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3" borderId="0" applyFont="true" applyBorder="false" applyAlignment="false" applyProtection="false"/>
    <xf numFmtId="192" fontId="0" fillId="0" borderId="0" applyFont="true" applyBorder="false" applyAlignment="false" applyProtection="false"/>
    <xf numFmtId="195" fontId="0" fillId="0" borderId="0" applyFont="true" applyBorder="false" applyAlignment="false" applyProtection="false"/>
    <xf numFmtId="193" fontId="0" fillId="0" borderId="0" applyFont="true" applyBorder="false" applyAlignment="false" applyProtection="false"/>
    <xf numFmtId="194" fontId="0" fillId="0" borderId="0" applyFont="true" applyBorder="false" applyAlignment="false" applyProtection="false"/>
    <xf numFmtId="193" fontId="0" fillId="0" borderId="0" applyFont="true" applyBorder="false" applyAlignment="false" applyProtection="false"/>
    <xf numFmtId="193"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3" borderId="0" applyFont="true" applyBorder="false" applyAlignment="false" applyProtection="false"/>
    <xf numFmtId="195" fontId="0" fillId="0" borderId="0" applyFont="true" applyBorder="false" applyAlignment="false" applyProtection="false"/>
    <xf numFmtId="179" fontId="0" fillId="0" borderId="0" applyFont="true" applyBorder="false" applyAlignment="false" applyProtection="false"/>
    <xf numFmtId="196" fontId="0" fillId="0" borderId="0" applyFont="true" applyBorder="false" applyAlignment="false" applyProtection="false"/>
    <xf numFmtId="179" fontId="0" fillId="0" borderId="0" applyFont="true" applyBorder="false" applyAlignment="false" applyProtection="false"/>
    <xf numFmtId="179" fontId="0" fillId="3"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3"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3" borderId="0" applyFont="true" applyBorder="false" applyAlignment="false" applyProtection="false"/>
    <xf numFmtId="193"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79" fontId="0" fillId="3" borderId="0" applyFont="true" applyBorder="false" applyAlignment="false" applyProtection="false"/>
    <xf numFmtId="193" fontId="9"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4" fontId="0" fillId="0" borderId="0" applyFont="true" applyBorder="false" applyAlignment="false" applyProtection="false"/>
    <xf numFmtId="193" fontId="0" fillId="0" borderId="0" applyFont="true" applyBorder="false" applyAlignment="false" applyProtection="false"/>
    <xf numFmtId="192" fontId="0" fillId="0" borderId="0" applyFont="true" applyBorder="false" applyAlignment="false" applyProtection="false"/>
    <xf numFmtId="193"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94" fontId="0" fillId="0" borderId="0" applyFont="true" applyBorder="false" applyAlignment="false" applyProtection="false"/>
    <xf numFmtId="179" fontId="0" fillId="3" borderId="0" applyFont="true" applyBorder="false" applyAlignment="false" applyProtection="false"/>
    <xf numFmtId="179" fontId="0" fillId="3"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3"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3" fontId="0" fillId="0" borderId="0" applyFont="true" applyBorder="false" applyAlignment="false" applyProtection="false"/>
    <xf numFmtId="179" fontId="0" fillId="0" borderId="0" applyFont="true" applyBorder="false" applyAlignment="false" applyProtection="false"/>
    <xf numFmtId="197"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3"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7" fontId="0" fillId="0" borderId="0" applyFont="true" applyBorder="false" applyAlignment="false" applyProtection="false"/>
    <xf numFmtId="173" fontId="0" fillId="0" borderId="0" applyFont="true" applyBorder="false" applyAlignment="false" applyProtection="false"/>
    <xf numFmtId="173" fontId="0" fillId="0" borderId="0" applyFont="true" applyBorder="false" applyAlignment="false" applyProtection="false"/>
    <xf numFmtId="194" fontId="0" fillId="0" borderId="0" applyFont="true" applyBorder="false" applyAlignment="false" applyProtection="false"/>
    <xf numFmtId="175" fontId="0" fillId="0" borderId="0" applyFont="true" applyBorder="false" applyAlignment="false" applyProtection="false"/>
    <xf numFmtId="173" fontId="0" fillId="0" borderId="0" applyFont="true" applyBorder="false" applyAlignment="false" applyProtection="false"/>
    <xf numFmtId="194" fontId="0" fillId="0" borderId="0" applyFont="true" applyBorder="false" applyAlignment="false" applyProtection="false"/>
    <xf numFmtId="173" fontId="0" fillId="0" borderId="0" applyFont="true" applyBorder="false" applyAlignment="false" applyProtection="false"/>
    <xf numFmtId="192" fontId="0" fillId="0" borderId="0" applyFont="true" applyBorder="false" applyAlignment="false" applyProtection="false"/>
    <xf numFmtId="194"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3"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75"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5" fontId="0" fillId="0" borderId="0" applyFont="true" applyBorder="false" applyAlignment="false" applyProtection="false"/>
    <xf numFmtId="198" fontId="0" fillId="0" borderId="0" applyFont="true" applyBorder="false" applyAlignment="false" applyProtection="false"/>
    <xf numFmtId="173" fontId="0" fillId="0" borderId="0" applyFont="true" applyBorder="false" applyAlignment="false" applyProtection="false"/>
    <xf numFmtId="192" fontId="0" fillId="0" borderId="0" applyFont="true" applyBorder="false" applyAlignment="false" applyProtection="false"/>
    <xf numFmtId="177"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5" fontId="0" fillId="0" borderId="0" applyFont="true" applyBorder="false" applyAlignment="false" applyProtection="false"/>
    <xf numFmtId="198" fontId="0" fillId="0" borderId="0" applyFont="true" applyBorder="false" applyAlignment="false" applyProtection="false"/>
    <xf numFmtId="173"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3" borderId="0" applyFont="true" applyBorder="false" applyAlignment="false" applyProtection="false"/>
    <xf numFmtId="194"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79" fontId="0" fillId="3" borderId="0" applyFont="true" applyBorder="false" applyAlignment="false" applyProtection="false"/>
    <xf numFmtId="179" fontId="0" fillId="3" borderId="0" applyFont="true" applyBorder="false" applyAlignment="false" applyProtection="false"/>
    <xf numFmtId="192" fontId="0" fillId="0" borderId="0" applyFont="true" applyBorder="false" applyAlignment="false" applyProtection="false"/>
    <xf numFmtId="179" fontId="0" fillId="3" borderId="0" applyFont="true" applyBorder="false" applyAlignment="false" applyProtection="false"/>
    <xf numFmtId="179" fontId="0" fillId="3"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92" fontId="0" fillId="0" borderId="0" applyFont="true" applyBorder="false" applyAlignment="false" applyProtection="false"/>
    <xf numFmtId="194" fontId="0" fillId="0" borderId="0" applyFont="true" applyBorder="false" applyAlignment="false" applyProtection="false"/>
    <xf numFmtId="193" fontId="0" fillId="0" borderId="0" applyFont="true" applyBorder="false" applyAlignment="false" applyProtection="false"/>
    <xf numFmtId="179" fontId="0" fillId="0" borderId="0" applyFont="true" applyBorder="false" applyAlignment="false" applyProtection="false"/>
    <xf numFmtId="184"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94" fontId="0" fillId="0" borderId="0" applyFont="true" applyBorder="false" applyAlignment="false" applyProtection="false"/>
    <xf numFmtId="179" fontId="0" fillId="3" borderId="0" applyFont="true" applyBorder="false" applyAlignment="false" applyProtection="false"/>
    <xf numFmtId="179" fontId="0" fillId="3" borderId="0" applyFont="true" applyBorder="false" applyAlignment="false" applyProtection="false"/>
    <xf numFmtId="196"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69" fontId="4"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93" fontId="0" fillId="0" borderId="0" applyFont="true" applyBorder="false" applyAlignment="false" applyProtection="false"/>
    <xf numFmtId="193" fontId="0" fillId="0" borderId="0" applyFont="true" applyBorder="false" applyAlignment="false" applyProtection="false"/>
    <xf numFmtId="179" fontId="0" fillId="3" borderId="0" applyFont="true" applyBorder="false" applyAlignment="false" applyProtection="false"/>
    <xf numFmtId="179" fontId="0" fillId="0" borderId="0" applyFont="true" applyBorder="false" applyAlignment="false" applyProtection="false"/>
    <xf numFmtId="193" fontId="0" fillId="0" borderId="0" applyFont="true" applyBorder="false" applyAlignment="false" applyProtection="false"/>
    <xf numFmtId="196" fontId="0" fillId="0" borderId="0" applyFont="true" applyBorder="false" applyAlignment="false" applyProtection="false"/>
    <xf numFmtId="175" fontId="0" fillId="0" borderId="0" applyFont="true" applyBorder="false" applyAlignment="false" applyProtection="false"/>
    <xf numFmtId="177"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6"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3" fontId="0" fillId="0" borderId="0" applyFont="true" applyBorder="false" applyAlignment="false" applyProtection="false"/>
    <xf numFmtId="192"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96" fontId="0" fillId="0" borderId="0" applyFont="true" applyBorder="false" applyAlignment="false" applyProtection="false"/>
    <xf numFmtId="193"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6" fontId="0" fillId="0" borderId="0" applyFont="true" applyBorder="false" applyAlignment="false" applyProtection="false"/>
    <xf numFmtId="193" fontId="0" fillId="0" borderId="0" applyFont="true" applyBorder="false" applyAlignment="false" applyProtection="false"/>
    <xf numFmtId="196"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4"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200" fontId="0" fillId="0" borderId="0" applyFont="true" applyBorder="false" applyAlignment="false" applyProtection="false"/>
    <xf numFmtId="201" fontId="0" fillId="0" borderId="0" applyFont="true" applyBorder="false" applyAlignment="false" applyProtection="false"/>
    <xf numFmtId="168" fontId="0" fillId="0" borderId="0" applyFont="true" applyBorder="false" applyAlignment="false" applyProtection="false"/>
    <xf numFmtId="202" fontId="0" fillId="0" borderId="0" applyFont="true" applyBorder="false" applyAlignment="false" applyProtection="false"/>
    <xf numFmtId="202" fontId="0" fillId="0" borderId="0" applyFont="true" applyBorder="false" applyAlignment="false" applyProtection="false"/>
    <xf numFmtId="202" fontId="0" fillId="0" borderId="0" applyFont="true" applyBorder="false" applyAlignment="false" applyProtection="false"/>
    <xf numFmtId="200" fontId="0" fillId="0" borderId="0" applyFont="true" applyBorder="false" applyAlignment="false" applyProtection="false"/>
    <xf numFmtId="201" fontId="0" fillId="0" borderId="0" applyFont="true" applyBorder="false" applyAlignment="false" applyProtection="false"/>
    <xf numFmtId="203" fontId="0" fillId="0" borderId="0" applyFont="true" applyBorder="false" applyAlignment="false" applyProtection="false"/>
    <xf numFmtId="176" fontId="0" fillId="0" borderId="0" applyFont="true" applyBorder="false" applyAlignment="false" applyProtection="false"/>
    <xf numFmtId="199"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204" fontId="0" fillId="0" borderId="0" applyFont="true" applyBorder="false" applyAlignment="false" applyProtection="false"/>
    <xf numFmtId="205"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99" fontId="0" fillId="0" borderId="0" applyFont="true" applyBorder="false" applyAlignment="false" applyProtection="false"/>
    <xf numFmtId="202" fontId="0" fillId="0" borderId="0" applyFont="true" applyBorder="false" applyAlignment="false" applyProtection="false"/>
    <xf numFmtId="202" fontId="0" fillId="0" borderId="0" applyFont="true" applyBorder="false" applyAlignment="false" applyProtection="false"/>
    <xf numFmtId="202" fontId="0" fillId="0" borderId="0" applyFont="true" applyBorder="false" applyAlignment="false" applyProtection="false"/>
    <xf numFmtId="202" fontId="0" fillId="0" borderId="0" applyFont="true" applyBorder="false" applyAlignment="false" applyProtection="false"/>
    <xf numFmtId="202" fontId="0" fillId="0" borderId="0" applyFont="true" applyBorder="false" applyAlignment="false" applyProtection="false"/>
    <xf numFmtId="204" fontId="0" fillId="0" borderId="0" applyFont="true" applyBorder="false" applyAlignment="false" applyProtection="false"/>
    <xf numFmtId="204" fontId="0" fillId="0" borderId="0" applyFont="true" applyBorder="false" applyAlignment="false" applyProtection="false"/>
    <xf numFmtId="204" fontId="0" fillId="0" borderId="0" applyFont="true" applyBorder="false" applyAlignment="false" applyProtection="false"/>
    <xf numFmtId="204" fontId="0" fillId="0" borderId="0" applyFont="true" applyBorder="false" applyAlignment="false" applyProtection="false"/>
    <xf numFmtId="201"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0" fontId="0" fillId="0" borderId="0" applyFont="true" applyBorder="false" applyAlignment="false" applyProtection="false"/>
    <xf numFmtId="168" fontId="0" fillId="0" borderId="0" applyFont="true" applyBorder="false" applyAlignment="false" applyProtection="false"/>
    <xf numFmtId="203" fontId="0" fillId="0" borderId="0" applyFont="true" applyBorder="false" applyAlignment="false" applyProtection="false"/>
    <xf numFmtId="205" fontId="0" fillId="0" borderId="0" applyFont="true" applyBorder="false" applyAlignment="false" applyProtection="false"/>
    <xf numFmtId="202" fontId="0" fillId="0" borderId="0" applyFont="true" applyBorder="false" applyAlignment="false" applyProtection="false"/>
    <xf numFmtId="206" fontId="0" fillId="0" borderId="0" applyFont="true" applyBorder="false" applyAlignment="false" applyProtection="false"/>
    <xf numFmtId="202"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202" fontId="0" fillId="0" borderId="0" applyFont="true" applyBorder="false" applyAlignment="false" applyProtection="false"/>
    <xf numFmtId="201" fontId="0" fillId="0" borderId="0" applyFont="true" applyBorder="false" applyAlignment="false" applyProtection="false"/>
    <xf numFmtId="206" fontId="0" fillId="0" borderId="0" applyFont="true" applyBorder="false" applyAlignment="false" applyProtection="false"/>
    <xf numFmtId="200" fontId="0" fillId="0" borderId="0" applyFont="true" applyBorder="false" applyAlignment="false" applyProtection="false"/>
    <xf numFmtId="199" fontId="0" fillId="0" borderId="0" applyFont="true" applyBorder="false" applyAlignment="false" applyProtection="false"/>
    <xf numFmtId="203" fontId="0" fillId="0" borderId="0" applyFont="true" applyBorder="false" applyAlignment="false" applyProtection="false"/>
    <xf numFmtId="199" fontId="0" fillId="0" borderId="0" applyFont="true" applyBorder="false" applyAlignment="false" applyProtection="false"/>
    <xf numFmtId="202" fontId="0" fillId="0" borderId="0" applyFont="true" applyBorder="false" applyAlignment="false" applyProtection="false"/>
    <xf numFmtId="170" fontId="0" fillId="0" borderId="0" applyFont="true" applyBorder="false" applyAlignment="false" applyProtection="false"/>
    <xf numFmtId="200" fontId="0" fillId="0" borderId="0" applyFont="true" applyBorder="false" applyAlignment="false" applyProtection="false"/>
    <xf numFmtId="170" fontId="0" fillId="0" borderId="0" applyFont="true" applyBorder="false" applyAlignment="false" applyProtection="false"/>
    <xf numFmtId="207" fontId="0" fillId="0" borderId="0" applyFont="true" applyBorder="false" applyAlignment="false" applyProtection="false"/>
    <xf numFmtId="208" fontId="0" fillId="0" borderId="0" applyFont="true" applyBorder="false" applyAlignment="false" applyProtection="false"/>
    <xf numFmtId="204"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2" fontId="0" fillId="0" borderId="0" applyFont="true" applyBorder="false" applyAlignment="false" applyProtection="false"/>
    <xf numFmtId="202" fontId="0" fillId="0" borderId="0" applyFont="true" applyBorder="false" applyAlignment="false" applyProtection="false"/>
    <xf numFmtId="202"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202" fontId="0" fillId="0" borderId="0" applyFont="true" applyBorder="false" applyAlignment="false" applyProtection="false"/>
    <xf numFmtId="202" fontId="0" fillId="0" borderId="0" applyFont="true" applyBorder="false" applyAlignment="false" applyProtection="false"/>
    <xf numFmtId="202"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1"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1"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1"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99"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0"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0" fontId="0" fillId="0" borderId="0" applyFont="true" applyBorder="false" applyAlignment="false" applyProtection="false"/>
    <xf numFmtId="209" fontId="0" fillId="0" borderId="0" applyFont="true" applyBorder="false" applyAlignment="false" applyProtection="false"/>
    <xf numFmtId="164"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202" fontId="0" fillId="0" borderId="0" applyFont="true" applyBorder="false" applyAlignment="false" applyProtection="false"/>
    <xf numFmtId="202"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202" fontId="0" fillId="0" borderId="0" applyFont="true" applyBorder="false" applyAlignment="false" applyProtection="false"/>
    <xf numFmtId="196" fontId="0" fillId="0" borderId="0" applyFont="true" applyBorder="false" applyAlignment="false" applyProtection="false"/>
    <xf numFmtId="164" fontId="0" fillId="0" borderId="0" applyFont="true" applyBorder="false" applyAlignment="false" applyProtection="false"/>
    <xf numFmtId="210"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210" fontId="0" fillId="0" borderId="0" applyFont="true" applyBorder="false" applyAlignment="false" applyProtection="false"/>
    <xf numFmtId="176" fontId="0" fillId="0" borderId="0" applyFont="true" applyBorder="false" applyAlignment="false" applyProtection="false"/>
    <xf numFmtId="210" fontId="0" fillId="0" borderId="0" applyFont="true" applyBorder="false" applyAlignment="false" applyProtection="false"/>
    <xf numFmtId="211" fontId="0" fillId="0" borderId="0" applyFont="true" applyBorder="false" applyAlignment="false" applyProtection="false"/>
    <xf numFmtId="210" fontId="0" fillId="0" borderId="0" applyFont="true" applyBorder="false" applyAlignment="false" applyProtection="false"/>
    <xf numFmtId="201"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212" fontId="0" fillId="0" borderId="0" applyFont="true" applyBorder="false" applyAlignment="false" applyProtection="false"/>
    <xf numFmtId="168" fontId="0" fillId="0" borderId="0" applyFont="true" applyBorder="false" applyAlignment="false" applyProtection="false"/>
    <xf numFmtId="210"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11"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210" fontId="0" fillId="0" borderId="0" applyFont="true" applyBorder="false" applyAlignment="false" applyProtection="false"/>
    <xf numFmtId="168"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168" fontId="0" fillId="0" borderId="0" applyFont="true" applyBorder="false" applyAlignment="false" applyProtection="false"/>
    <xf numFmtId="190" fontId="0" fillId="0" borderId="0" applyFont="true" applyBorder="false" applyAlignment="false" applyProtection="false"/>
    <xf numFmtId="201" fontId="0" fillId="0" borderId="0" applyFont="true" applyBorder="false" applyAlignment="false" applyProtection="false"/>
    <xf numFmtId="210" fontId="0" fillId="0" borderId="0" applyFont="true" applyBorder="false" applyAlignment="false" applyProtection="false"/>
    <xf numFmtId="200"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204"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99" fontId="0" fillId="0" borderId="0" applyFont="true" applyBorder="false" applyAlignment="false" applyProtection="false"/>
    <xf numFmtId="200"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0" fontId="0" fillId="0" borderId="0" applyFont="true" applyBorder="false" applyAlignment="false" applyProtection="false"/>
    <xf numFmtId="202" fontId="0" fillId="0" borderId="0" applyFont="true" applyBorder="false" applyAlignment="false" applyProtection="false"/>
    <xf numFmtId="202" fontId="0" fillId="0" borderId="0" applyFont="true" applyBorder="false" applyAlignment="false" applyProtection="false"/>
    <xf numFmtId="176" fontId="0" fillId="0" borderId="0" applyFont="true" applyBorder="false" applyAlignment="false" applyProtection="false"/>
    <xf numFmtId="215" fontId="0" fillId="0" borderId="0" applyFont="true" applyBorder="false" applyAlignment="false" applyProtection="false"/>
    <xf numFmtId="204" fontId="0" fillId="0" borderId="0" applyFont="true" applyBorder="false" applyAlignment="false" applyProtection="false"/>
    <xf numFmtId="215"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0" fontId="0" fillId="0" borderId="0" applyFont="true" applyBorder="false" applyAlignment="false" applyProtection="false"/>
    <xf numFmtId="202" fontId="0" fillId="0" borderId="0" applyFont="true" applyBorder="false" applyAlignment="false" applyProtection="false"/>
    <xf numFmtId="202" fontId="0" fillId="0" borderId="0" applyFont="true" applyBorder="false" applyAlignment="false" applyProtection="false"/>
    <xf numFmtId="170" fontId="0" fillId="0" borderId="0" applyFont="true" applyBorder="false" applyAlignment="false" applyProtection="false"/>
    <xf numFmtId="199" fontId="0" fillId="0" borderId="0" applyFont="true" applyBorder="false" applyAlignment="false" applyProtection="false"/>
    <xf numFmtId="200"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202" fontId="0" fillId="0" borderId="0" applyFont="true" applyBorder="false" applyAlignment="false" applyProtection="false"/>
    <xf numFmtId="199" fontId="0" fillId="0" borderId="0" applyFont="true" applyBorder="false" applyAlignment="false" applyProtection="false"/>
    <xf numFmtId="202" fontId="0" fillId="0" borderId="0" applyFont="true" applyBorder="false" applyAlignment="false" applyProtection="false"/>
    <xf numFmtId="202" fontId="0" fillId="0" borderId="0" applyFont="true" applyBorder="false" applyAlignment="false" applyProtection="false"/>
    <xf numFmtId="206" fontId="0" fillId="0" borderId="0" applyFont="true" applyBorder="false" applyAlignment="false" applyProtection="false"/>
    <xf numFmtId="206" fontId="0" fillId="0" borderId="0" applyFont="true" applyBorder="false" applyAlignment="false" applyProtection="false"/>
    <xf numFmtId="206"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202"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200" fontId="0" fillId="0" borderId="0" applyFont="true" applyBorder="false" applyAlignment="false" applyProtection="false"/>
    <xf numFmtId="202" fontId="0" fillId="0" borderId="0" applyFont="true" applyBorder="false" applyAlignment="false" applyProtection="false"/>
    <xf numFmtId="168" fontId="0" fillId="0" borderId="0" applyFont="true" applyBorder="false" applyAlignment="false" applyProtection="false"/>
    <xf numFmtId="202" fontId="0" fillId="0" borderId="0" applyFont="true" applyBorder="false" applyAlignment="false" applyProtection="false"/>
    <xf numFmtId="202" fontId="0" fillId="0" borderId="0" applyFont="true" applyBorder="false" applyAlignment="false" applyProtection="false"/>
    <xf numFmtId="202" fontId="0" fillId="0" borderId="0" applyFont="true" applyBorder="false" applyAlignment="false" applyProtection="false"/>
    <xf numFmtId="202" fontId="0" fillId="0" borderId="0" applyFont="true" applyBorder="false" applyAlignment="false" applyProtection="false"/>
    <xf numFmtId="168"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206" fontId="0" fillId="0" borderId="0" applyFont="true" applyBorder="false" applyAlignment="false" applyProtection="false"/>
    <xf numFmtId="202" fontId="0" fillId="0" borderId="0" applyFont="true" applyBorder="false" applyAlignment="false" applyProtection="false"/>
    <xf numFmtId="199" fontId="0" fillId="0" borderId="0" applyFont="true" applyBorder="false" applyAlignment="false" applyProtection="false"/>
    <xf numFmtId="202" fontId="0" fillId="0" borderId="0" applyFont="true" applyBorder="false" applyAlignment="false" applyProtection="false"/>
    <xf numFmtId="201"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201" fontId="0" fillId="0" borderId="0" applyFont="true" applyBorder="false" applyAlignment="false" applyProtection="false"/>
    <xf numFmtId="176" fontId="0" fillId="0" borderId="0" applyFont="true" applyBorder="false" applyAlignment="false" applyProtection="false"/>
    <xf numFmtId="201"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70" fontId="0" fillId="0" borderId="0" applyFont="true" applyBorder="false" applyAlignment="false" applyProtection="false"/>
    <xf numFmtId="202" fontId="0" fillId="0" borderId="0" applyFont="true" applyBorder="false" applyAlignment="false" applyProtection="false"/>
    <xf numFmtId="200" fontId="0" fillId="0" borderId="0" applyFont="true" applyBorder="false" applyAlignment="false" applyProtection="false"/>
    <xf numFmtId="206"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206" fontId="0" fillId="0" borderId="0" applyFont="true" applyBorder="false" applyAlignment="false" applyProtection="false"/>
    <xf numFmtId="203" fontId="0" fillId="0" borderId="0" applyFont="true" applyBorder="false" applyAlignment="false" applyProtection="false"/>
    <xf numFmtId="202" fontId="0" fillId="0" borderId="0" applyFont="true" applyBorder="false" applyAlignment="false" applyProtection="false"/>
    <xf numFmtId="170" fontId="0" fillId="0" borderId="0" applyFont="true" applyBorder="false" applyAlignment="false" applyProtection="false"/>
    <xf numFmtId="200"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2" fontId="0" fillId="0" borderId="0" applyFont="true" applyBorder="false" applyAlignment="false" applyProtection="false"/>
    <xf numFmtId="206" fontId="0" fillId="0" borderId="0" applyFont="true" applyBorder="false" applyAlignment="false" applyProtection="false"/>
    <xf numFmtId="199" fontId="0" fillId="0" borderId="0" applyFont="true" applyBorder="false" applyAlignment="false" applyProtection="false"/>
    <xf numFmtId="206" fontId="0" fillId="0" borderId="0" applyFont="true" applyBorder="false" applyAlignment="false" applyProtection="false"/>
    <xf numFmtId="200"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70" fontId="0" fillId="0" borderId="0" applyFont="true" applyBorder="false" applyAlignment="false" applyProtection="false"/>
    <xf numFmtId="202" fontId="0" fillId="0" borderId="0" applyFont="true" applyBorder="false" applyAlignment="false" applyProtection="false"/>
    <xf numFmtId="202" fontId="0" fillId="0" borderId="0" applyFont="true" applyBorder="false" applyAlignment="false" applyProtection="false"/>
    <xf numFmtId="202"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202" fontId="0" fillId="0" borderId="0" applyFont="true" applyBorder="false" applyAlignment="false" applyProtection="false"/>
    <xf numFmtId="202" fontId="0" fillId="0" borderId="0" applyFont="true" applyBorder="false" applyAlignment="false" applyProtection="false"/>
    <xf numFmtId="199" fontId="0" fillId="0" borderId="0" applyFont="true" applyBorder="false" applyAlignment="false" applyProtection="false"/>
    <xf numFmtId="202" fontId="0" fillId="0" borderId="0" applyFont="true" applyBorder="false" applyAlignment="false" applyProtection="false"/>
    <xf numFmtId="199" fontId="0" fillId="0" borderId="0" applyFont="true" applyBorder="false" applyAlignment="false" applyProtection="false"/>
    <xf numFmtId="202" fontId="0" fillId="0" borderId="0" applyFont="true" applyBorder="false" applyAlignment="false" applyProtection="false"/>
    <xf numFmtId="204" fontId="0" fillId="0" borderId="0" applyFont="true" applyBorder="false" applyAlignment="false" applyProtection="false"/>
    <xf numFmtId="168" fontId="0" fillId="0" borderId="0" applyFont="true" applyBorder="false" applyAlignment="false" applyProtection="false"/>
    <xf numFmtId="204"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76"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7" fontId="0" fillId="0" borderId="0" applyFont="true" applyBorder="false" applyAlignment="false" applyProtection="false"/>
    <xf numFmtId="210" fontId="0" fillId="0" borderId="0" applyFont="true" applyBorder="false" applyAlignment="false" applyProtection="false"/>
    <xf numFmtId="167" fontId="0" fillId="0" borderId="0" applyFont="true" applyBorder="false" applyAlignment="false" applyProtection="false"/>
    <xf numFmtId="218" fontId="0" fillId="0" borderId="0" applyFont="true" applyBorder="false" applyAlignment="false" applyProtection="false"/>
    <xf numFmtId="218" fontId="0" fillId="0" borderId="0" applyFont="true" applyBorder="false" applyAlignment="false" applyProtection="false"/>
    <xf numFmtId="218" fontId="0" fillId="0" borderId="0" applyFont="true" applyBorder="false" applyAlignment="false" applyProtection="false"/>
    <xf numFmtId="180" fontId="0" fillId="0" borderId="0" applyFont="true" applyBorder="false" applyAlignment="false" applyProtection="false"/>
    <xf numFmtId="217" fontId="0" fillId="0" borderId="0" applyFont="true" applyBorder="false" applyAlignment="false" applyProtection="false"/>
    <xf numFmtId="210" fontId="0" fillId="0" borderId="0" applyFont="true" applyBorder="false" applyAlignment="false" applyProtection="false"/>
    <xf numFmtId="219" fontId="0" fillId="0" borderId="0" applyFont="true" applyBorder="false" applyAlignment="false" applyProtection="false"/>
    <xf numFmtId="166" fontId="0" fillId="0" borderId="0" applyFont="true" applyBorder="false" applyAlignment="false" applyProtection="false"/>
    <xf numFmtId="216" fontId="0" fillId="0" borderId="0" applyFont="true" applyBorder="false" applyAlignment="false" applyProtection="false"/>
    <xf numFmtId="180" fontId="0" fillId="0" borderId="0" applyFont="true" applyBorder="false" applyAlignment="false" applyProtection="false"/>
    <xf numFmtId="180" fontId="0" fillId="0" borderId="0" applyFont="true" applyBorder="false" applyAlignment="false" applyProtection="false"/>
    <xf numFmtId="220" fontId="0" fillId="0" borderId="0" applyFont="true" applyBorder="false" applyAlignment="false" applyProtection="false"/>
    <xf numFmtId="221" fontId="0" fillId="0" borderId="0" applyFont="true" applyBorder="false" applyAlignment="false" applyProtection="false"/>
    <xf numFmtId="217" fontId="0" fillId="0" borderId="0" applyFont="true" applyBorder="false" applyAlignment="false" applyProtection="false"/>
    <xf numFmtId="180"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6" fontId="0" fillId="0" borderId="0" applyFont="true" applyBorder="false" applyAlignment="false" applyProtection="false"/>
    <xf numFmtId="218" fontId="0" fillId="0" borderId="0" applyFont="true" applyBorder="false" applyAlignment="false" applyProtection="false"/>
    <xf numFmtId="218" fontId="0" fillId="0" borderId="0" applyFont="true" applyBorder="false" applyAlignment="false" applyProtection="false"/>
    <xf numFmtId="218" fontId="0" fillId="0" borderId="0" applyFont="true" applyBorder="false" applyAlignment="false" applyProtection="false"/>
    <xf numFmtId="218" fontId="0" fillId="0" borderId="0" applyFont="true" applyBorder="false" applyAlignment="false" applyProtection="false"/>
    <xf numFmtId="218" fontId="0" fillId="0" borderId="0" applyFont="true" applyBorder="false" applyAlignment="false" applyProtection="false"/>
    <xf numFmtId="220" fontId="0" fillId="0" borderId="0" applyFont="true" applyBorder="false" applyAlignment="false" applyProtection="false"/>
    <xf numFmtId="220" fontId="0" fillId="0" borderId="0" applyFont="true" applyBorder="false" applyAlignment="false" applyProtection="false"/>
    <xf numFmtId="220" fontId="0" fillId="0" borderId="0" applyFont="true" applyBorder="false" applyAlignment="false" applyProtection="false"/>
    <xf numFmtId="220" fontId="0" fillId="0" borderId="0" applyFont="true" applyBorder="false" applyAlignment="false" applyProtection="false"/>
    <xf numFmtId="21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80" fontId="0" fillId="0" borderId="0" applyFont="true" applyBorder="false" applyAlignment="false" applyProtection="false"/>
    <xf numFmtId="167" fontId="0" fillId="0" borderId="0" applyFont="true" applyBorder="false" applyAlignment="false" applyProtection="false"/>
    <xf numFmtId="219" fontId="0" fillId="0" borderId="0" applyFont="true" applyBorder="false" applyAlignment="false" applyProtection="false"/>
    <xf numFmtId="221" fontId="0" fillId="0" borderId="0" applyFont="true" applyBorder="false" applyAlignment="false" applyProtection="false"/>
    <xf numFmtId="218" fontId="0" fillId="0" borderId="0" applyFont="true" applyBorder="false" applyAlignment="false" applyProtection="false"/>
    <xf numFmtId="222" fontId="0" fillId="0" borderId="0" applyFont="true" applyBorder="false" applyAlignment="false" applyProtection="false"/>
    <xf numFmtId="218" fontId="0" fillId="0" borderId="0" applyFont="true" applyBorder="false" applyAlignment="false" applyProtection="false"/>
    <xf numFmtId="180" fontId="0" fillId="0" borderId="0" applyFont="true" applyBorder="false" applyAlignment="false" applyProtection="false"/>
    <xf numFmtId="180" fontId="0" fillId="0" borderId="0" applyFont="true" applyBorder="false" applyAlignment="false" applyProtection="false"/>
    <xf numFmtId="180" fontId="0" fillId="0" borderId="0" applyFont="true" applyBorder="false" applyAlignment="false" applyProtection="false"/>
    <xf numFmtId="218" fontId="0" fillId="0" borderId="0" applyFont="true" applyBorder="false" applyAlignment="false" applyProtection="false"/>
    <xf numFmtId="210" fontId="0" fillId="0" borderId="0" applyFont="true" applyBorder="false" applyAlignment="false" applyProtection="false"/>
    <xf numFmtId="222" fontId="0" fillId="0" borderId="0" applyFont="true" applyBorder="false" applyAlignment="false" applyProtection="false"/>
    <xf numFmtId="180" fontId="0" fillId="0" borderId="0" applyFont="true" applyBorder="false" applyAlignment="false" applyProtection="false"/>
    <xf numFmtId="217" fontId="0" fillId="0" borderId="0" applyFont="true" applyBorder="false" applyAlignment="false" applyProtection="false"/>
    <xf numFmtId="216" fontId="0" fillId="0" borderId="0" applyFont="true" applyBorder="false" applyAlignment="false" applyProtection="false"/>
    <xf numFmtId="219" fontId="0" fillId="0" borderId="0" applyFont="true" applyBorder="false" applyAlignment="false" applyProtection="false"/>
    <xf numFmtId="216" fontId="0" fillId="0" borderId="0" applyFont="true" applyBorder="false" applyAlignment="false" applyProtection="false"/>
    <xf numFmtId="218" fontId="0" fillId="0" borderId="0" applyFont="true" applyBorder="false" applyAlignment="false" applyProtection="false"/>
    <xf numFmtId="180" fontId="0" fillId="0" borderId="0" applyFont="true" applyBorder="false" applyAlignment="false" applyProtection="false"/>
    <xf numFmtId="217" fontId="0" fillId="0" borderId="0" applyFont="true" applyBorder="false" applyAlignment="false" applyProtection="false"/>
    <xf numFmtId="180" fontId="0" fillId="0" borderId="0" applyFont="true" applyBorder="false" applyAlignment="false" applyProtection="false"/>
    <xf numFmtId="223" fontId="0" fillId="0" borderId="0" applyFont="true" applyBorder="false" applyAlignment="false" applyProtection="false"/>
    <xf numFmtId="166" fontId="0" fillId="0" borderId="0" applyFont="true" applyBorder="false" applyAlignment="false" applyProtection="false"/>
    <xf numFmtId="22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8" fontId="0" fillId="0" borderId="0" applyFont="true" applyBorder="false" applyAlignment="false" applyProtection="false"/>
    <xf numFmtId="218" fontId="0" fillId="0" borderId="0" applyFont="true" applyBorder="false" applyAlignment="false" applyProtection="false"/>
    <xf numFmtId="218" fontId="0" fillId="0" borderId="0" applyFont="true" applyBorder="false" applyAlignment="false" applyProtection="false"/>
    <xf numFmtId="180"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8" fontId="0" fillId="0" borderId="0" applyFont="true" applyBorder="false" applyAlignment="false" applyProtection="false"/>
    <xf numFmtId="218" fontId="0" fillId="0" borderId="0" applyFont="true" applyBorder="false" applyAlignment="false" applyProtection="false"/>
    <xf numFmtId="218"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0" fontId="0" fillId="0" borderId="0" applyFont="true" applyBorder="false" applyAlignment="false" applyProtection="false"/>
    <xf numFmtId="180" fontId="0" fillId="0" borderId="0" applyFont="true" applyBorder="false" applyAlignment="false" applyProtection="false"/>
    <xf numFmtId="180" fontId="0" fillId="0" borderId="0" applyFont="true" applyBorder="false" applyAlignment="false" applyProtection="false"/>
    <xf numFmtId="216" fontId="0" fillId="0" borderId="0" applyFont="true" applyBorder="false" applyAlignment="false" applyProtection="false"/>
    <xf numFmtId="180"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7"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7" fontId="0" fillId="0" borderId="0" applyFont="true" applyBorder="false" applyAlignment="false" applyProtection="false"/>
    <xf numFmtId="222" fontId="0" fillId="0" borderId="0" applyFont="true" applyBorder="false" applyAlignment="false" applyProtection="false"/>
    <xf numFmtId="224"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218" fontId="0" fillId="0" borderId="0" applyFont="true" applyBorder="false" applyAlignment="false" applyProtection="false"/>
    <xf numFmtId="218"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8" fontId="0" fillId="0" borderId="0" applyFont="true" applyBorder="false" applyAlignment="false" applyProtection="false"/>
    <xf numFmtId="214" fontId="0" fillId="0" borderId="0" applyFont="true" applyBorder="false" applyAlignment="false" applyProtection="false"/>
    <xf numFmtId="164" fontId="0" fillId="0" borderId="0" applyFont="true" applyBorder="false" applyAlignment="false" applyProtection="false"/>
    <xf numFmtId="22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25" fontId="0" fillId="0" borderId="0" applyFont="true" applyBorder="false" applyAlignment="false" applyProtection="false"/>
    <xf numFmtId="166" fontId="0" fillId="0" borderId="0" applyFont="true" applyBorder="false" applyAlignment="false" applyProtection="false"/>
    <xf numFmtId="225" fontId="0" fillId="0" borderId="0" applyFont="true" applyBorder="false" applyAlignment="false" applyProtection="false"/>
    <xf numFmtId="226" fontId="0" fillId="0" borderId="0" applyFont="true" applyBorder="false" applyAlignment="false" applyProtection="false"/>
    <xf numFmtId="225" fontId="0" fillId="0" borderId="0" applyFont="true" applyBorder="false" applyAlignment="false" applyProtection="false"/>
    <xf numFmtId="21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4" fontId="0" fillId="0" borderId="0" applyFont="true" applyBorder="false" applyAlignment="false" applyProtection="false"/>
    <xf numFmtId="174" fontId="0" fillId="0" borderId="0" applyFont="true" applyBorder="false" applyAlignment="false" applyProtection="false"/>
    <xf numFmtId="167" fontId="0" fillId="0" borderId="0" applyFont="true" applyBorder="false" applyAlignment="false" applyProtection="false"/>
    <xf numFmtId="22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26"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225" fontId="0" fillId="0" borderId="0" applyFont="true" applyBorder="false" applyAlignment="false" applyProtection="false"/>
    <xf numFmtId="167" fontId="0" fillId="0" borderId="0" applyFont="true" applyBorder="false" applyAlignment="false" applyProtection="false"/>
    <xf numFmtId="227" fontId="0" fillId="0" borderId="0" applyFont="true" applyBorder="false" applyAlignment="false" applyProtection="false"/>
    <xf numFmtId="228" fontId="0" fillId="0" borderId="0" applyFont="true" applyBorder="false" applyAlignment="false" applyProtection="false"/>
    <xf numFmtId="167" fontId="0" fillId="0" borderId="0" applyFont="true" applyBorder="false" applyAlignment="false" applyProtection="false"/>
    <xf numFmtId="227" fontId="0" fillId="0" borderId="0" applyFont="true" applyBorder="false" applyAlignment="false" applyProtection="false"/>
    <xf numFmtId="229" fontId="0" fillId="0" borderId="0" applyFont="true" applyBorder="false" applyAlignment="false" applyProtection="false"/>
    <xf numFmtId="210" fontId="0" fillId="0" borderId="0" applyFont="true" applyBorder="false" applyAlignment="false" applyProtection="false"/>
    <xf numFmtId="225" fontId="0" fillId="0" borderId="0" applyFont="true" applyBorder="false" applyAlignment="false" applyProtection="false"/>
    <xf numFmtId="217"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20"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18" fontId="0" fillId="0" borderId="0" applyFont="true" applyBorder="false" applyAlignment="false" applyProtection="false"/>
    <xf numFmtId="218" fontId="0" fillId="0" borderId="0" applyFont="true" applyBorder="false" applyAlignment="false" applyProtection="false"/>
    <xf numFmtId="166" fontId="0" fillId="0" borderId="0" applyFont="true" applyBorder="false" applyAlignment="false" applyProtection="false"/>
    <xf numFmtId="209" fontId="0" fillId="0" borderId="0" applyFont="true" applyBorder="false" applyAlignment="false" applyProtection="false"/>
    <xf numFmtId="220" fontId="0" fillId="0" borderId="0" applyFont="true" applyBorder="false" applyAlignment="false" applyProtection="false"/>
    <xf numFmtId="209" fontId="0" fillId="0" borderId="0" applyFont="true" applyBorder="false" applyAlignment="false" applyProtection="false"/>
    <xf numFmtId="226" fontId="0" fillId="0" borderId="0" applyFont="true" applyBorder="false" applyAlignment="false" applyProtection="false"/>
    <xf numFmtId="227" fontId="0" fillId="0" borderId="0" applyFont="true" applyBorder="false" applyAlignment="false" applyProtection="false"/>
    <xf numFmtId="225" fontId="0" fillId="0" borderId="0" applyFont="true" applyBorder="false" applyAlignment="false" applyProtection="false"/>
    <xf numFmtId="218" fontId="0" fillId="0" borderId="0" applyFont="true" applyBorder="false" applyAlignment="false" applyProtection="false"/>
    <xf numFmtId="218" fontId="0" fillId="0" borderId="0" applyFont="true" applyBorder="false" applyAlignment="false" applyProtection="false"/>
    <xf numFmtId="180" fontId="0" fillId="0" borderId="0" applyFont="true" applyBorder="false" applyAlignment="false" applyProtection="false"/>
    <xf numFmtId="224" fontId="0" fillId="0" borderId="0" applyFont="true" applyBorder="false" applyAlignment="false" applyProtection="false"/>
    <xf numFmtId="230" fontId="0" fillId="0" borderId="0" applyFont="true" applyBorder="false" applyAlignment="false" applyProtection="false"/>
    <xf numFmtId="175" fontId="0" fillId="0" borderId="0" applyFont="true" applyBorder="false" applyAlignment="false" applyProtection="false"/>
    <xf numFmtId="225" fontId="0" fillId="0" borderId="0" applyFont="true" applyBorder="false" applyAlignment="false" applyProtection="false"/>
    <xf numFmtId="214" fontId="0" fillId="0" borderId="0" applyFont="true" applyBorder="false" applyAlignment="false" applyProtection="false"/>
    <xf numFmtId="231" fontId="0" fillId="0" borderId="0" applyFont="true" applyBorder="false" applyAlignment="false" applyProtection="false"/>
    <xf numFmtId="216" fontId="0" fillId="0" borderId="0" applyFont="true" applyBorder="false" applyAlignment="false" applyProtection="false"/>
    <xf numFmtId="218" fontId="0" fillId="0" borderId="0" applyFont="true" applyBorder="false" applyAlignment="false" applyProtection="false"/>
    <xf numFmtId="216" fontId="0" fillId="0" borderId="0" applyFont="true" applyBorder="false" applyAlignment="false" applyProtection="false"/>
    <xf numFmtId="218" fontId="0" fillId="0" borderId="0" applyFont="true" applyBorder="false" applyAlignment="false" applyProtection="false"/>
    <xf numFmtId="218" fontId="0" fillId="0" borderId="0" applyFont="true" applyBorder="false" applyAlignment="false" applyProtection="false"/>
    <xf numFmtId="222" fontId="0" fillId="0" borderId="0" applyFont="true" applyBorder="false" applyAlignment="false" applyProtection="false"/>
    <xf numFmtId="222" fontId="0" fillId="0" borderId="0" applyFont="true" applyBorder="false" applyAlignment="false" applyProtection="false"/>
    <xf numFmtId="222" fontId="0" fillId="0" borderId="0" applyFont="true" applyBorder="false" applyAlignment="false" applyProtection="false"/>
    <xf numFmtId="180" fontId="0" fillId="0" borderId="0" applyFont="true" applyBorder="false" applyAlignment="false" applyProtection="false"/>
    <xf numFmtId="180" fontId="0" fillId="0" borderId="0" applyFont="true" applyBorder="false" applyAlignment="false" applyProtection="false"/>
    <xf numFmtId="180" fontId="0" fillId="0" borderId="0" applyFont="true" applyBorder="false" applyAlignment="false" applyProtection="false"/>
    <xf numFmtId="180" fontId="0" fillId="0" borderId="0" applyFont="true" applyBorder="false" applyAlignment="false" applyProtection="false"/>
    <xf numFmtId="218"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80" fontId="0" fillId="0" borderId="0" applyFont="true" applyBorder="false" applyAlignment="false" applyProtection="false"/>
    <xf numFmtId="217" fontId="0" fillId="0" borderId="0" applyFont="true" applyBorder="false" applyAlignment="false" applyProtection="false"/>
    <xf numFmtId="218" fontId="0" fillId="0" borderId="0" applyFont="true" applyBorder="false" applyAlignment="false" applyProtection="false"/>
    <xf numFmtId="167" fontId="0" fillId="0" borderId="0" applyFont="true" applyBorder="false" applyAlignment="false" applyProtection="false"/>
    <xf numFmtId="218" fontId="0" fillId="0" borderId="0" applyFont="true" applyBorder="false" applyAlignment="false" applyProtection="false"/>
    <xf numFmtId="218" fontId="0" fillId="0" borderId="0" applyFont="true" applyBorder="false" applyAlignment="false" applyProtection="false"/>
    <xf numFmtId="218" fontId="0" fillId="0" borderId="0" applyFont="true" applyBorder="false" applyAlignment="false" applyProtection="false"/>
    <xf numFmtId="218" fontId="0" fillId="0" borderId="0" applyFont="true" applyBorder="false" applyAlignment="false" applyProtection="false"/>
    <xf numFmtId="167" fontId="0" fillId="0" borderId="0" applyFont="true" applyBorder="false" applyAlignment="false" applyProtection="false"/>
    <xf numFmtId="180" fontId="0" fillId="0" borderId="0" applyFont="true" applyBorder="false" applyAlignment="false" applyProtection="false"/>
    <xf numFmtId="180" fontId="0" fillId="0" borderId="0" applyFont="true" applyBorder="false" applyAlignment="false" applyProtection="false"/>
    <xf numFmtId="222" fontId="0" fillId="0" borderId="0" applyFont="true" applyBorder="false" applyAlignment="false" applyProtection="false"/>
    <xf numFmtId="218" fontId="0" fillId="0" borderId="0" applyFont="true" applyBorder="false" applyAlignment="false" applyProtection="false"/>
    <xf numFmtId="216" fontId="0" fillId="0" borderId="0" applyFont="true" applyBorder="false" applyAlignment="false" applyProtection="false"/>
    <xf numFmtId="218" fontId="0" fillId="0" borderId="0" applyFont="true" applyBorder="false" applyAlignment="false" applyProtection="false"/>
    <xf numFmtId="210" fontId="0" fillId="0" borderId="0" applyFont="true" applyBorder="false" applyAlignment="false" applyProtection="false"/>
    <xf numFmtId="167" fontId="0" fillId="0" borderId="0" applyFont="true" applyBorder="false" applyAlignment="false" applyProtection="false"/>
    <xf numFmtId="214" fontId="0" fillId="0" borderId="0" applyFont="true" applyBorder="false" applyAlignment="false" applyProtection="false"/>
    <xf numFmtId="210" fontId="0" fillId="0" borderId="0" applyFont="true" applyBorder="false" applyAlignment="false" applyProtection="false"/>
    <xf numFmtId="166" fontId="0" fillId="0" borderId="0" applyFont="true" applyBorder="false" applyAlignment="false" applyProtection="false"/>
    <xf numFmtId="210"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180" fontId="0" fillId="0" borderId="0" applyFont="true" applyBorder="false" applyAlignment="false" applyProtection="false"/>
    <xf numFmtId="218" fontId="0" fillId="0" borderId="0" applyFont="true" applyBorder="false" applyAlignment="false" applyProtection="false"/>
    <xf numFmtId="217" fontId="0" fillId="0" borderId="0" applyFont="true" applyBorder="false" applyAlignment="false" applyProtection="false"/>
    <xf numFmtId="222"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7" fontId="0" fillId="0" borderId="0" applyFont="true" applyBorder="false" applyAlignment="false" applyProtection="false"/>
    <xf numFmtId="222" fontId="0" fillId="0" borderId="0" applyFont="true" applyBorder="false" applyAlignment="false" applyProtection="false"/>
    <xf numFmtId="219" fontId="0" fillId="0" borderId="0" applyFont="true" applyBorder="false" applyAlignment="false" applyProtection="false"/>
    <xf numFmtId="218" fontId="0" fillId="0" borderId="0" applyFont="true" applyBorder="false" applyAlignment="false" applyProtection="false"/>
    <xf numFmtId="180" fontId="0" fillId="0" borderId="0" applyFont="true" applyBorder="false" applyAlignment="false" applyProtection="false"/>
    <xf numFmtId="21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8" fontId="0" fillId="0" borderId="0" applyFont="true" applyBorder="false" applyAlignment="false" applyProtection="false"/>
    <xf numFmtId="222" fontId="0" fillId="0" borderId="0" applyFont="true" applyBorder="false" applyAlignment="false" applyProtection="false"/>
    <xf numFmtId="216" fontId="0" fillId="0" borderId="0" applyFont="true" applyBorder="false" applyAlignment="false" applyProtection="false"/>
    <xf numFmtId="222" fontId="0" fillId="0" borderId="0" applyFont="true" applyBorder="false" applyAlignment="false" applyProtection="false"/>
    <xf numFmtId="217" fontId="0" fillId="0" borderId="0" applyFont="true" applyBorder="false" applyAlignment="false" applyProtection="false"/>
    <xf numFmtId="222" fontId="0" fillId="0" borderId="0" applyFont="true" applyBorder="false" applyAlignment="false" applyProtection="false"/>
    <xf numFmtId="166" fontId="0" fillId="0" borderId="0" applyFont="true" applyBorder="false" applyAlignment="false" applyProtection="false"/>
    <xf numFmtId="180" fontId="0" fillId="0" borderId="0" applyFont="true" applyBorder="false" applyAlignment="false" applyProtection="false"/>
    <xf numFmtId="218" fontId="0" fillId="0" borderId="0" applyFont="true" applyBorder="false" applyAlignment="false" applyProtection="false"/>
    <xf numFmtId="218" fontId="0" fillId="0" borderId="0" applyFont="true" applyBorder="false" applyAlignment="false" applyProtection="false"/>
    <xf numFmtId="218"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8" fontId="0" fillId="0" borderId="0" applyFont="true" applyBorder="false" applyAlignment="false" applyProtection="false"/>
    <xf numFmtId="218" fontId="0" fillId="0" borderId="0" applyFont="true" applyBorder="false" applyAlignment="false" applyProtection="false"/>
    <xf numFmtId="216" fontId="0" fillId="0" borderId="0" applyFont="true" applyBorder="false" applyAlignment="false" applyProtection="false"/>
    <xf numFmtId="218" fontId="0" fillId="0" borderId="0" applyFont="true" applyBorder="false" applyAlignment="false" applyProtection="false"/>
    <xf numFmtId="216" fontId="0" fillId="0" borderId="0" applyFont="true" applyBorder="false" applyAlignment="false" applyProtection="false"/>
    <xf numFmtId="218" fontId="0" fillId="0" borderId="0" applyFont="true" applyBorder="false" applyAlignment="false" applyProtection="false"/>
    <xf numFmtId="220" fontId="0" fillId="0" borderId="0" applyFont="true" applyBorder="false" applyAlignment="false" applyProtection="false"/>
    <xf numFmtId="167" fontId="0" fillId="0" borderId="0" applyFont="true" applyBorder="false" applyAlignment="false" applyProtection="false"/>
    <xf numFmtId="220"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170" fontId="8" fillId="0" borderId="0" applyFont="true" applyBorder="true" applyAlignment="true" applyProtection="true">
      <alignment horizontal="general" vertical="bottom" textRotation="0" wrapText="false" indent="0" shrinkToFit="false"/>
      <protection locked="false" hidden="false"/>
    </xf>
    <xf numFmtId="186" fontId="0" fillId="0" borderId="0" applyFont="true" applyBorder="false" applyAlignment="false" applyProtection="false"/>
    <xf numFmtId="186" fontId="0" fillId="0" borderId="0" applyFont="true" applyBorder="false" applyAlignment="false" applyProtection="false"/>
    <xf numFmtId="232" fontId="0" fillId="0" borderId="0" applyFont="true" applyBorder="false" applyAlignment="false" applyProtection="false"/>
    <xf numFmtId="195" fontId="0" fillId="0" borderId="0" applyFont="true" applyBorder="false" applyAlignment="false" applyProtection="false"/>
    <xf numFmtId="195" fontId="0" fillId="0" borderId="0" applyFont="true" applyBorder="false" applyAlignment="false" applyProtection="false"/>
    <xf numFmtId="233" fontId="0" fillId="0" borderId="0" applyFont="true" applyBorder="false" applyAlignment="false" applyProtection="false"/>
    <xf numFmtId="234" fontId="0" fillId="0" borderId="0" applyFont="true" applyBorder="true" applyAlignment="true" applyProtection="true">
      <alignment horizontal="general" vertical="bottom" textRotation="0" wrapText="false" indent="0" shrinkToFit="false"/>
      <protection locked="false" hidden="false"/>
    </xf>
    <xf numFmtId="164" fontId="12" fillId="4" borderId="0" applyFont="true" applyBorder="false" applyAlignment="false" applyProtection="false"/>
    <xf numFmtId="164" fontId="13" fillId="0" borderId="0" applyFont="true" applyBorder="false" applyAlignment="false" applyProtection="false"/>
    <xf numFmtId="224" fontId="0" fillId="0" borderId="0" applyFont="true" applyBorder="true" applyAlignment="true" applyProtection="true">
      <alignment horizontal="general" vertical="bottom" textRotation="0" wrapText="false" indent="0" shrinkToFit="false"/>
      <protection locked="false" hidden="false"/>
    </xf>
    <xf numFmtId="224" fontId="0" fillId="0" borderId="0" applyFont="true" applyBorder="true" applyAlignment="true" applyProtection="true">
      <alignment horizontal="general" vertical="bottom" textRotation="0" wrapText="false" indent="0" shrinkToFit="false"/>
      <protection locked="false" hidden="false"/>
    </xf>
    <xf numFmtId="164" fontId="14" fillId="0" borderId="2" applyFont="true" applyBorder="true" applyAlignment="false" applyProtection="false"/>
    <xf numFmtId="164" fontId="15" fillId="0" borderId="0" applyFont="true" applyBorder="false" applyAlignment="false" applyProtection="false"/>
    <xf numFmtId="164" fontId="12" fillId="5" borderId="0" applyFont="true" applyBorder="false" applyAlignment="false" applyProtection="false"/>
    <xf numFmtId="235" fontId="16" fillId="0" borderId="0" applyFont="true" applyBorder="true" applyAlignment="true" applyProtection="true">
      <alignment horizontal="general" vertical="bottom" textRotation="0" wrapText="false" indent="0" shrinkToFit="false"/>
      <protection locked="true" hidden="false"/>
    </xf>
    <xf numFmtId="236" fontId="17" fillId="0" borderId="0" applyFont="true" applyBorder="true" applyAlignment="true" applyProtection="true">
      <alignment horizontal="general" vertical="bottom" textRotation="0" wrapText="false" indent="0" shrinkToFit="false"/>
      <protection locked="true" hidden="false"/>
    </xf>
    <xf numFmtId="237"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5"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7" fontId="0" fillId="0" borderId="0" applyFont="true" applyBorder="true" applyAlignment="true" applyProtection="true">
      <alignment horizontal="general" vertical="bottom" textRotation="0" wrapText="false" indent="0" shrinkToFit="false"/>
      <protection locked="true" hidden="false"/>
    </xf>
    <xf numFmtId="237"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8" fontId="19" fillId="0" borderId="0" applyFont="true" applyBorder="true" applyAlignment="true" applyProtection="true">
      <alignment horizontal="general" vertical="bottom" textRotation="0" wrapText="false" indent="0" shrinkToFit="false"/>
      <protection locked="true" hidden="false"/>
    </xf>
    <xf numFmtId="235" fontId="18" fillId="0" borderId="0" applyFont="true" applyBorder="true" applyAlignment="true" applyProtection="true">
      <alignment horizontal="general" vertical="bottom" textRotation="0" wrapText="false" indent="0" shrinkToFit="false"/>
      <protection locked="true" hidden="false"/>
    </xf>
    <xf numFmtId="235" fontId="19"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235" fontId="19"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5" fontId="22" fillId="0" borderId="0" applyFont="true" applyBorder="true" applyAlignment="true" applyProtection="true">
      <alignment horizontal="general" vertical="bottom" textRotation="0" wrapText="false" indent="0" shrinkToFit="false"/>
      <protection locked="true" hidden="false"/>
    </xf>
    <xf numFmtId="235" fontId="2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5" fontId="25" fillId="0" borderId="0" applyFont="true" applyBorder="false" applyAlignment="false" applyProtection="false"/>
    <xf numFmtId="235" fontId="25" fillId="0" borderId="0" applyFont="true" applyBorder="false" applyAlignment="false" applyProtection="false"/>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8" fontId="19" fillId="0" borderId="0" applyFont="true" applyBorder="true" applyAlignment="true" applyProtection="true">
      <alignment horizontal="general" vertical="bottom" textRotation="0" wrapText="false" indent="0" shrinkToFit="false"/>
      <protection locked="true" hidden="false"/>
    </xf>
    <xf numFmtId="238" fontId="19" fillId="0" borderId="0" applyFont="true" applyBorder="true" applyAlignment="true" applyProtection="true">
      <alignment horizontal="general" vertical="bottom" textRotation="0" wrapText="false" indent="0" shrinkToFit="false"/>
      <protection locked="true" hidden="false"/>
    </xf>
    <xf numFmtId="238" fontId="19" fillId="0" borderId="0" applyFont="true" applyBorder="true" applyAlignment="true" applyProtection="true">
      <alignment horizontal="general" vertical="bottom" textRotation="0" wrapText="false" indent="0" shrinkToFit="false"/>
      <protection locked="true" hidden="false"/>
    </xf>
    <xf numFmtId="238" fontId="1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8" fontId="19" fillId="0" borderId="0" applyFont="true" applyBorder="true" applyAlignment="true" applyProtection="true">
      <alignment horizontal="general" vertical="bottom" textRotation="0" wrapText="false" indent="0" shrinkToFit="false"/>
      <protection locked="true" hidden="false"/>
    </xf>
    <xf numFmtId="235" fontId="19" fillId="0" borderId="0" applyFont="true" applyBorder="true" applyAlignment="true" applyProtection="true">
      <alignment horizontal="general" vertical="bottom" textRotation="0" wrapText="false" indent="0" shrinkToFit="false"/>
      <protection locked="true" hidden="false"/>
    </xf>
    <xf numFmtId="239" fontId="4" fillId="0" borderId="0" applyFont="true" applyBorder="true" applyAlignment="true" applyProtection="true">
      <alignment horizontal="general" vertical="bottom" textRotation="0" wrapText="false" indent="0" shrinkToFit="false"/>
      <protection locked="true" hidden="false"/>
    </xf>
    <xf numFmtId="239" fontId="4" fillId="0" borderId="0" applyFont="true" applyBorder="true" applyAlignment="true" applyProtection="true">
      <alignment horizontal="general" vertical="bottom" textRotation="0" wrapText="false" indent="0" shrinkToFit="false"/>
      <protection locked="true" hidden="false"/>
    </xf>
    <xf numFmtId="239" fontId="4" fillId="0" borderId="0" applyFont="true" applyBorder="true" applyAlignment="true" applyProtection="true">
      <alignment horizontal="general" vertical="bottom" textRotation="0" wrapText="false" indent="0" shrinkToFit="false"/>
      <protection locked="true" hidden="false"/>
    </xf>
    <xf numFmtId="239" fontId="4" fillId="0" borderId="0" applyFont="true" applyBorder="true" applyAlignment="true" applyProtection="true">
      <alignment horizontal="general" vertical="bottom" textRotation="0" wrapText="false" indent="0" shrinkToFit="false"/>
      <protection locked="true" hidden="false"/>
    </xf>
    <xf numFmtId="239" fontId="4" fillId="0" borderId="0" applyFont="true" applyBorder="true" applyAlignment="true" applyProtection="true">
      <alignment horizontal="general" vertical="bottom" textRotation="0" wrapText="false" indent="0" shrinkToFit="false"/>
      <protection locked="true" hidden="false"/>
    </xf>
    <xf numFmtId="239" fontId="4" fillId="0" borderId="0" applyFont="true" applyBorder="true" applyAlignment="true" applyProtection="true">
      <alignment horizontal="general" vertical="bottom" textRotation="0" wrapText="false" indent="0" shrinkToFit="false"/>
      <protection locked="true" hidden="false"/>
    </xf>
    <xf numFmtId="239"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8" fontId="19" fillId="0" borderId="0" applyFont="true" applyBorder="true" applyAlignment="true" applyProtection="true">
      <alignment horizontal="general" vertical="bottom" textRotation="0" wrapText="false" indent="0" shrinkToFit="false"/>
      <protection locked="true" hidden="false"/>
    </xf>
    <xf numFmtId="238" fontId="19" fillId="0" borderId="0" applyFont="true" applyBorder="true" applyAlignment="true" applyProtection="true">
      <alignment horizontal="general" vertical="bottom" textRotation="0" wrapText="false" indent="0" shrinkToFit="false"/>
      <protection locked="true" hidden="false"/>
    </xf>
    <xf numFmtId="235" fontId="25"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235" fontId="22"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8" fontId="19"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240" fontId="19" fillId="0" borderId="0" applyFont="true" applyBorder="true" applyAlignment="true" applyProtection="true">
      <alignment horizontal="general" vertical="bottom" textRotation="0" wrapText="false" indent="0" shrinkToFit="false"/>
      <protection locked="true" hidden="false"/>
    </xf>
    <xf numFmtId="164" fontId="2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5" fontId="25" fillId="0" borderId="0" applyFont="true" applyBorder="false" applyAlignment="false" applyProtection="false"/>
    <xf numFmtId="235" fontId="29" fillId="0" borderId="0" applyFont="true" applyBorder="true" applyAlignment="true" applyProtection="true">
      <alignment horizontal="general" vertical="bottom" textRotation="0" wrapText="false" indent="0" shrinkToFit="false"/>
      <protection locked="true" hidden="false"/>
    </xf>
    <xf numFmtId="235" fontId="25" fillId="0" borderId="0" applyFont="true" applyBorder="false" applyAlignment="false" applyProtection="false"/>
    <xf numFmtId="164" fontId="21" fillId="0" borderId="0" applyFont="true" applyBorder="true" applyAlignment="true" applyProtection="true">
      <alignment horizontal="general" vertical="bottom" textRotation="0" wrapText="false" indent="0" shrinkToFit="false"/>
      <protection locked="true" hidden="false"/>
    </xf>
    <xf numFmtId="238" fontId="19" fillId="0" borderId="0" applyFont="true" applyBorder="true" applyAlignment="true" applyProtection="true">
      <alignment horizontal="general" vertical="bottom" textRotation="0" wrapText="false" indent="0" shrinkToFit="false"/>
      <protection locked="true" hidden="false"/>
    </xf>
    <xf numFmtId="164" fontId="9" fillId="6" borderId="0" applyFont="true" applyBorder="true" applyAlignment="true" applyProtection="true">
      <alignment horizontal="general" vertical="bottom" textRotation="0" wrapText="false" indent="0" shrinkToFit="false"/>
      <protection locked="true" hidden="false"/>
    </xf>
    <xf numFmtId="239" fontId="4" fillId="0" borderId="0" applyFont="true" applyBorder="true" applyAlignment="true" applyProtection="true">
      <alignment horizontal="general" vertical="bottom" textRotation="0" wrapText="false" indent="0" shrinkToFit="false"/>
      <protection locked="true" hidden="false"/>
    </xf>
    <xf numFmtId="239" fontId="4" fillId="0" borderId="0" applyFont="true" applyBorder="true" applyAlignment="true" applyProtection="true">
      <alignment horizontal="general" vertical="bottom" textRotation="0" wrapText="false" indent="0" shrinkToFit="false"/>
      <protection locked="true" hidden="false"/>
    </xf>
    <xf numFmtId="239" fontId="4" fillId="0" borderId="0" applyFont="true" applyBorder="true" applyAlignment="true" applyProtection="true">
      <alignment horizontal="general" vertical="bottom" textRotation="0" wrapText="false" indent="0" shrinkToFit="false"/>
      <protection locked="true" hidden="false"/>
    </xf>
    <xf numFmtId="239" fontId="4" fillId="0" borderId="0" applyFont="true" applyBorder="true" applyAlignment="true" applyProtection="true">
      <alignment horizontal="general" vertical="bottom" textRotation="0" wrapText="false" indent="0" shrinkToFit="false"/>
      <protection locked="true" hidden="false"/>
    </xf>
    <xf numFmtId="239" fontId="4" fillId="0" borderId="0" applyFont="true" applyBorder="true" applyAlignment="true" applyProtection="true">
      <alignment horizontal="general" vertical="bottom" textRotation="0" wrapText="false" indent="0" shrinkToFit="false"/>
      <protection locked="true" hidden="false"/>
    </xf>
    <xf numFmtId="239" fontId="4" fillId="0" borderId="0" applyFont="true" applyBorder="true" applyAlignment="true" applyProtection="true">
      <alignment horizontal="general" vertical="bottom" textRotation="0" wrapText="false" indent="0" shrinkToFit="false"/>
      <protection locked="true" hidden="false"/>
    </xf>
    <xf numFmtId="239" fontId="4" fillId="0" borderId="0" applyFont="true" applyBorder="true" applyAlignment="true" applyProtection="true">
      <alignment horizontal="general" vertical="bottom" textRotation="0" wrapText="false" indent="0" shrinkToFit="false"/>
      <protection locked="true" hidden="false"/>
    </xf>
    <xf numFmtId="239"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top" textRotation="0" wrapText="true" indent="0" shrinkToFit="false"/>
      <protection locked="true" hidden="false"/>
    </xf>
    <xf numFmtId="235" fontId="18"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5" fontId="22"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8" fontId="19" fillId="0" borderId="0" applyFont="true" applyBorder="true" applyAlignment="true" applyProtection="true">
      <alignment horizontal="general" vertical="bottom" textRotation="0" wrapText="false" indent="0" shrinkToFit="false"/>
      <protection locked="true" hidden="false"/>
    </xf>
    <xf numFmtId="164" fontId="30" fillId="0" borderId="0" applyFont="true" applyBorder="true" applyAlignment="true" applyProtection="true">
      <alignment horizontal="general" vertical="bottom" textRotation="0" wrapText="false" indent="0" shrinkToFit="false"/>
      <protection locked="true" hidden="false"/>
    </xf>
    <xf numFmtId="235" fontId="2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5" fontId="25" fillId="0" borderId="0" applyFont="true" applyBorder="false" applyAlignment="false" applyProtection="false"/>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235"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238" fontId="19" fillId="0" borderId="0" applyFont="true" applyBorder="true" applyAlignment="true" applyProtection="true">
      <alignment horizontal="general" vertical="bottom" textRotation="0" wrapText="false" indent="0" shrinkToFit="false"/>
      <protection locked="true" hidden="false"/>
    </xf>
    <xf numFmtId="238"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235" fontId="25" fillId="0" borderId="0" applyFont="true" applyBorder="false" applyAlignment="false" applyProtection="false"/>
    <xf numFmtId="235" fontId="2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235" fontId="18" fillId="0" borderId="0" applyFont="true" applyBorder="true" applyAlignment="true" applyProtection="true">
      <alignment horizontal="general" vertical="bottom" textRotation="0" wrapText="false" indent="0" shrinkToFit="false"/>
      <protection locked="true" hidden="false"/>
    </xf>
    <xf numFmtId="235" fontId="18" fillId="0" borderId="0" applyFont="true" applyBorder="true" applyAlignment="true" applyProtection="true">
      <alignment horizontal="general" vertical="bottom" textRotation="0" wrapText="false" indent="0" shrinkToFit="false"/>
      <protection locked="true" hidden="false"/>
    </xf>
    <xf numFmtId="239" fontId="0" fillId="0" borderId="0" applyFont="true" applyBorder="true" applyAlignment="false" applyProtection="true">
      <protection locked="true" hidden="false"/>
    </xf>
    <xf numFmtId="235" fontId="25" fillId="0" borderId="0" applyFont="true" applyBorder="false" applyAlignment="false" applyProtection="false"/>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9"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9" fontId="21" fillId="0" borderId="0" applyFont="true" applyBorder="true" applyAlignment="true" applyProtection="true">
      <alignment horizontal="general" vertical="bottom" textRotation="0" wrapText="false" indent="0" shrinkToFit="false"/>
      <protection locked="true" hidden="false"/>
    </xf>
    <xf numFmtId="239" fontId="4" fillId="0" borderId="0" applyFont="true" applyBorder="true" applyAlignment="true" applyProtection="true">
      <alignment horizontal="general" vertical="bottom" textRotation="0" wrapText="false" indent="0" shrinkToFit="false"/>
      <protection locked="true" hidden="false"/>
    </xf>
    <xf numFmtId="164" fontId="31" fillId="6" borderId="0" applyFont="true" applyBorder="true" applyAlignment="true" applyProtection="true">
      <alignment horizontal="general" vertical="bottom" textRotation="0" wrapText="false" indent="0" shrinkToFit="false"/>
      <protection locked="true" hidden="false"/>
    </xf>
    <xf numFmtId="164" fontId="9" fillId="6"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235" fontId="25" fillId="0" borderId="0" applyFont="true" applyBorder="false" applyAlignment="false" applyProtection="false"/>
    <xf numFmtId="164" fontId="0" fillId="0" borderId="0" applyFont="true" applyBorder="true" applyAlignment="false" applyProtection="tru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5" fontId="18" fillId="0" borderId="0" applyFont="true" applyBorder="true" applyAlignment="true" applyProtection="true">
      <alignment horizontal="general" vertical="bottom" textRotation="0" wrapText="false" indent="0" shrinkToFit="false"/>
      <protection locked="true" hidden="false"/>
    </xf>
    <xf numFmtId="239" fontId="0" fillId="0" borderId="0" applyFont="true" applyBorder="true" applyAlignment="false" applyProtection="tru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238"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8"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32"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5" fontId="18" fillId="0" borderId="0" applyFont="true" applyBorder="true" applyAlignment="true" applyProtection="true">
      <alignment horizontal="general" vertical="bottom" textRotation="0" wrapText="false" indent="0" shrinkToFit="false"/>
      <protection locked="true" hidden="false"/>
    </xf>
    <xf numFmtId="241" fontId="0" fillId="0" borderId="0" applyFont="true" applyBorder="true" applyAlignment="true" applyProtection="true">
      <alignment horizontal="general" vertical="center" textRotation="0" wrapText="false" indent="0" shrinkToFit="false"/>
      <protection locked="true" hidden="false"/>
    </xf>
    <xf numFmtId="235" fontId="3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64" fontId="34" fillId="0" borderId="3"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32"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5" fontId="3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8" fillId="0" borderId="0" applyFont="true" applyBorder="true" applyAlignment="true" applyProtection="true">
      <alignment horizontal="general" vertical="bottom" textRotation="0" wrapText="false" indent="0" shrinkToFit="false"/>
      <protection locked="true" hidden="false"/>
    </xf>
    <xf numFmtId="164" fontId="36"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5" fontId="33"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37" fillId="0" borderId="0" applyFont="true" applyBorder="true" applyAlignment="true" applyProtection="true">
      <alignment horizontal="general" vertical="bottom" textRotation="0" wrapText="false" indent="0" shrinkToFit="false"/>
      <protection locked="true" hidden="false"/>
    </xf>
    <xf numFmtId="235" fontId="3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8" fillId="0" borderId="0" applyFont="true" applyBorder="true" applyAlignment="true" applyProtection="true">
      <alignment horizontal="general" vertical="bottom" textRotation="0" wrapText="false" indent="0" shrinkToFit="false"/>
      <protection locked="true" hidden="false"/>
    </xf>
    <xf numFmtId="164" fontId="38" fillId="0" borderId="0" applyFont="true" applyBorder="true" applyAlignment="true" applyProtection="true">
      <alignment horizontal="general" vertical="bottom" textRotation="0" wrapText="false" indent="0" shrinkToFit="false"/>
      <protection locked="true" hidden="false"/>
    </xf>
    <xf numFmtId="164" fontId="34" fillId="0" borderId="3" applyFont="true" applyBorder="true" applyAlignment="true" applyProtection="true">
      <alignment horizontal="general" vertical="bottom" textRotation="0" wrapText="false" indent="0" shrinkToFit="false"/>
      <protection locked="true" hidden="false"/>
    </xf>
    <xf numFmtId="164" fontId="36"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32"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235" fontId="33"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5" fontId="33"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tru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164" fontId="28"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37" fillId="0" borderId="0" applyFont="true" applyBorder="true" applyAlignment="true" applyProtection="true">
      <alignment horizontal="general" vertical="bottom" textRotation="0" wrapText="false" indent="0" shrinkToFit="false"/>
      <protection locked="true" hidden="false"/>
    </xf>
    <xf numFmtId="164" fontId="28"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8"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3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8"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41"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tru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8" fillId="0" borderId="0" applyFont="true" applyBorder="true" applyAlignment="true" applyProtection="true">
      <alignment horizontal="general" vertical="bottom" textRotation="0" wrapText="false" indent="0" shrinkToFit="false"/>
      <protection locked="true" hidden="false"/>
    </xf>
    <xf numFmtId="164" fontId="42"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3"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8" fillId="0" borderId="0" applyFont="true" applyBorder="true" applyAlignment="true" applyProtection="true">
      <alignment horizontal="general" vertical="bottom" textRotation="0" wrapText="false" indent="0" shrinkToFit="false"/>
      <protection locked="true" hidden="false"/>
    </xf>
    <xf numFmtId="164" fontId="28"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4" fillId="0" borderId="0" applyFont="true" applyBorder="true" applyAlignment="true" applyProtection="true">
      <alignment horizontal="general" vertical="bottom" textRotation="0" wrapText="false" indent="0" shrinkToFit="false"/>
      <protection locked="true" hidden="false"/>
    </xf>
    <xf numFmtId="164" fontId="42"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8" fillId="0" borderId="0" applyFont="true" applyBorder="true" applyAlignment="true" applyProtection="true">
      <alignment horizontal="general" vertical="bottom" textRotation="0" wrapText="false" indent="0" shrinkToFit="false"/>
      <protection locked="true" hidden="false"/>
    </xf>
    <xf numFmtId="164" fontId="43"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5" fillId="0" borderId="0" applyFont="true" applyBorder="true" applyAlignment="true" applyProtection="true">
      <alignment horizontal="general" vertical="bottom" textRotation="0" wrapText="false" indent="0" shrinkToFit="false"/>
      <protection locked="true" hidden="false"/>
    </xf>
    <xf numFmtId="164" fontId="46" fillId="0" borderId="0" applyFont="true" applyBorder="true" applyAlignment="true" applyProtection="true">
      <alignment horizontal="general" vertical="bottom" textRotation="0" wrapText="false" indent="0" shrinkToFit="false"/>
      <protection locked="true" hidden="false"/>
    </xf>
    <xf numFmtId="164" fontId="47" fillId="0" borderId="0" applyFont="true" applyBorder="true" applyAlignment="true" applyProtection="true">
      <alignment horizontal="general" vertical="bottom" textRotation="0" wrapText="false" indent="0" shrinkToFit="false"/>
      <protection locked="true" hidden="false"/>
    </xf>
    <xf numFmtId="235" fontId="18"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8" fillId="0" borderId="0" applyFont="true" applyBorder="true" applyAlignment="true" applyProtection="true">
      <alignment horizontal="general" vertical="bottom" textRotation="0" wrapText="false" indent="0" shrinkToFit="false"/>
      <protection locked="true" hidden="false"/>
    </xf>
    <xf numFmtId="237"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235"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8" fontId="19"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236" fontId="49" fillId="0" borderId="0" applyFont="true" applyBorder="true" applyAlignment="true" applyProtection="true">
      <alignment horizontal="general" vertical="bottom" textRotation="0" wrapText="false" indent="0" shrinkToFit="false"/>
      <protection locked="true" hidden="false"/>
    </xf>
    <xf numFmtId="237" fontId="0" fillId="0" borderId="0" applyFont="true" applyBorder="true" applyAlignment="true" applyProtection="true">
      <alignment horizontal="general" vertical="bottom" textRotation="0" wrapText="false" indent="0" shrinkToFit="false"/>
      <protection locked="true" hidden="false"/>
    </xf>
    <xf numFmtId="239" fontId="9" fillId="0" borderId="0" applyFont="true" applyBorder="true" applyAlignment="true" applyProtection="true">
      <alignment horizontal="general" vertical="bottom" textRotation="0" wrapText="false" indent="0" shrinkToFit="false"/>
      <protection locked="true" hidden="false"/>
    </xf>
    <xf numFmtId="164" fontId="2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5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6"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8" fillId="0" borderId="0" applyFont="true" applyBorder="true" applyAlignment="true" applyProtection="true">
      <alignment horizontal="general" vertical="bottom" textRotation="0" wrapText="false" indent="0" shrinkToFit="false"/>
      <protection locked="true" hidden="false"/>
    </xf>
    <xf numFmtId="240"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235" fontId="25" fillId="0" borderId="0" applyFont="true" applyBorder="false" applyAlignment="false" applyProtection="false"/>
    <xf numFmtId="164" fontId="0" fillId="0" borderId="0" applyFont="true" applyBorder="true" applyAlignment="false" applyProtection="true">
      <protection locked="true" hidden="false"/>
    </xf>
    <xf numFmtId="239"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40" fontId="19" fillId="0" borderId="0" applyFont="true" applyBorder="true" applyAlignment="true" applyProtection="true">
      <alignment horizontal="general" vertical="bottom" textRotation="0" wrapText="false" indent="0" shrinkToFit="false"/>
      <protection locked="true" hidden="false"/>
    </xf>
    <xf numFmtId="240" fontId="19"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238" fontId="19"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235" fontId="25" fillId="0" borderId="0" applyFont="true" applyBorder="false" applyAlignment="false" applyProtection="false"/>
    <xf numFmtId="235" fontId="2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235" fontId="25" fillId="0" borderId="0" applyFont="true" applyBorder="false" applyAlignment="false" applyProtection="false"/>
    <xf numFmtId="235" fontId="25" fillId="0" borderId="0" applyFont="true" applyBorder="false" applyAlignment="false" applyProtection="false"/>
    <xf numFmtId="235" fontId="23" fillId="0" borderId="0" applyFont="true" applyBorder="true" applyAlignment="true" applyProtection="true">
      <alignment horizontal="general" vertical="bottom" textRotation="0" wrapText="false" indent="0" shrinkToFit="false"/>
      <protection locked="true" hidden="false"/>
    </xf>
    <xf numFmtId="240" fontId="19" fillId="0" borderId="0" applyFont="true" applyBorder="true" applyAlignment="true" applyProtection="true">
      <alignment horizontal="center"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9" fontId="9" fillId="0" borderId="0" applyFont="true" applyBorder="true" applyAlignment="true" applyProtection="true">
      <alignment horizontal="general" vertical="bottom" textRotation="0" wrapText="false" indent="0" shrinkToFit="false"/>
      <protection locked="true" hidden="false"/>
    </xf>
    <xf numFmtId="164" fontId="33"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1"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235" fontId="25" fillId="0" borderId="0" applyFont="true" applyBorder="false" applyAlignment="false" applyProtection="false"/>
    <xf numFmtId="235" fontId="25" fillId="0" borderId="0" applyFont="true" applyBorder="false" applyAlignment="false" applyProtection="false"/>
    <xf numFmtId="235" fontId="19"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52" fillId="0" borderId="0" applyFont="true" applyBorder="true" applyAlignment="true" applyProtection="true">
      <alignment horizontal="general" vertical="bottom" textRotation="0" wrapText="false" indent="0" shrinkToFit="false"/>
      <protection locked="true" hidden="false"/>
    </xf>
    <xf numFmtId="164" fontId="5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tru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54" fillId="0" borderId="0" applyFont="true" applyBorder="true" applyAlignment="true" applyProtection="true">
      <alignment horizontal="general" vertical="bottom" textRotation="0" wrapText="false" indent="0" shrinkToFit="false"/>
      <protection locked="true" hidden="false"/>
    </xf>
    <xf numFmtId="164" fontId="28"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28" fillId="0" borderId="0" applyFont="true" applyBorder="true" applyAlignment="true" applyProtection="true">
      <alignment horizontal="general" vertical="bottom" textRotation="0" wrapText="false" indent="0" shrinkToFit="false"/>
      <protection locked="true" hidden="false"/>
    </xf>
    <xf numFmtId="235" fontId="33" fillId="0" borderId="0" applyFont="true" applyBorder="true" applyAlignment="true" applyProtection="true">
      <alignment horizontal="general" vertical="bottom" textRotation="0" wrapText="false" indent="0" shrinkToFit="false"/>
      <protection locked="true" hidden="false"/>
    </xf>
    <xf numFmtId="239" fontId="4" fillId="0" borderId="0" applyFont="true" applyBorder="true" applyAlignment="true" applyProtection="true">
      <alignment horizontal="general" vertical="bottom" textRotation="0" wrapText="false" indent="0" shrinkToFit="false"/>
      <protection locked="true" hidden="false"/>
    </xf>
    <xf numFmtId="238" fontId="49" fillId="0" borderId="0" applyFont="true" applyBorder="true" applyAlignment="true" applyProtection="true">
      <alignment horizontal="general" vertical="bottom" textRotation="0" wrapText="false" indent="0" shrinkToFit="false"/>
      <protection locked="true" hidden="false"/>
    </xf>
    <xf numFmtId="164" fontId="28" fillId="0" borderId="0" applyFont="true" applyBorder="true" applyAlignment="true" applyProtection="true">
      <alignment horizontal="general" vertical="bottom" textRotation="0" wrapText="false" indent="0" shrinkToFit="false"/>
      <protection locked="true" hidden="false"/>
    </xf>
    <xf numFmtId="235" fontId="18" fillId="0" borderId="0" applyFont="true" applyBorder="true" applyAlignment="true" applyProtection="true">
      <alignment horizontal="general" vertical="bottom" textRotation="0" wrapText="false" indent="0" shrinkToFit="false"/>
      <protection locked="true" hidden="false"/>
    </xf>
    <xf numFmtId="235" fontId="18"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32"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238" fontId="19" fillId="0" borderId="0" applyFont="true" applyBorder="true" applyAlignment="true" applyProtection="true">
      <alignment horizontal="general" vertical="bottom" textRotation="0" wrapText="false" indent="0" shrinkToFit="false"/>
      <protection locked="true" hidden="false"/>
    </xf>
  </cellStyleXfs>
  <cellXfs count="1062">
    <xf numFmtId="164" fontId="0" fillId="0" borderId="0" xfId="0" applyFont="fals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true" applyProtection="false">
      <alignment horizontal="general" vertical="top" textRotation="0" wrapText="tru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61" fillId="0" borderId="0" xfId="0" applyFont="true" applyBorder="false" applyAlignment="true" applyProtection="false">
      <alignment horizontal="general" vertical="top" textRotation="0" wrapText="true" indent="0" shrinkToFit="false"/>
      <protection locked="true" hidden="false"/>
    </xf>
    <xf numFmtId="164" fontId="62" fillId="0" borderId="4" xfId="0" applyFont="true" applyBorder="true" applyAlignment="false" applyProtection="false">
      <alignment horizontal="general" vertical="bottom" textRotation="0" wrapText="false" indent="0" shrinkToFit="false"/>
      <protection locked="true" hidden="false"/>
    </xf>
    <xf numFmtId="246" fontId="63" fillId="0" borderId="5" xfId="0" applyFont="true" applyBorder="true" applyAlignment="false" applyProtection="false">
      <alignment horizontal="general" vertical="bottom" textRotation="0" wrapText="false" indent="0" shrinkToFit="false"/>
      <protection locked="true" hidden="false"/>
    </xf>
    <xf numFmtId="164" fontId="62" fillId="0" borderId="6" xfId="0" applyFont="true" applyBorder="true" applyAlignment="false" applyProtection="false">
      <alignment horizontal="general" vertical="bottom" textRotation="0" wrapText="false" indent="0" shrinkToFit="false"/>
      <protection locked="true" hidden="false"/>
    </xf>
    <xf numFmtId="200" fontId="63" fillId="0" borderId="7" xfId="0" applyFont="true" applyBorder="true" applyAlignment="false" applyProtection="false">
      <alignment horizontal="general" vertical="bottom" textRotation="0" wrapText="false" indent="0" shrinkToFit="false"/>
      <protection locked="true" hidden="false"/>
    </xf>
    <xf numFmtId="164" fontId="62" fillId="0" borderId="0" xfId="0" applyFont="true" applyBorder="true" applyAlignment="false" applyProtection="false">
      <alignment horizontal="general" vertical="bottom" textRotation="0" wrapText="false" indent="0" shrinkToFit="false"/>
      <protection locked="true" hidden="false"/>
    </xf>
    <xf numFmtId="164" fontId="64" fillId="0" borderId="8" xfId="0" applyFont="true" applyBorder="true" applyAlignment="true" applyProtection="false">
      <alignment horizontal="center" vertical="bottom" textRotation="0" wrapText="false" indent="0" shrinkToFit="false"/>
      <protection locked="true" hidden="false"/>
    </xf>
    <xf numFmtId="169" fontId="61" fillId="0" borderId="4" xfId="0" applyFont="true" applyBorder="true" applyAlignment="false" applyProtection="false">
      <alignment horizontal="general" vertical="bottom" textRotation="0" wrapText="false" indent="0" shrinkToFit="false"/>
      <protection locked="true" hidden="false"/>
    </xf>
    <xf numFmtId="169" fontId="61" fillId="0" borderId="9" xfId="0" applyFont="true" applyBorder="true" applyAlignment="false" applyProtection="false">
      <alignment horizontal="general" vertical="bottom" textRotation="0" wrapText="false" indent="0" shrinkToFit="false"/>
      <protection locked="true" hidden="false"/>
    </xf>
    <xf numFmtId="169" fontId="61" fillId="0" borderId="5" xfId="0" applyFont="true" applyBorder="true" applyAlignment="false" applyProtection="false">
      <alignment horizontal="general" vertical="bottom" textRotation="0" wrapText="false" indent="0" shrinkToFit="false"/>
      <protection locked="true" hidden="false"/>
    </xf>
    <xf numFmtId="169" fontId="61" fillId="0" borderId="0" xfId="0" applyFont="true" applyBorder="false" applyAlignment="false" applyProtection="false">
      <alignment horizontal="general" vertical="bottom" textRotation="0" wrapText="false" indent="0" shrinkToFit="false"/>
      <protection locked="true" hidden="false"/>
    </xf>
    <xf numFmtId="169" fontId="57" fillId="0" borderId="8" xfId="0" applyFont="true" applyBorder="true" applyAlignment="false" applyProtection="false">
      <alignment horizontal="general" vertical="bottom" textRotation="0" wrapText="false" indent="0" shrinkToFit="false"/>
      <protection locked="true" hidden="false"/>
    </xf>
    <xf numFmtId="169" fontId="28" fillId="0" borderId="10" xfId="0" applyFont="true" applyBorder="true" applyAlignment="false" applyProtection="false">
      <alignment horizontal="general" vertical="bottom" textRotation="0" wrapText="false" indent="0" shrinkToFit="false"/>
      <protection locked="true" hidden="false"/>
    </xf>
    <xf numFmtId="169" fontId="28" fillId="0" borderId="0" xfId="0" applyFont="true" applyBorder="true" applyAlignment="false" applyProtection="false">
      <alignment horizontal="general" vertical="bottom" textRotation="0" wrapText="false" indent="0" shrinkToFit="false"/>
      <protection locked="true" hidden="false"/>
    </xf>
    <xf numFmtId="169" fontId="28" fillId="0" borderId="11" xfId="0" applyFont="true" applyBorder="true" applyAlignment="false" applyProtection="false">
      <alignment horizontal="general" vertical="bottom" textRotation="0" wrapText="false" indent="0" shrinkToFit="false"/>
      <protection locked="true" hidden="false"/>
    </xf>
    <xf numFmtId="169" fontId="28" fillId="0" borderId="0" xfId="0" applyFont="true" applyBorder="false" applyAlignment="false" applyProtection="false">
      <alignment horizontal="general" vertical="bottom" textRotation="0" wrapText="false" indent="0" shrinkToFit="false"/>
      <protection locked="true" hidden="false"/>
    </xf>
    <xf numFmtId="164" fontId="62" fillId="0" borderId="0" xfId="0" applyFont="true" applyBorder="false" applyAlignment="false" applyProtection="false">
      <alignment horizontal="general" vertical="bottom" textRotation="0" wrapText="false" indent="0" shrinkToFit="false"/>
      <protection locked="true" hidden="false"/>
    </xf>
    <xf numFmtId="169" fontId="28" fillId="0" borderId="6" xfId="0" applyFont="true" applyBorder="true" applyAlignment="false" applyProtection="false">
      <alignment horizontal="general" vertical="bottom" textRotation="0" wrapText="false" indent="0" shrinkToFit="false"/>
      <protection locked="true" hidden="false"/>
    </xf>
    <xf numFmtId="169" fontId="28" fillId="0" borderId="3" xfId="0" applyFont="true" applyBorder="true" applyAlignment="false" applyProtection="false">
      <alignment horizontal="general" vertical="bottom" textRotation="0" wrapText="false" indent="0" shrinkToFit="false"/>
      <protection locked="true" hidden="false"/>
    </xf>
    <xf numFmtId="169" fontId="28" fillId="0" borderId="7" xfId="0" applyFont="tru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false" applyProtection="false">
      <alignment horizontal="general" vertical="bottom" textRotation="0" wrapText="false" indent="0" shrinkToFit="false"/>
      <protection locked="true" hidden="false"/>
    </xf>
    <xf numFmtId="200" fontId="63" fillId="0" borderId="11" xfId="0" applyFont="true" applyBorder="true" applyAlignment="false" applyProtection="false">
      <alignment horizontal="general" vertical="bottom" textRotation="0" wrapText="false" indent="0" shrinkToFit="false"/>
      <protection locked="true" hidden="false"/>
    </xf>
    <xf numFmtId="224" fontId="64" fillId="0" borderId="0" xfId="0" applyFont="true" applyBorder="false" applyAlignment="false" applyProtection="false">
      <alignment horizontal="general" vertical="bottom" textRotation="0" wrapText="false" indent="0" shrinkToFit="false"/>
      <protection locked="true" hidden="false"/>
    </xf>
    <xf numFmtId="164" fontId="58" fillId="0" borderId="0" xfId="0" applyFont="true" applyBorder="false" applyAlignment="false" applyProtection="false">
      <alignment horizontal="general" vertical="bottom" textRotation="0" wrapText="false" indent="0" shrinkToFit="false"/>
      <protection locked="true" hidden="false"/>
    </xf>
    <xf numFmtId="169" fontId="57" fillId="0" borderId="0" xfId="0" applyFont="true" applyBorder="true" applyAlignment="false" applyProtection="false">
      <alignment horizontal="general" vertical="bottom" textRotation="0" wrapText="false" indent="0" shrinkToFit="false"/>
      <protection locked="true" hidden="false"/>
    </xf>
    <xf numFmtId="170" fontId="63" fillId="0" borderId="7" xfId="0" applyFont="true" applyBorder="true" applyAlignment="false" applyProtection="false">
      <alignment horizontal="general" vertical="bottom" textRotation="0" wrapText="false" indent="0" shrinkToFit="false"/>
      <protection locked="true" hidden="false"/>
    </xf>
    <xf numFmtId="169" fontId="65" fillId="0" borderId="10" xfId="20" applyFont="false" applyBorder="true" applyAlignment="true" applyProtection="true">
      <alignment horizontal="general" vertical="bottom" textRotation="0" wrapText="false" indent="0" shrinkToFit="false"/>
      <protection locked="true" hidden="false"/>
    </xf>
    <xf numFmtId="244" fontId="66" fillId="0" borderId="0" xfId="0" applyFont="true" applyBorder="false" applyAlignment="false" applyProtection="false">
      <alignment horizontal="general" vertical="bottom" textRotation="0" wrapText="false" indent="0" shrinkToFit="false"/>
      <protection locked="true" hidden="false"/>
    </xf>
    <xf numFmtId="164" fontId="66" fillId="0" borderId="0" xfId="0" applyFont="true" applyBorder="false" applyAlignment="false" applyProtection="false">
      <alignment horizontal="general" vertical="bottom" textRotation="0" wrapText="false" indent="0" shrinkToFit="false"/>
      <protection locked="true" hidden="false"/>
    </xf>
    <xf numFmtId="164" fontId="67" fillId="0" borderId="0" xfId="0" applyFont="tru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68" fillId="0" borderId="0" xfId="0" applyFont="true" applyBorder="false" applyAlignment="false" applyProtection="false">
      <alignment horizontal="general" vertical="bottom" textRotation="0" wrapText="false" indent="0" shrinkToFit="false"/>
      <protection locked="true" hidden="false"/>
    </xf>
    <xf numFmtId="191" fontId="0" fillId="0" borderId="0" xfId="0" applyFont="false" applyBorder="false" applyAlignment="false" applyProtection="false">
      <alignment horizontal="general" vertical="bottom" textRotation="0" wrapText="false" indent="0" shrinkToFit="false"/>
      <protection locked="true" hidden="false"/>
    </xf>
    <xf numFmtId="164" fontId="66" fillId="0" borderId="4" xfId="0" applyFont="tru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66" fillId="0" borderId="0" xfId="0" applyFont="true" applyBorder="true" applyAlignment="false" applyProtection="false">
      <alignment horizontal="general" vertical="bottom" textRotation="0" wrapText="false" indent="0" shrinkToFit="false"/>
      <protection locked="true" hidden="false"/>
    </xf>
    <xf numFmtId="164" fontId="66" fillId="0" borderId="11" xfId="0" applyFont="true" applyBorder="true" applyAlignment="false" applyProtection="false">
      <alignment horizontal="general" vertical="bottom" textRotation="0" wrapText="false" indent="0" shrinkToFit="false"/>
      <protection locked="true" hidden="false"/>
    </xf>
    <xf numFmtId="169" fontId="0" fillId="0" borderId="0" xfId="0" applyFont="false" applyBorder="true" applyAlignment="fals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9" fontId="69" fillId="0" borderId="0" xfId="0" applyFont="true" applyBorder="true" applyAlignment="false" applyProtection="false">
      <alignment horizontal="general" vertical="bottom" textRotation="0" wrapText="false" indent="0" shrinkToFit="false"/>
      <protection locked="true" hidden="false"/>
    </xf>
    <xf numFmtId="169" fontId="0" fillId="0" borderId="11" xfId="0" applyFont="false" applyBorder="true" applyAlignment="false" applyProtection="false">
      <alignment horizontal="general" vertical="bottom" textRotation="0" wrapText="false" indent="0" shrinkToFit="false"/>
      <protection locked="true" hidden="false"/>
    </xf>
    <xf numFmtId="164" fontId="66" fillId="0" borderId="6" xfId="0" applyFont="true" applyBorder="true" applyAlignment="false" applyProtection="false">
      <alignment horizontal="general" vertical="bottom" textRotation="0" wrapText="false" indent="0" shrinkToFit="false"/>
      <protection locked="true" hidden="false"/>
    </xf>
    <xf numFmtId="164" fontId="66" fillId="0" borderId="3" xfId="0" applyFont="true" applyBorder="true" applyAlignment="false" applyProtection="false">
      <alignment horizontal="general" vertical="bottom" textRotation="0" wrapText="false" indent="0" shrinkToFit="false"/>
      <protection locked="true" hidden="false"/>
    </xf>
    <xf numFmtId="169" fontId="66" fillId="0" borderId="3" xfId="0" applyFont="true" applyBorder="true" applyAlignment="false" applyProtection="false">
      <alignment horizontal="general" vertical="bottom" textRotation="0" wrapText="false" indent="0" shrinkToFit="false"/>
      <protection locked="true" hidden="false"/>
    </xf>
    <xf numFmtId="169" fontId="66" fillId="0" borderId="7"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false" applyAlignment="false" applyProtection="false">
      <alignment horizontal="general" vertical="bottom" textRotation="0" wrapText="false" indent="0" shrinkToFit="false"/>
      <protection locked="true" hidden="false"/>
    </xf>
    <xf numFmtId="164" fontId="71" fillId="0" borderId="0" xfId="0" applyFont="true" applyBorder="false" applyAlignment="false" applyProtection="false">
      <alignment horizontal="general" vertical="bottom" textRotation="0" wrapText="false" indent="0" shrinkToFit="false"/>
      <protection locked="true" hidden="false"/>
    </xf>
    <xf numFmtId="164" fontId="72" fillId="0" borderId="0" xfId="0" applyFont="true" applyBorder="false" applyAlignment="true" applyProtection="false">
      <alignment horizontal="right"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74" fillId="2" borderId="0" xfId="0" applyFont="true" applyBorder="true" applyAlignment="true" applyProtection="false">
      <alignment horizontal="center" vertical="bottom" textRotation="0" wrapText="false" indent="0" shrinkToFit="false"/>
      <protection locked="true" hidden="false"/>
    </xf>
    <xf numFmtId="164" fontId="70" fillId="2" borderId="0" xfId="0" applyFont="true" applyBorder="false" applyAlignment="false" applyProtection="false">
      <alignment horizontal="general" vertical="bottom" textRotation="0" wrapText="false" indent="0" shrinkToFit="false"/>
      <protection locked="true" hidden="false"/>
    </xf>
    <xf numFmtId="164" fontId="71" fillId="2" borderId="0" xfId="0" applyFont="true" applyBorder="false" applyAlignment="false" applyProtection="false">
      <alignment horizontal="general" vertical="bottom" textRotation="0" wrapText="false" indent="0" shrinkToFit="false"/>
      <protection locked="true" hidden="false"/>
    </xf>
    <xf numFmtId="164" fontId="75" fillId="0" borderId="0" xfId="0" applyFont="true" applyBorder="true" applyAlignment="true" applyProtection="false">
      <alignment horizontal="center" vertical="bottom" textRotation="0" wrapText="false" indent="0" shrinkToFit="false"/>
      <protection locked="true" hidden="false"/>
    </xf>
    <xf numFmtId="164" fontId="57" fillId="0" borderId="0" xfId="0" applyFont="true" applyBorder="true" applyAlignment="true" applyProtection="false">
      <alignment horizontal="center" vertical="bottom" textRotation="0" wrapText="false" indent="0" shrinkToFit="false"/>
      <protection locked="true" hidden="false"/>
    </xf>
    <xf numFmtId="164" fontId="76" fillId="4" borderId="4" xfId="0" applyFont="true" applyBorder="true" applyAlignment="true" applyProtection="true">
      <alignment horizontal="left" vertical="bottom" textRotation="0" wrapText="false" indent="0" shrinkToFit="false"/>
      <protection locked="true" hidden="false"/>
    </xf>
    <xf numFmtId="164" fontId="70" fillId="4" borderId="9" xfId="0" applyFont="true" applyBorder="true" applyAlignment="false" applyProtection="false">
      <alignment horizontal="general" vertical="bottom" textRotation="0" wrapText="false" indent="0" shrinkToFit="false"/>
      <protection locked="true" hidden="false"/>
    </xf>
    <xf numFmtId="164" fontId="70" fillId="4" borderId="5" xfId="0" applyFont="true" applyBorder="true" applyAlignment="false" applyProtection="false">
      <alignment horizontal="general" vertical="bottom" textRotation="0" wrapText="false" indent="0" shrinkToFit="false"/>
      <protection locked="true" hidden="false"/>
    </xf>
    <xf numFmtId="244" fontId="77" fillId="4" borderId="5" xfId="19" applyFont="true" applyBorder="true" applyAlignment="true" applyProtection="true">
      <alignment horizontal="general" vertical="bottom" textRotation="0" wrapText="false" indent="0" shrinkToFit="false"/>
      <protection locked="true" hidden="false"/>
    </xf>
    <xf numFmtId="164" fontId="76" fillId="4" borderId="4" xfId="0" applyFont="true" applyBorder="true" applyAlignment="false" applyProtection="false">
      <alignment horizontal="general" vertical="bottom" textRotation="0" wrapText="false" indent="0" shrinkToFit="false"/>
      <protection locked="true" hidden="false"/>
    </xf>
    <xf numFmtId="164" fontId="78" fillId="4" borderId="9" xfId="0" applyFont="true" applyBorder="true" applyAlignment="false" applyProtection="false">
      <alignment horizontal="general" vertical="bottom" textRotation="0" wrapText="false" indent="0" shrinkToFit="false"/>
      <protection locked="true" hidden="false"/>
    </xf>
    <xf numFmtId="164" fontId="71" fillId="4" borderId="5" xfId="0" applyFont="true" applyBorder="true" applyAlignment="true" applyProtection="false">
      <alignment horizontal="center" vertical="bottom" textRotation="0" wrapText="false" indent="0" shrinkToFit="false"/>
      <protection locked="true" hidden="false"/>
    </xf>
    <xf numFmtId="164" fontId="76" fillId="0" borderId="10" xfId="0" applyFont="true" applyBorder="true" applyAlignment="true" applyProtection="true">
      <alignment horizontal="left"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0" borderId="11" xfId="0" applyFont="true" applyBorder="true" applyAlignment="false" applyProtection="false">
      <alignment horizontal="general" vertical="bottom" textRotation="0" wrapText="false" indent="0" shrinkToFit="false"/>
      <protection locked="true" hidden="false"/>
    </xf>
    <xf numFmtId="244" fontId="77" fillId="0" borderId="11" xfId="19" applyFont="true" applyBorder="true" applyAlignment="true" applyProtection="true">
      <alignment horizontal="general" vertical="bottom" textRotation="0" wrapText="false" indent="0" shrinkToFit="false"/>
      <protection locked="true" hidden="false"/>
    </xf>
    <xf numFmtId="164" fontId="70" fillId="0" borderId="10" xfId="0" applyFont="true" applyBorder="true" applyAlignment="false" applyProtection="false">
      <alignment horizontal="general" vertical="bottom" textRotation="0" wrapText="false" indent="0" shrinkToFit="false"/>
      <protection locked="true" hidden="false"/>
    </xf>
    <xf numFmtId="164" fontId="79" fillId="0" borderId="12" xfId="0" applyFont="true" applyBorder="true" applyAlignment="true" applyProtection="false">
      <alignment horizontal="center" vertical="bottom" textRotation="0" wrapText="false" indent="0" shrinkToFit="false"/>
      <protection locked="true" hidden="false"/>
    </xf>
    <xf numFmtId="164" fontId="79" fillId="0" borderId="13" xfId="0" applyFont="true" applyBorder="true" applyAlignment="true" applyProtection="false">
      <alignment horizontal="center" vertical="bottom" textRotation="0" wrapText="false" indent="0" shrinkToFit="false"/>
      <protection locked="true" hidden="false"/>
    </xf>
    <xf numFmtId="164" fontId="71" fillId="0" borderId="11" xfId="0" applyFont="true" applyBorder="true" applyAlignment="false" applyProtection="false">
      <alignment horizontal="general" vertical="bottom" textRotation="0" wrapText="false" indent="0" shrinkToFit="false"/>
      <protection locked="true" hidden="false"/>
    </xf>
    <xf numFmtId="164" fontId="70" fillId="0" borderId="10" xfId="0" applyFont="true" applyBorder="true" applyAlignment="true" applyProtection="true">
      <alignment horizontal="left" vertical="bottom" textRotation="0" wrapText="false" indent="0" shrinkToFit="false"/>
      <protection locked="true" hidden="false"/>
    </xf>
    <xf numFmtId="243" fontId="72" fillId="0" borderId="11" xfId="19" applyFont="true" applyBorder="true" applyAlignment="true" applyProtection="true">
      <alignment horizontal="right" vertical="bottom" textRotation="0" wrapText="false" indent="0" shrinkToFit="false"/>
      <protection locked="true" hidden="false"/>
    </xf>
    <xf numFmtId="164" fontId="80" fillId="0" borderId="10" xfId="0" applyFont="true" applyBorder="true" applyAlignment="true" applyProtection="true">
      <alignment horizontal="left" vertical="bottom" textRotation="0" wrapText="false" indent="0" shrinkToFit="false"/>
      <protection locked="true" hidden="false"/>
    </xf>
    <xf numFmtId="247" fontId="72" fillId="7" borderId="11" xfId="15" applyFont="true" applyBorder="true" applyAlignment="true" applyProtection="true">
      <alignment horizontal="right" vertical="bottom" textRotation="0" wrapText="false" indent="0" shrinkToFit="false"/>
      <protection locked="true" hidden="false"/>
    </xf>
    <xf numFmtId="164" fontId="81" fillId="0" borderId="10" xfId="0" applyFont="true" applyBorder="true" applyAlignment="false" applyProtection="false">
      <alignment horizontal="general" vertical="bottom" textRotation="0" wrapText="false" indent="0" shrinkToFit="false"/>
      <protection locked="true" hidden="false"/>
    </xf>
    <xf numFmtId="164" fontId="82" fillId="0" borderId="0" xfId="0" applyFont="true" applyBorder="true" applyAlignment="true" applyProtection="false">
      <alignment horizontal="center" vertical="bottom" textRotation="0" wrapText="true" indent="0" shrinkToFit="false"/>
      <protection locked="true" hidden="false"/>
    </xf>
    <xf numFmtId="164" fontId="83" fillId="0" borderId="0" xfId="0" applyFont="true" applyBorder="true" applyAlignment="true" applyProtection="false">
      <alignment horizontal="center" vertical="bottom" textRotation="0" wrapText="false" indent="0" shrinkToFit="false"/>
      <protection locked="true" hidden="false"/>
    </xf>
    <xf numFmtId="164" fontId="84" fillId="0" borderId="11" xfId="0" applyFont="true" applyBorder="true" applyAlignment="true" applyProtection="false">
      <alignment horizontal="center" vertical="bottom" textRotation="0" wrapText="true" indent="0" shrinkToFit="false"/>
      <protection locked="true" hidden="false"/>
    </xf>
    <xf numFmtId="244" fontId="70" fillId="0" borderId="11" xfId="0" applyFont="true" applyBorder="true" applyAlignment="false" applyProtection="false">
      <alignment horizontal="general" vertical="bottom" textRotation="0" wrapText="false" indent="0" shrinkToFit="false"/>
      <protection locked="true" hidden="false"/>
    </xf>
    <xf numFmtId="248" fontId="70" fillId="0" borderId="0" xfId="0" applyFont="true" applyBorder="true" applyAlignment="true" applyProtection="true">
      <alignment horizontal="center" vertical="bottom" textRotation="0" wrapText="false" indent="0" shrinkToFit="false"/>
      <protection locked="true" hidden="false"/>
    </xf>
    <xf numFmtId="249" fontId="70" fillId="0" borderId="11" xfId="0" applyFont="true" applyBorder="true" applyAlignment="false" applyProtection="true">
      <alignment horizontal="general" vertical="bottom" textRotation="0" wrapText="false" indent="0" shrinkToFit="false"/>
      <protection locked="true" hidden="false"/>
    </xf>
    <xf numFmtId="164" fontId="77" fillId="0" borderId="0" xfId="0" applyFont="true" applyBorder="true" applyAlignment="false" applyProtection="true">
      <alignment horizontal="general" vertical="bottom" textRotation="0" wrapText="false" indent="0" shrinkToFit="false"/>
      <protection locked="false" hidden="false"/>
    </xf>
    <xf numFmtId="247" fontId="72" fillId="7" borderId="11" xfId="15" applyFont="true" applyBorder="true" applyAlignment="true" applyProtection="true">
      <alignment horizontal="general" vertical="bottom" textRotation="0" wrapText="false" indent="0" shrinkToFit="false"/>
      <protection locked="false" hidden="false"/>
    </xf>
    <xf numFmtId="164" fontId="78" fillId="0" borderId="10" xfId="0" applyFont="true" applyBorder="true" applyAlignment="true" applyProtection="true">
      <alignment horizontal="left" vertical="bottom" textRotation="0" wrapText="false" indent="0" shrinkToFit="false"/>
      <protection locked="true" hidden="false"/>
    </xf>
    <xf numFmtId="247" fontId="72" fillId="0" borderId="0" xfId="15" applyFont="true" applyBorder="true" applyAlignment="true" applyProtection="true">
      <alignment horizontal="general" vertical="bottom" textRotation="0" wrapText="false" indent="0" shrinkToFit="false"/>
      <protection locked="true" hidden="false"/>
    </xf>
    <xf numFmtId="169" fontId="72" fillId="0" borderId="0" xfId="0" applyFont="true" applyBorder="true" applyAlignment="true" applyProtection="false">
      <alignment horizontal="center" vertical="bottom" textRotation="0" wrapText="false" indent="0" shrinkToFit="false"/>
      <protection locked="true" hidden="false"/>
    </xf>
    <xf numFmtId="250" fontId="70" fillId="0" borderId="0" xfId="0" applyFont="true" applyBorder="true" applyAlignment="false" applyProtection="false">
      <alignment horizontal="general" vertical="bottom" textRotation="0" wrapText="false" indent="0" shrinkToFit="false"/>
      <protection locked="true" hidden="false"/>
    </xf>
    <xf numFmtId="200" fontId="70" fillId="0" borderId="11" xfId="0" applyFont="true" applyBorder="true" applyAlignment="false" applyProtection="false">
      <alignment horizontal="general" vertical="bottom" textRotation="0" wrapText="false" indent="0" shrinkToFit="false"/>
      <protection locked="true" hidden="false"/>
    </xf>
    <xf numFmtId="164" fontId="78" fillId="0" borderId="0" xfId="0" applyFont="true" applyBorder="true" applyAlignment="false" applyProtection="false">
      <alignment horizontal="general" vertical="bottom" textRotation="0" wrapText="false" indent="0" shrinkToFit="false"/>
      <protection locked="true" hidden="false"/>
    </xf>
    <xf numFmtId="164" fontId="78" fillId="0" borderId="0" xfId="0" applyFont="true" applyBorder="true" applyAlignment="true" applyProtection="false">
      <alignment horizontal="center" vertical="bottom" textRotation="0" wrapText="false" indent="0" shrinkToFit="false"/>
      <protection locked="true" hidden="false"/>
    </xf>
    <xf numFmtId="251" fontId="72" fillId="0" borderId="11" xfId="0" applyFont="true" applyBorder="true" applyAlignment="false" applyProtection="true">
      <alignment horizontal="general" vertical="bottom" textRotation="0" wrapText="false" indent="0" shrinkToFit="false"/>
      <protection locked="false" hidden="false"/>
    </xf>
    <xf numFmtId="235" fontId="83" fillId="0" borderId="11" xfId="0" applyFont="true" applyBorder="true" applyAlignment="false" applyProtection="true">
      <alignment horizontal="general" vertical="bottom" textRotation="0" wrapText="false" indent="0" shrinkToFit="false"/>
      <protection locked="true" hidden="false"/>
    </xf>
    <xf numFmtId="164" fontId="77" fillId="0" borderId="0" xfId="0" applyFont="true" applyBorder="true" applyAlignment="false" applyProtection="false">
      <alignment horizontal="general" vertical="bottom" textRotation="0" wrapText="false" indent="0" shrinkToFit="false"/>
      <protection locked="true" hidden="false"/>
    </xf>
    <xf numFmtId="252" fontId="72" fillId="0" borderId="11" xfId="15" applyFont="true" applyBorder="true" applyAlignment="true" applyProtection="true">
      <alignment horizontal="general" vertical="bottom" textRotation="0" wrapText="false" indent="0" shrinkToFit="false"/>
      <protection locked="true" hidden="false"/>
    </xf>
    <xf numFmtId="170" fontId="70" fillId="0" borderId="0" xfId="0" applyFont="true" applyBorder="true" applyAlignment="false" applyProtection="false">
      <alignment horizontal="general" vertical="bottom" textRotation="0" wrapText="false" indent="0" shrinkToFit="false"/>
      <protection locked="true" hidden="false"/>
    </xf>
    <xf numFmtId="250" fontId="72" fillId="0" borderId="0" xfId="0" applyFont="true" applyBorder="true" applyAlignment="true" applyProtection="false">
      <alignment horizontal="right" vertical="bottom" textRotation="0" wrapText="false" indent="0" shrinkToFit="false"/>
      <protection locked="true" hidden="false"/>
    </xf>
    <xf numFmtId="164" fontId="72" fillId="0" borderId="11" xfId="0" applyFont="true" applyBorder="true" applyAlignment="true" applyProtection="false">
      <alignment horizontal="right"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246" fontId="70" fillId="0" borderId="11" xfId="0" applyFont="true" applyBorder="true" applyAlignment="false" applyProtection="true">
      <alignment horizontal="general" vertical="bottom" textRotation="0" wrapText="false" indent="0" shrinkToFit="false"/>
      <protection locked="true" hidden="false"/>
    </xf>
    <xf numFmtId="164" fontId="72" fillId="0" borderId="0" xfId="0" applyFont="true" applyBorder="true" applyAlignment="false" applyProtection="false">
      <alignment horizontal="general" vertical="bottom" textRotation="0" wrapText="false" indent="0" shrinkToFit="false"/>
      <protection locked="true" hidden="false"/>
    </xf>
    <xf numFmtId="240" fontId="72" fillId="0" borderId="11" xfId="0" applyFont="true" applyBorder="true" applyAlignment="false" applyProtection="true">
      <alignment horizontal="general" vertical="bottom" textRotation="0" wrapText="false" indent="0" shrinkToFit="false"/>
      <protection locked="false" hidden="false"/>
    </xf>
    <xf numFmtId="247" fontId="85" fillId="0" borderId="0" xfId="15" applyFont="true" applyBorder="true" applyAlignment="true" applyProtection="true">
      <alignment horizontal="general" vertical="bottom" textRotation="0" wrapText="false" indent="0" shrinkToFit="false"/>
      <protection locked="true" hidden="false"/>
    </xf>
    <xf numFmtId="250" fontId="83" fillId="0" borderId="0" xfId="0" applyFont="true" applyBorder="true" applyAlignment="false" applyProtection="false">
      <alignment horizontal="general" vertical="bottom" textRotation="0" wrapText="false" indent="0" shrinkToFit="false"/>
      <protection locked="true" hidden="false"/>
    </xf>
    <xf numFmtId="200" fontId="83" fillId="0" borderId="11" xfId="0" applyFont="true" applyBorder="true" applyAlignment="false" applyProtection="false">
      <alignment horizontal="general" vertical="bottom" textRotation="0" wrapText="false" indent="0" shrinkToFit="false"/>
      <protection locked="true" hidden="false"/>
    </xf>
    <xf numFmtId="253" fontId="72" fillId="0" borderId="11" xfId="19" applyFont="true" applyBorder="true" applyAlignment="true" applyProtection="true">
      <alignment horizontal="general" vertical="bottom" textRotation="0" wrapText="false" indent="0" shrinkToFit="false"/>
      <protection locked="true" hidden="false"/>
    </xf>
    <xf numFmtId="164" fontId="70" fillId="0" borderId="10" xfId="0" applyFont="true" applyBorder="true" applyAlignment="true" applyProtection="false">
      <alignment horizontal="center" vertical="bottom" textRotation="0" wrapText="false" indent="0" shrinkToFit="false"/>
      <protection locked="true" hidden="false"/>
    </xf>
    <xf numFmtId="243" fontId="70" fillId="0" borderId="11" xfId="19" applyFont="true" applyBorder="true" applyAlignment="true" applyProtection="true">
      <alignment horizontal="general" vertical="bottom" textRotation="0" wrapText="false" indent="0" shrinkToFit="false"/>
      <protection locked="true" hidden="false"/>
    </xf>
    <xf numFmtId="224" fontId="72" fillId="0" borderId="0" xfId="0" applyFont="true" applyBorder="true" applyAlignment="false" applyProtection="false">
      <alignment horizontal="general" vertical="bottom" textRotation="0" wrapText="false" indent="0" shrinkToFit="false"/>
      <protection locked="true" hidden="false"/>
    </xf>
    <xf numFmtId="240" fontId="70" fillId="0" borderId="0" xfId="0" applyFont="true" applyBorder="true" applyAlignment="false" applyProtection="true">
      <alignment horizontal="general" vertical="bottom" textRotation="0" wrapText="false" indent="0" shrinkToFit="false"/>
      <protection locked="false" hidden="false"/>
    </xf>
    <xf numFmtId="164" fontId="86" fillId="0" borderId="6" xfId="0" applyFont="true" applyBorder="true" applyAlignment="true" applyProtection="true">
      <alignment horizontal="left" vertical="bottom" textRotation="0" wrapText="false" indent="0" shrinkToFit="false"/>
      <protection locked="true" hidden="false"/>
    </xf>
    <xf numFmtId="249" fontId="79" fillId="0" borderId="3" xfId="17" applyFont="true" applyBorder="true" applyAlignment="true" applyProtection="true">
      <alignment horizontal="general" vertical="bottom" textRotation="0" wrapText="false" indent="0" shrinkToFit="false"/>
      <protection locked="false" hidden="false"/>
    </xf>
    <xf numFmtId="164" fontId="70" fillId="0" borderId="3" xfId="0" applyFont="true" applyBorder="true" applyAlignment="false" applyProtection="false">
      <alignment horizontal="general" vertical="bottom" textRotation="0" wrapText="false" indent="0" shrinkToFit="false"/>
      <protection locked="true" hidden="false"/>
    </xf>
    <xf numFmtId="254" fontId="79" fillId="0" borderId="3" xfId="0" applyFont="true" applyBorder="true" applyAlignment="false" applyProtection="false">
      <alignment horizontal="general" vertical="bottom" textRotation="0" wrapText="false" indent="0" shrinkToFit="false"/>
      <protection locked="true" hidden="false"/>
    </xf>
    <xf numFmtId="254" fontId="70" fillId="0" borderId="3" xfId="0" applyFont="true" applyBorder="true" applyAlignment="false" applyProtection="false">
      <alignment horizontal="general" vertical="bottom" textRotation="0" wrapText="false" indent="0" shrinkToFit="false"/>
      <protection locked="true" hidden="false"/>
    </xf>
    <xf numFmtId="200" fontId="79" fillId="0" borderId="7" xfId="0" applyFont="true" applyBorder="true" applyAlignment="false" applyProtection="false">
      <alignment horizontal="general" vertical="bottom" textRotation="0" wrapText="false" indent="0" shrinkToFit="false"/>
      <protection locked="true" hidden="false"/>
    </xf>
    <xf numFmtId="164" fontId="87" fillId="0" borderId="0" xfId="0" applyFont="true" applyBorder="false" applyAlignment="false" applyProtection="false">
      <alignment horizontal="general" vertical="bottom" textRotation="0" wrapText="false" indent="0" shrinkToFit="false"/>
      <protection locked="true" hidden="false"/>
    </xf>
    <xf numFmtId="248" fontId="72" fillId="0" borderId="0" xfId="0" applyFont="true" applyBorder="true" applyAlignment="false" applyProtection="false">
      <alignment horizontal="general" vertical="bottom" textRotation="0" wrapText="false" indent="0" shrinkToFit="false"/>
      <protection locked="true" hidden="false"/>
    </xf>
    <xf numFmtId="247" fontId="72" fillId="0" borderId="0" xfId="15" applyFont="true" applyBorder="true" applyAlignment="true" applyProtection="true">
      <alignment horizontal="general" vertical="bottom" textRotation="0" wrapText="false" indent="0" shrinkToFit="false"/>
      <protection locked="false" hidden="false"/>
    </xf>
    <xf numFmtId="240" fontId="78" fillId="0" borderId="11" xfId="0" applyFont="true" applyBorder="true" applyAlignment="false" applyProtection="true">
      <alignment horizontal="general" vertical="bottom" textRotation="0" wrapText="false" indent="0" shrinkToFit="false"/>
      <protection locked="false" hidden="false"/>
    </xf>
    <xf numFmtId="164" fontId="70" fillId="0" borderId="0" xfId="0" applyFont="true" applyBorder="false" applyAlignment="false" applyProtection="false">
      <alignment horizontal="general" vertical="bottom" textRotation="0" wrapText="false" indent="0" shrinkToFit="false"/>
      <protection locked="true" hidden="false"/>
    </xf>
    <xf numFmtId="169" fontId="71" fillId="0" borderId="0" xfId="0" applyFont="true" applyBorder="false" applyAlignment="false" applyProtection="false">
      <alignment horizontal="general" vertical="bottom" textRotation="0" wrapText="false" indent="0" shrinkToFit="false"/>
      <protection locked="true" hidden="false"/>
    </xf>
    <xf numFmtId="255" fontId="70" fillId="0" borderId="10" xfId="1238" applyFont="true" applyBorder="true" applyAlignment="true" applyProtection="true">
      <alignment horizontal="left" vertical="bottom" textRotation="0" wrapText="false" indent="0" shrinkToFit="false"/>
      <protection locked="true" hidden="false"/>
    </xf>
    <xf numFmtId="229" fontId="70" fillId="0" borderId="0" xfId="0" applyFont="true" applyBorder="true" applyAlignment="false" applyProtection="false">
      <alignment horizontal="general" vertical="bottom" textRotation="0" wrapText="false" indent="0" shrinkToFit="false"/>
      <protection locked="true" hidden="false"/>
    </xf>
    <xf numFmtId="243" fontId="72" fillId="0" borderId="0" xfId="19" applyFont="true" applyBorder="true" applyAlignment="true" applyProtection="true">
      <alignment horizontal="center" vertical="bottom" textRotation="0" wrapText="false" indent="0" shrinkToFit="false"/>
      <protection locked="true" hidden="false"/>
    </xf>
    <xf numFmtId="164" fontId="88" fillId="0" borderId="10" xfId="0" applyFont="true" applyBorder="true" applyAlignment="true" applyProtection="true">
      <alignment horizontal="left" vertical="bottom" textRotation="0" wrapText="false" indent="0" shrinkToFit="false"/>
      <protection locked="true" hidden="false"/>
    </xf>
    <xf numFmtId="164" fontId="70" fillId="0" borderId="10" xfId="0" applyFont="true" applyBorder="true" applyAlignment="true" applyProtection="false">
      <alignment horizontal="left" vertical="bottom" textRotation="0" wrapText="false" indent="0" shrinkToFit="false"/>
      <protection locked="true" hidden="false"/>
    </xf>
    <xf numFmtId="247" fontId="72" fillId="0" borderId="11" xfId="15" applyFont="true" applyBorder="true" applyAlignment="true" applyProtection="true">
      <alignment horizontal="general" vertical="bottom" textRotation="0" wrapText="false" indent="0" shrinkToFit="false"/>
      <protection locked="true" hidden="false"/>
    </xf>
    <xf numFmtId="164" fontId="89" fillId="4" borderId="4" xfId="0" applyFont="true" applyBorder="true" applyAlignment="true" applyProtection="true">
      <alignment horizontal="left" vertical="bottom" textRotation="0" wrapText="false" indent="0" shrinkToFit="false"/>
      <protection locked="true" hidden="false"/>
    </xf>
    <xf numFmtId="249" fontId="79" fillId="4" borderId="9" xfId="17" applyFont="true" applyBorder="true" applyAlignment="true" applyProtection="true">
      <alignment horizontal="general" vertical="bottom" textRotation="0" wrapText="false" indent="0" shrinkToFit="false"/>
      <protection locked="false" hidden="false"/>
    </xf>
    <xf numFmtId="254" fontId="79" fillId="4" borderId="9" xfId="0" applyFont="true" applyBorder="true" applyAlignment="false" applyProtection="false">
      <alignment horizontal="general" vertical="bottom" textRotation="0" wrapText="false" indent="0" shrinkToFit="false"/>
      <protection locked="true" hidden="false"/>
    </xf>
    <xf numFmtId="170" fontId="79" fillId="4" borderId="9" xfId="0" applyFont="true" applyBorder="true" applyAlignment="false" applyProtection="false">
      <alignment horizontal="general" vertical="bottom" textRotation="0" wrapText="false" indent="0" shrinkToFit="false"/>
      <protection locked="true" hidden="false"/>
    </xf>
    <xf numFmtId="200" fontId="79" fillId="4" borderId="5"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247" fontId="90" fillId="7" borderId="11" xfId="15" applyFont="true" applyBorder="true" applyAlignment="true" applyProtection="true">
      <alignment horizontal="general" vertical="bottom" textRotation="0" wrapText="false" indent="0" shrinkToFit="false"/>
      <protection locked="true" hidden="false"/>
    </xf>
    <xf numFmtId="248" fontId="70" fillId="0" borderId="11" xfId="19" applyFont="true" applyBorder="true" applyAlignment="true" applyProtection="true">
      <alignment horizontal="general" vertical="bottom" textRotation="0" wrapText="false" indent="0" shrinkToFit="false"/>
      <protection locked="false" hidden="false"/>
    </xf>
    <xf numFmtId="249" fontId="79" fillId="0" borderId="0" xfId="17" applyFont="true" applyBorder="true" applyAlignment="true" applyProtection="true">
      <alignment horizontal="general" vertical="bottom" textRotation="0" wrapText="true" indent="0" shrinkToFit="false"/>
      <protection locked="false" hidden="false"/>
    </xf>
    <xf numFmtId="254" fontId="79" fillId="0" borderId="0" xfId="0" applyFont="true" applyBorder="true" applyAlignment="true" applyProtection="false">
      <alignment horizontal="general" vertical="bottom" textRotation="0" wrapText="true" indent="0" shrinkToFit="false"/>
      <protection locked="true" hidden="false"/>
    </xf>
    <xf numFmtId="164" fontId="79" fillId="0" borderId="0" xfId="0" applyFont="true" applyBorder="true" applyAlignment="false" applyProtection="false">
      <alignment horizontal="general" vertical="bottom" textRotation="0" wrapText="false" indent="0" shrinkToFit="false"/>
      <protection locked="true" hidden="false"/>
    </xf>
    <xf numFmtId="169" fontId="79" fillId="0" borderId="0" xfId="0" applyFont="true" applyBorder="true" applyAlignment="true" applyProtection="false">
      <alignment horizontal="center" vertical="bottom" textRotation="0" wrapText="true" indent="0" shrinkToFit="false"/>
      <protection locked="true" hidden="false"/>
    </xf>
    <xf numFmtId="200" fontId="79" fillId="0" borderId="11" xfId="0" applyFont="true" applyBorder="true" applyAlignment="false" applyProtection="false">
      <alignment horizontal="general" vertical="bottom" textRotation="0" wrapText="false" indent="0" shrinkToFit="false"/>
      <protection locked="true" hidden="false"/>
    </xf>
    <xf numFmtId="244" fontId="72" fillId="0" borderId="11" xfId="0" applyFont="true" applyBorder="true" applyAlignment="false" applyProtection="true">
      <alignment horizontal="general" vertical="bottom" textRotation="0" wrapText="false" indent="0" shrinkToFit="false"/>
      <protection locked="fals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244" fontId="70" fillId="0" borderId="0" xfId="19" applyFont="true" applyBorder="true" applyAlignment="true" applyProtection="true">
      <alignment horizontal="general" vertical="bottom" textRotation="0" wrapText="false" indent="0" shrinkToFit="false"/>
      <protection locked="true" hidden="false"/>
    </xf>
    <xf numFmtId="169" fontId="72" fillId="0" borderId="0" xfId="17" applyFont="true" applyBorder="true" applyAlignment="true" applyProtection="true">
      <alignment horizontal="general" vertical="bottom" textRotation="0" wrapText="false" indent="0" shrinkToFit="false"/>
      <protection locked="false" hidden="false"/>
    </xf>
    <xf numFmtId="200" fontId="70" fillId="0" borderId="0" xfId="0" applyFont="true" applyBorder="true" applyAlignment="false" applyProtection="false">
      <alignment horizontal="general" vertical="bottom" textRotation="0" wrapText="false" indent="0" shrinkToFit="false"/>
      <protection locked="true" hidden="false"/>
    </xf>
    <xf numFmtId="248" fontId="70" fillId="0" borderId="11" xfId="19" applyFont="true" applyBorder="true" applyAlignment="true" applyProtection="true">
      <alignment horizontal="general" vertical="bottom" textRotation="0" wrapText="false" indent="0" shrinkToFit="false"/>
      <protection locked="true" hidden="false"/>
    </xf>
    <xf numFmtId="255" fontId="70" fillId="0" borderId="6" xfId="1238" applyFont="true" applyBorder="true" applyAlignment="true" applyProtection="true">
      <alignment horizontal="left" vertical="bottom" textRotation="0" wrapText="false" indent="0" shrinkToFit="false"/>
      <protection locked="true" hidden="false"/>
    </xf>
    <xf numFmtId="229" fontId="70" fillId="0" borderId="3" xfId="0" applyFont="true" applyBorder="true" applyAlignment="false" applyProtection="false">
      <alignment horizontal="general" vertical="bottom" textRotation="0" wrapText="false" indent="0" shrinkToFit="false"/>
      <protection locked="true" hidden="false"/>
    </xf>
    <xf numFmtId="242" fontId="72" fillId="0" borderId="3" xfId="0" applyFont="true" applyBorder="true" applyAlignment="true" applyProtection="false">
      <alignment horizontal="center" vertical="bottom" textRotation="0" wrapText="false" indent="0" shrinkToFit="false"/>
      <protection locked="true" hidden="false"/>
    </xf>
    <xf numFmtId="247" fontId="70" fillId="0" borderId="7" xfId="15" applyFont="true" applyBorder="true" applyAlignment="true" applyProtection="true">
      <alignment horizontal="general" vertical="bottom" textRotation="0" wrapText="false" indent="0" shrinkToFit="false"/>
      <protection locked="true" hidden="false"/>
    </xf>
    <xf numFmtId="246" fontId="77" fillId="0" borderId="0" xfId="0" applyFont="true" applyBorder="true" applyAlignment="true" applyProtection="false">
      <alignment horizontal="general" vertical="bottom" textRotation="0" wrapText="false" indent="0" shrinkToFit="false"/>
      <protection locked="true" hidden="false"/>
    </xf>
    <xf numFmtId="247" fontId="90" fillId="0" borderId="11" xfId="15" applyFont="true" applyBorder="true" applyAlignment="true" applyProtection="true">
      <alignment horizontal="general" vertical="bottom" textRotation="0" wrapText="false" indent="0" shrinkToFit="false"/>
      <protection locked="false" hidden="false"/>
    </xf>
    <xf numFmtId="200" fontId="83" fillId="0" borderId="0" xfId="0" applyFont="true" applyBorder="true" applyAlignment="false" applyProtection="false">
      <alignment horizontal="general" vertical="bottom" textRotation="0" wrapText="false" indent="0" shrinkToFit="false"/>
      <protection locked="true" hidden="false"/>
    </xf>
    <xf numFmtId="170" fontId="83" fillId="0" borderId="0" xfId="0" applyFont="true" applyBorder="true" applyAlignment="false" applyProtection="false">
      <alignment horizontal="general" vertical="bottom" textRotation="0" wrapText="false" indent="0" shrinkToFit="false"/>
      <protection locked="true" hidden="false"/>
    </xf>
    <xf numFmtId="244" fontId="79" fillId="0" borderId="11" xfId="19" applyFont="true" applyBorder="true" applyAlignment="true" applyProtection="true">
      <alignment horizontal="general" vertical="bottom" textRotation="0" wrapText="false" indent="0" shrinkToFit="false"/>
      <protection locked="true" hidden="false"/>
    </xf>
    <xf numFmtId="230" fontId="72" fillId="0" borderId="11" xfId="0" applyFont="true" applyBorder="true" applyAlignment="false" applyProtection="true">
      <alignment horizontal="general" vertical="bottom" textRotation="0" wrapText="false" indent="0" shrinkToFit="false"/>
      <protection locked="false" hidden="false"/>
    </xf>
    <xf numFmtId="164" fontId="78" fillId="0" borderId="6" xfId="0" applyFont="true" applyBorder="true" applyAlignment="true" applyProtection="true">
      <alignment horizontal="left" vertical="bottom" textRotation="0" wrapText="false" indent="0" shrinkToFit="false"/>
      <protection locked="true" hidden="false"/>
    </xf>
    <xf numFmtId="200" fontId="70" fillId="0" borderId="3" xfId="0" applyFont="true" applyBorder="true" applyAlignment="false" applyProtection="false">
      <alignment horizontal="general" vertical="bottom" textRotation="0" wrapText="false" indent="0" shrinkToFit="false"/>
      <protection locked="true" hidden="false"/>
    </xf>
    <xf numFmtId="170" fontId="70" fillId="0" borderId="3" xfId="0" applyFont="true" applyBorder="true" applyAlignment="false" applyProtection="false">
      <alignment horizontal="general" vertical="bottom" textRotation="0" wrapText="false" indent="0" shrinkToFit="false"/>
      <protection locked="true" hidden="false"/>
    </xf>
    <xf numFmtId="242" fontId="77" fillId="0" borderId="0" xfId="0" applyFont="true" applyBorder="true" applyAlignment="false" applyProtection="false">
      <alignment horizontal="general" vertical="bottom" textRotation="0" wrapText="false" indent="0" shrinkToFit="false"/>
      <protection locked="true" hidden="false"/>
    </xf>
    <xf numFmtId="256" fontId="70" fillId="0" borderId="11"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0" borderId="6" xfId="0" applyFont="true" applyBorder="true" applyAlignment="false" applyProtection="false">
      <alignment horizontal="general" vertical="bottom" textRotation="0" wrapText="false" indent="0" shrinkToFit="false"/>
      <protection locked="true" hidden="false"/>
    </xf>
    <xf numFmtId="164" fontId="70" fillId="0" borderId="3" xfId="0" applyFont="true" applyBorder="true" applyAlignment="true" applyProtection="false">
      <alignment horizontal="right" vertical="bottom" textRotation="0" wrapText="false" indent="0" shrinkToFit="false"/>
      <protection locked="true" hidden="false"/>
    </xf>
    <xf numFmtId="246" fontId="70" fillId="0" borderId="8" xfId="17" applyFont="true" applyBorder="true" applyAlignment="true" applyProtection="true">
      <alignment horizontal="center" vertical="bottom" textRotation="0" wrapText="false" indent="0" shrinkToFit="false"/>
      <protection locked="true" hidden="false"/>
    </xf>
    <xf numFmtId="169" fontId="71" fillId="4" borderId="5" xfId="0" applyFont="true" applyBorder="true" applyAlignment="false" applyProtection="false">
      <alignment horizontal="general" vertical="bottom" textRotation="0" wrapText="false" indent="0" shrinkToFit="false"/>
      <protection locked="true" hidden="false"/>
    </xf>
    <xf numFmtId="164" fontId="72" fillId="0" borderId="11"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false" applyAlignment="true" applyProtection="true">
      <alignment horizontal="left" vertical="bottom" textRotation="0" wrapText="false" indent="0" shrinkToFit="false"/>
      <protection locked="true" hidden="false"/>
    </xf>
    <xf numFmtId="164" fontId="83" fillId="0" borderId="0" xfId="0" applyFont="true" applyBorder="false" applyAlignment="true" applyProtection="true">
      <alignment horizontal="center" vertical="bottom" textRotation="0" wrapText="false" indent="0" shrinkToFit="false"/>
      <protection locked="true" hidden="false"/>
    </xf>
    <xf numFmtId="164" fontId="91" fillId="0" borderId="0" xfId="0" applyFont="true" applyBorder="false" applyAlignment="true" applyProtection="true">
      <alignment horizontal="center" vertical="bottom" textRotation="0" wrapText="false" indent="0" shrinkToFit="false"/>
      <protection locked="true" hidden="false"/>
    </xf>
    <xf numFmtId="164" fontId="91" fillId="0" borderId="0" xfId="0" applyFont="true" applyBorder="false" applyAlignment="true" applyProtection="false">
      <alignment horizontal="center" vertical="bottom" textRotation="0" wrapText="false" indent="0" shrinkToFit="false"/>
      <protection locked="true" hidden="false"/>
    </xf>
    <xf numFmtId="247" fontId="72" fillId="7" borderId="0" xfId="15" applyFont="true" applyBorder="true" applyAlignment="true" applyProtection="true">
      <alignment horizontal="general" vertical="bottom" textRotation="0" wrapText="false" indent="0" shrinkToFit="false"/>
      <protection locked="true" hidden="false"/>
    </xf>
    <xf numFmtId="244" fontId="72" fillId="0" borderId="11" xfId="19" applyFont="true" applyBorder="true" applyAlignment="true" applyProtection="true">
      <alignment horizontal="general" vertical="bottom" textRotation="0" wrapText="false" indent="0" shrinkToFit="false"/>
      <protection locked="true" hidden="false"/>
    </xf>
    <xf numFmtId="243" fontId="72" fillId="8" borderId="0" xfId="19" applyFont="true" applyBorder="true" applyAlignment="true" applyProtection="true">
      <alignment horizontal="center" vertical="bottom" textRotation="0" wrapText="false" indent="0" shrinkToFit="false"/>
      <protection locked="true" hidden="false"/>
    </xf>
    <xf numFmtId="164" fontId="70" fillId="4" borderId="9" xfId="0" applyFont="true" applyBorder="true" applyAlignment="true" applyProtection="false">
      <alignment horizontal="right" vertical="bottom" textRotation="0" wrapText="false" indent="0" shrinkToFit="false"/>
      <protection locked="true" hidden="false"/>
    </xf>
    <xf numFmtId="246" fontId="70" fillId="4" borderId="9" xfId="17" applyFont="true" applyBorder="true" applyAlignment="true" applyProtection="true">
      <alignment horizontal="center" vertical="bottom" textRotation="0" wrapText="false" indent="0" shrinkToFit="false"/>
      <protection locked="true" hidden="false"/>
    </xf>
    <xf numFmtId="246" fontId="70" fillId="4" borderId="5" xfId="17" applyFont="true" applyBorder="true" applyAlignment="true" applyProtection="true">
      <alignment horizontal="center" vertical="bottom" textRotation="0" wrapText="false" indent="0" shrinkToFit="false"/>
      <protection locked="true" hidden="false"/>
    </xf>
    <xf numFmtId="248" fontId="72" fillId="0" borderId="7" xfId="19" applyFont="true" applyBorder="true" applyAlignment="true" applyProtection="true">
      <alignment horizontal="general" vertical="bottom" textRotation="0" wrapText="false" indent="0" shrinkToFit="false"/>
      <protection locked="true" hidden="false"/>
    </xf>
    <xf numFmtId="247" fontId="92" fillId="7" borderId="11" xfId="15" applyFont="true" applyBorder="true" applyAlignment="true" applyProtection="true">
      <alignment horizontal="general" vertical="bottom" textRotation="0" wrapText="false" indent="0" shrinkToFit="false"/>
      <protection locked="true" hidden="false"/>
    </xf>
    <xf numFmtId="254" fontId="70" fillId="0" borderId="0" xfId="0" applyFont="true" applyBorder="true" applyAlignment="false" applyProtection="false">
      <alignment horizontal="general" vertical="bottom" textRotation="0" wrapText="false" indent="0" shrinkToFit="false"/>
      <protection locked="true" hidden="false"/>
    </xf>
    <xf numFmtId="246" fontId="70" fillId="0" borderId="0" xfId="17" applyFont="true" applyBorder="true" applyAlignment="true" applyProtection="true">
      <alignment horizontal="center" vertical="bottom" textRotation="0" wrapText="false" indent="0" shrinkToFit="false"/>
      <protection locked="true" hidden="false"/>
    </xf>
    <xf numFmtId="249" fontId="72" fillId="7" borderId="0" xfId="17" applyFont="true" applyBorder="true" applyAlignment="true" applyProtection="true">
      <alignment horizontal="general" vertical="bottom" textRotation="0" wrapText="false" indent="0" shrinkToFit="false"/>
      <protection locked="true" hidden="false"/>
    </xf>
    <xf numFmtId="247" fontId="70" fillId="0" borderId="11" xfId="15" applyFont="true" applyBorder="true" applyAlignment="true" applyProtection="true">
      <alignment horizontal="general" vertical="bottom" textRotation="0" wrapText="false" indent="0" shrinkToFit="false"/>
      <protection locked="true" hidden="false"/>
    </xf>
    <xf numFmtId="200" fontId="70" fillId="0" borderId="0" xfId="0" applyFont="true" applyBorder="true" applyAlignment="true" applyProtection="false">
      <alignment horizontal="right" vertical="bottom" textRotation="0" wrapText="false" indent="0" shrinkToFit="false"/>
      <protection locked="true" hidden="false"/>
    </xf>
    <xf numFmtId="257" fontId="72" fillId="0" borderId="0" xfId="0" applyFont="true" applyBorder="true" applyAlignment="false" applyProtection="false">
      <alignment horizontal="general" vertical="bottom" textRotation="0" wrapText="false" indent="0" shrinkToFit="false"/>
      <protection locked="true" hidden="false"/>
    </xf>
    <xf numFmtId="164" fontId="93" fillId="4" borderId="4" xfId="0" applyFont="true" applyBorder="true" applyAlignment="false" applyProtection="false">
      <alignment horizontal="general" vertical="bottom" textRotation="0" wrapText="false" indent="0" shrinkToFit="false"/>
      <protection locked="true" hidden="false"/>
    </xf>
    <xf numFmtId="200" fontId="72" fillId="0" borderId="3" xfId="0" applyFont="true" applyBorder="true" applyAlignment="true" applyProtection="false">
      <alignment horizontal="right" vertical="bottom" textRotation="0" wrapText="false" indent="0" shrinkToFit="false"/>
      <protection locked="true" hidden="false"/>
    </xf>
    <xf numFmtId="246" fontId="70" fillId="0" borderId="3" xfId="17" applyFont="true" applyBorder="true" applyAlignment="true" applyProtection="true">
      <alignment horizontal="center" vertical="bottom" textRotation="0" wrapText="false" indent="0" shrinkToFit="false"/>
      <protection locked="true" hidden="false"/>
    </xf>
    <xf numFmtId="244" fontId="72" fillId="0" borderId="7" xfId="19" applyFont="true" applyBorder="true" applyAlignment="true" applyProtection="true">
      <alignment horizontal="left" vertical="bottom" textRotation="0" wrapText="false" indent="0" shrinkToFit="false"/>
      <protection locked="true" hidden="false"/>
    </xf>
    <xf numFmtId="164" fontId="78" fillId="0" borderId="10" xfId="0" applyFont="true" applyBorder="true" applyAlignment="false" applyProtection="false">
      <alignment horizontal="general" vertical="bottom" textRotation="0" wrapText="false" indent="0" shrinkToFit="false"/>
      <protection locked="true" hidden="false"/>
    </xf>
    <xf numFmtId="243" fontId="72" fillId="0" borderId="0" xfId="19" applyFont="true" applyBorder="true" applyAlignment="true" applyProtection="true">
      <alignment horizontal="general" vertical="bottom" textRotation="0" wrapText="false" indent="0" shrinkToFit="false"/>
      <protection locked="true" hidden="false"/>
    </xf>
    <xf numFmtId="249" fontId="72" fillId="7" borderId="3" xfId="17" applyFont="true" applyBorder="true" applyAlignment="true" applyProtection="true">
      <alignment horizontal="general" vertical="bottom" textRotation="0" wrapText="false" indent="0" shrinkToFit="false"/>
      <protection locked="true" hidden="false"/>
    </xf>
    <xf numFmtId="247" fontId="94" fillId="0" borderId="11" xfId="15" applyFont="true" applyBorder="true" applyAlignment="true" applyProtection="true">
      <alignment horizontal="general" vertical="bottom" textRotation="0" wrapText="false" indent="0" shrinkToFit="false"/>
      <protection locked="true" hidden="false"/>
    </xf>
    <xf numFmtId="164" fontId="77" fillId="0" borderId="3" xfId="0" applyFont="true" applyBorder="true" applyAlignment="false" applyProtection="false">
      <alignment horizontal="general" vertical="bottom" textRotation="0" wrapText="false" indent="0" shrinkToFit="false"/>
      <protection locked="true" hidden="false"/>
    </xf>
    <xf numFmtId="243" fontId="77" fillId="0" borderId="3" xfId="19" applyFont="true" applyBorder="true" applyAlignment="true" applyProtection="true">
      <alignment horizontal="general" vertical="bottom" textRotation="0" wrapText="false" indent="0" shrinkToFit="false"/>
      <protection locked="true" hidden="false"/>
    </xf>
    <xf numFmtId="249" fontId="79" fillId="0" borderId="3" xfId="17" applyFont="true" applyBorder="true" applyAlignment="true" applyProtection="true">
      <alignment horizontal="general" vertical="bottom" textRotation="0" wrapText="false" indent="0" shrinkToFit="false"/>
      <protection locked="true" hidden="false"/>
    </xf>
    <xf numFmtId="164" fontId="95" fillId="0" borderId="0" xfId="0" applyFont="true" applyBorder="true" applyAlignment="true" applyProtection="false">
      <alignment horizontal="center" vertical="bottom" textRotation="0" wrapText="false" indent="0" shrinkToFit="false"/>
      <protection locked="true" hidden="false"/>
    </xf>
    <xf numFmtId="164" fontId="70" fillId="4" borderId="5" xfId="0" applyFont="true" applyBorder="true" applyAlignment="false" applyProtection="true">
      <alignment horizontal="general" vertical="bottom" textRotation="0" wrapText="false" indent="0" shrinkToFit="false"/>
      <protection locked="true" hidden="false"/>
    </xf>
    <xf numFmtId="247" fontId="71" fillId="0" borderId="0" xfId="15" applyFont="true" applyBorder="true" applyAlignment="true" applyProtection="true">
      <alignment horizontal="general" vertical="bottom" textRotation="0" wrapText="false" indent="0" shrinkToFit="false"/>
      <protection locked="true" hidden="false"/>
    </xf>
    <xf numFmtId="169" fontId="70" fillId="0" borderId="0" xfId="0" applyFont="true" applyBorder="true" applyAlignment="false" applyProtection="false">
      <alignment horizontal="general" vertical="bottom" textRotation="0" wrapText="false" indent="0" shrinkToFit="false"/>
      <protection locked="true" hidden="false"/>
    </xf>
    <xf numFmtId="235" fontId="70" fillId="0" borderId="10" xfId="1238" applyFont="true" applyBorder="true" applyAlignment="true" applyProtection="true">
      <alignment horizontal="left" vertical="bottom" textRotation="0" wrapText="false" indent="0" shrinkToFit="false"/>
      <protection locked="true" hidden="false"/>
    </xf>
    <xf numFmtId="258" fontId="78" fillId="4" borderId="9" xfId="15" applyFont="true" applyBorder="true" applyAlignment="true" applyProtection="true">
      <alignment horizontal="general" vertical="bottom" textRotation="0" wrapText="false" indent="0" shrinkToFit="false"/>
      <protection locked="false" hidden="false"/>
    </xf>
    <xf numFmtId="164" fontId="83" fillId="0" borderId="10" xfId="0" applyFont="true" applyBorder="true" applyAlignment="false" applyProtection="false">
      <alignment horizontal="general" vertical="bottom" textRotation="0" wrapText="false" indent="0" shrinkToFit="false"/>
      <protection locked="true" hidden="false"/>
    </xf>
    <xf numFmtId="169" fontId="83" fillId="0" borderId="0" xfId="0" applyFont="true" applyBorder="true" applyAlignment="false" applyProtection="false">
      <alignment horizontal="general" vertical="bottom" textRotation="0" wrapText="false" indent="0" shrinkToFit="false"/>
      <protection locked="true" hidden="false"/>
    </xf>
    <xf numFmtId="235" fontId="70" fillId="0" borderId="11" xfId="0" applyFont="true" applyBorder="true" applyAlignment="false" applyProtection="true">
      <alignment horizontal="general" vertical="bottom" textRotation="0" wrapText="false" indent="0" shrinkToFit="false"/>
      <protection locked="true" hidden="false"/>
    </xf>
    <xf numFmtId="164" fontId="82" fillId="0" borderId="10" xfId="0" applyFont="true" applyBorder="true" applyAlignment="true" applyProtection="true">
      <alignment horizontal="left" vertical="bottom" textRotation="0" wrapText="false" indent="0" shrinkToFit="false"/>
      <protection locked="true" hidden="false"/>
    </xf>
    <xf numFmtId="169" fontId="95" fillId="0" borderId="0" xfId="0" applyFont="true" applyBorder="true" applyAlignment="false" applyProtection="false">
      <alignment horizontal="general" vertical="bottom" textRotation="0" wrapText="false" indent="0" shrinkToFit="false"/>
      <protection locked="true" hidden="false"/>
    </xf>
    <xf numFmtId="164" fontId="70" fillId="0" borderId="10"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244" fontId="70" fillId="0" borderId="0" xfId="0" applyFont="true" applyBorder="true" applyAlignment="false" applyProtection="false">
      <alignment horizontal="general" vertical="bottom" textRotation="0" wrapText="false" indent="0" shrinkToFit="false"/>
      <protection locked="true" hidden="false"/>
    </xf>
    <xf numFmtId="247" fontId="70" fillId="0" borderId="3" xfId="0" applyFont="true" applyBorder="true" applyAlignment="false" applyProtection="false">
      <alignment horizontal="general" vertical="bottom" textRotation="0" wrapText="false" indent="0" shrinkToFit="false"/>
      <protection locked="true" hidden="false"/>
    </xf>
    <xf numFmtId="164" fontId="70" fillId="0" borderId="7" xfId="0" applyFont="true" applyBorder="true" applyAlignment="false" applyProtection="false">
      <alignment horizontal="general" vertical="bottom" textRotation="0" wrapText="false" indent="0" shrinkToFit="false"/>
      <protection locked="true" hidden="false"/>
    </xf>
    <xf numFmtId="217" fontId="96" fillId="0" borderId="11" xfId="17" applyFont="true" applyBorder="true" applyAlignment="true" applyProtection="true">
      <alignment horizontal="right" vertical="bottom" textRotation="0" wrapText="false" indent="0" shrinkToFit="false"/>
      <protection locked="true" hidden="false"/>
    </xf>
    <xf numFmtId="243" fontId="96" fillId="0" borderId="11" xfId="19" applyFont="true" applyBorder="true" applyAlignment="true" applyProtection="true">
      <alignment horizontal="right" vertical="bottom" textRotation="0" wrapText="false" indent="0" shrinkToFit="false"/>
      <protection locked="true" hidden="false"/>
    </xf>
    <xf numFmtId="249" fontId="85" fillId="7" borderId="0" xfId="17" applyFont="true" applyBorder="true" applyAlignment="true" applyProtection="true">
      <alignment horizontal="general" vertical="bottom" textRotation="0" wrapText="false" indent="0" shrinkToFit="false"/>
      <protection locked="true" hidden="false"/>
    </xf>
    <xf numFmtId="243" fontId="96" fillId="0" borderId="3" xfId="19" applyFont="true" applyBorder="true" applyAlignment="true" applyProtection="true">
      <alignment horizontal="right" vertical="bottom" textRotation="0" wrapText="false" indent="0" shrinkToFit="false"/>
      <protection locked="true" hidden="false"/>
    </xf>
    <xf numFmtId="258" fontId="70" fillId="0" borderId="7" xfId="0" applyFont="true" applyBorder="true" applyAlignment="false" applyProtection="false">
      <alignment horizontal="general" vertical="bottom" textRotation="0" wrapText="false" indent="0" shrinkToFit="false"/>
      <protection locked="true" hidden="false"/>
    </xf>
    <xf numFmtId="249" fontId="70" fillId="0" borderId="0" xfId="17" applyFont="true" applyBorder="true" applyAlignment="true" applyProtection="true">
      <alignment horizontal="general" vertical="bottom" textRotation="0" wrapText="false" indent="0" shrinkToFit="false"/>
      <protection locked="true" hidden="false"/>
    </xf>
    <xf numFmtId="243" fontId="96" fillId="0" borderId="0" xfId="19" applyFont="true" applyBorder="true" applyAlignment="true" applyProtection="true">
      <alignment horizontal="right" vertical="bottom" textRotation="0" wrapText="false" indent="0" shrinkToFit="false"/>
      <protection locked="true" hidden="false"/>
    </xf>
    <xf numFmtId="258" fontId="70" fillId="0" borderId="0" xfId="0" applyFont="true" applyBorder="false" applyAlignment="false" applyProtection="false">
      <alignment horizontal="general" vertical="bottom" textRotation="0" wrapText="false" indent="0" shrinkToFit="false"/>
      <protection locked="true" hidden="false"/>
    </xf>
    <xf numFmtId="249" fontId="72" fillId="7" borderId="0" xfId="17" applyFont="true" applyBorder="true" applyAlignment="true" applyProtection="true">
      <alignment horizontal="general" vertical="bottom" textRotation="0" wrapText="false" indent="0" shrinkToFit="false"/>
      <protection locked="false" hidden="false"/>
    </xf>
    <xf numFmtId="238" fontId="70" fillId="4" borderId="9" xfId="0" applyFont="true" applyBorder="true" applyAlignment="false" applyProtection="true">
      <alignment horizontal="general" vertical="bottom" textRotation="0" wrapText="false" indent="0" shrinkToFit="false"/>
      <protection locked="true" hidden="false"/>
    </xf>
    <xf numFmtId="164" fontId="72" fillId="8" borderId="11" xfId="0" applyFont="true" applyBorder="true" applyAlignment="true" applyProtection="false">
      <alignment horizontal="right" vertical="bottom" textRotation="0" wrapText="false" indent="0" shrinkToFit="false"/>
      <protection locked="true" hidden="false"/>
    </xf>
    <xf numFmtId="164" fontId="97" fillId="0" borderId="0" xfId="0" applyFont="true" applyBorder="true" applyAlignment="true" applyProtection="true">
      <alignment horizontal="center" vertical="bottom" textRotation="0" wrapText="false" indent="0" shrinkToFit="false"/>
      <protection locked="true" hidden="false"/>
    </xf>
    <xf numFmtId="164" fontId="97" fillId="0" borderId="11" xfId="0" applyFont="true" applyBorder="true" applyAlignment="true" applyProtection="true">
      <alignment horizontal="center" vertical="bottom" textRotation="0" wrapText="false" indent="0" shrinkToFit="false"/>
      <protection locked="true" hidden="false"/>
    </xf>
    <xf numFmtId="249" fontId="72" fillId="8" borderId="0" xfId="17" applyFont="true" applyBorder="true" applyAlignment="true" applyProtection="true">
      <alignment horizontal="general" vertical="bottom" textRotation="0" wrapText="false" indent="0" shrinkToFit="false"/>
      <protection locked="true" hidden="false"/>
    </xf>
    <xf numFmtId="164" fontId="70" fillId="0" borderId="10" xfId="0" applyFont="true" applyBorder="true" applyAlignment="true" applyProtection="true">
      <alignment horizontal="general" vertical="bottom" textRotation="0" wrapText="false" indent="0" shrinkToFit="false"/>
      <protection locked="true" hidden="false"/>
    </xf>
    <xf numFmtId="249" fontId="72" fillId="0" borderId="11" xfId="0" applyFont="true" applyBorder="true" applyAlignment="true" applyProtection="false">
      <alignment horizontal="right" vertical="bottom" textRotation="0" wrapText="false" indent="0" shrinkToFit="false"/>
      <protection locked="true" hidden="false"/>
    </xf>
    <xf numFmtId="197" fontId="85" fillId="0" borderId="0" xfId="0" applyFont="true" applyBorder="true" applyAlignment="true" applyProtection="false">
      <alignment horizontal="right" vertical="bottom" textRotation="0" wrapText="false" indent="0" shrinkToFit="false"/>
      <protection locked="true" hidden="false"/>
    </xf>
    <xf numFmtId="249" fontId="72" fillId="0" borderId="0" xfId="17" applyFont="true" applyBorder="true" applyAlignment="true" applyProtection="true">
      <alignment horizontal="general" vertical="bottom" textRotation="0" wrapText="false" indent="0" shrinkToFit="false"/>
      <protection locked="true" hidden="false"/>
    </xf>
    <xf numFmtId="164" fontId="86" fillId="0" borderId="10" xfId="0" applyFont="true" applyBorder="true" applyAlignment="true" applyProtection="true">
      <alignment horizontal="left" vertical="bottom" textRotation="0" wrapText="false" indent="0" shrinkToFit="false"/>
      <protection locked="true" hidden="false"/>
    </xf>
    <xf numFmtId="249" fontId="79" fillId="0" borderId="0" xfId="0" applyFont="true" applyBorder="true" applyAlignment="false" applyProtection="false">
      <alignment horizontal="general" vertical="bottom" textRotation="0" wrapText="false" indent="0" shrinkToFit="false"/>
      <protection locked="true" hidden="false"/>
    </xf>
    <xf numFmtId="248" fontId="70" fillId="0" borderId="0"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false" applyProtection="true">
      <alignment horizontal="general" vertical="bottom" textRotation="0" wrapText="false" indent="0" shrinkToFit="false"/>
      <protection locked="true" hidden="false"/>
    </xf>
    <xf numFmtId="164" fontId="72" fillId="0" borderId="0" xfId="0" applyFont="true" applyBorder="true" applyAlignment="false" applyProtection="true">
      <alignment horizontal="general" vertical="bottom" textRotation="0" wrapText="false" indent="0" shrinkToFit="false"/>
      <protection locked="true" hidden="false"/>
    </xf>
    <xf numFmtId="169" fontId="70" fillId="0" borderId="11" xfId="0" applyFont="true" applyBorder="true" applyAlignment="false" applyProtection="false">
      <alignment horizontal="general" vertical="bottom" textRotation="0" wrapText="false" indent="0" shrinkToFit="false"/>
      <protection locked="true" hidden="false"/>
    </xf>
    <xf numFmtId="247" fontId="83" fillId="8" borderId="11" xfId="15" applyFont="true" applyBorder="true" applyAlignment="true" applyProtection="true">
      <alignment horizontal="general" vertical="bottom" textRotation="0" wrapText="false" indent="0" shrinkToFit="false"/>
      <protection locked="true" hidden="false"/>
    </xf>
    <xf numFmtId="164" fontId="70" fillId="0" borderId="10" xfId="0" applyFont="true" applyBorder="true" applyAlignment="true" applyProtection="true">
      <alignment horizontal="general" vertical="bottom" textRotation="0" wrapText="false" indent="0" shrinkToFit="false"/>
      <protection locked="true" hidden="false"/>
    </xf>
    <xf numFmtId="243" fontId="70" fillId="0" borderId="11" xfId="0" applyFont="true" applyBorder="true" applyAlignment="false" applyProtection="false">
      <alignment horizontal="general" vertical="bottom" textRotation="0" wrapText="false" indent="0" shrinkToFit="false"/>
      <protection locked="true" hidden="false"/>
    </xf>
    <xf numFmtId="243" fontId="72" fillId="0" borderId="0" xfId="0" applyFont="true" applyBorder="true" applyAlignment="false" applyProtection="false">
      <alignment horizontal="general" vertical="bottom" textRotation="0" wrapText="false" indent="0" shrinkToFit="false"/>
      <protection locked="true" hidden="false"/>
    </xf>
    <xf numFmtId="229" fontId="72" fillId="0" borderId="0" xfId="0" applyFont="true" applyBorder="true" applyAlignment="false" applyProtection="true">
      <alignment horizontal="general" vertical="bottom" textRotation="0" wrapText="false" indent="0" shrinkToFit="false"/>
      <protection locked="true" hidden="false"/>
    </xf>
    <xf numFmtId="229" fontId="72" fillId="0" borderId="0" xfId="0" applyFont="true" applyBorder="true" applyAlignment="true" applyProtection="true">
      <alignment horizontal="right" vertical="bottom" textRotation="0" wrapText="false" indent="0" shrinkToFit="false"/>
      <protection locked="true" hidden="false"/>
    </xf>
    <xf numFmtId="229" fontId="70" fillId="0" borderId="11" xfId="0" applyFont="true" applyBorder="true" applyAlignment="false" applyProtection="false">
      <alignment horizontal="general" vertical="bottom" textRotation="0" wrapText="false" indent="0" shrinkToFit="false"/>
      <protection locked="true" hidden="false"/>
    </xf>
    <xf numFmtId="164" fontId="78" fillId="0" borderId="6" xfId="0" applyFont="true" applyBorder="true" applyAlignment="false" applyProtection="false">
      <alignment horizontal="general" vertical="bottom" textRotation="0" wrapText="false" indent="0" shrinkToFit="false"/>
      <protection locked="true" hidden="false"/>
    </xf>
    <xf numFmtId="164" fontId="78" fillId="0" borderId="3" xfId="0" applyFont="true" applyBorder="true" applyAlignment="false" applyProtection="false">
      <alignment horizontal="general" vertical="bottom" textRotation="0" wrapText="false" indent="0" shrinkToFit="false"/>
      <protection locked="true" hidden="false"/>
    </xf>
    <xf numFmtId="243" fontId="72" fillId="0" borderId="3" xfId="19" applyFont="true" applyBorder="true" applyAlignment="true" applyProtection="true">
      <alignment horizontal="general" vertical="bottom" textRotation="0" wrapText="false" indent="0" shrinkToFit="false"/>
      <protection locked="true" hidden="false"/>
    </xf>
    <xf numFmtId="169" fontId="70" fillId="0" borderId="7" xfId="0" applyFont="true" applyBorder="true" applyAlignment="false" applyProtection="false">
      <alignment horizontal="general" vertical="bottom" textRotation="0" wrapText="false" indent="0" shrinkToFit="false"/>
      <protection locked="true" hidden="false"/>
    </xf>
    <xf numFmtId="244" fontId="72" fillId="0" borderId="0" xfId="19" applyFont="true" applyBorder="true" applyAlignment="true" applyProtection="true">
      <alignment horizontal="general" vertical="bottom" textRotation="0" wrapText="false" indent="0" shrinkToFit="false"/>
      <protection locked="true" hidden="false"/>
    </xf>
    <xf numFmtId="164" fontId="78" fillId="0" borderId="0" xfId="0" applyFont="true" applyBorder="false" applyAlignment="false" applyProtection="false">
      <alignment horizontal="general" vertical="bottom" textRotation="0" wrapText="false" indent="0" shrinkToFit="false"/>
      <protection locked="true" hidden="false"/>
    </xf>
    <xf numFmtId="244" fontId="72" fillId="0" borderId="11" xfId="19" applyFont="true" applyBorder="true" applyAlignment="true" applyProtection="true">
      <alignment horizontal="center" vertical="bottom" textRotation="0" wrapText="false" indent="0" shrinkToFit="false"/>
      <protection locked="true" hidden="false"/>
    </xf>
    <xf numFmtId="164" fontId="89" fillId="4" borderId="4" xfId="0" applyFont="true" applyBorder="true" applyAlignment="false" applyProtection="false">
      <alignment horizontal="general" vertical="bottom" textRotation="0" wrapText="false" indent="0" shrinkToFit="false"/>
      <protection locked="true" hidden="false"/>
    </xf>
    <xf numFmtId="164" fontId="28" fillId="4" borderId="9" xfId="0" applyFont="true" applyBorder="true" applyAlignment="false" applyProtection="false">
      <alignment horizontal="general" vertical="bottom" textRotation="0" wrapText="false" indent="0" shrinkToFit="false"/>
      <protection locked="true" hidden="false"/>
    </xf>
    <xf numFmtId="243" fontId="72" fillId="4" borderId="9" xfId="19" applyFont="true" applyBorder="true" applyAlignment="true" applyProtection="true">
      <alignment horizontal="general" vertical="bottom" textRotation="0" wrapText="false" indent="0" shrinkToFit="false"/>
      <protection locked="true" hidden="false"/>
    </xf>
    <xf numFmtId="243" fontId="70" fillId="4" borderId="9" xfId="19" applyFont="true" applyBorder="true" applyAlignment="true" applyProtection="true">
      <alignment horizontal="general" vertical="bottom" textRotation="0" wrapText="false" indent="0" shrinkToFit="false"/>
      <protection locked="true" hidden="false"/>
    </xf>
    <xf numFmtId="169" fontId="70" fillId="4" borderId="5" xfId="0" applyFont="true" applyBorder="true" applyAlignment="false" applyProtection="false">
      <alignment horizontal="general" vertical="bottom" textRotation="0" wrapText="false" indent="0" shrinkToFit="false"/>
      <protection locked="true" hidden="false"/>
    </xf>
    <xf numFmtId="243" fontId="70" fillId="7" borderId="0" xfId="19" applyFont="true" applyBorder="true" applyAlignment="true" applyProtection="true">
      <alignment horizontal="center" vertical="bottom" textRotation="0" wrapText="false" indent="0" shrinkToFit="false"/>
      <protection locked="false" hidden="false"/>
    </xf>
    <xf numFmtId="164" fontId="70" fillId="0" borderId="6" xfId="0" applyFont="true" applyBorder="true" applyAlignment="true" applyProtection="true">
      <alignment horizontal="general" vertical="bottom" textRotation="0" wrapText="false" indent="0" shrinkToFit="false"/>
      <protection locked="true" hidden="false"/>
    </xf>
    <xf numFmtId="229" fontId="78" fillId="0" borderId="3" xfId="0" applyFont="true" applyBorder="true" applyAlignment="false" applyProtection="true">
      <alignment horizontal="general" vertical="bottom" textRotation="0" wrapText="false" indent="0" shrinkToFit="false"/>
      <protection locked="true" hidden="false"/>
    </xf>
    <xf numFmtId="229" fontId="78" fillId="0" borderId="3" xfId="0" applyFont="true" applyBorder="true" applyAlignment="true" applyProtection="true">
      <alignment horizontal="right" vertical="bottom" textRotation="0" wrapText="false" indent="0" shrinkToFit="false"/>
      <protection locked="true" hidden="false"/>
    </xf>
    <xf numFmtId="229" fontId="70" fillId="0" borderId="7" xfId="0" applyFont="true" applyBorder="true" applyAlignment="false" applyProtection="false">
      <alignment horizontal="general" vertical="bottom" textRotation="0" wrapText="false" indent="0" shrinkToFit="false"/>
      <protection locked="true" hidden="false"/>
    </xf>
    <xf numFmtId="164" fontId="81" fillId="0" borderId="0" xfId="0" applyFont="true" applyBorder="true" applyAlignment="true" applyProtection="false">
      <alignment horizontal="center" vertical="bottom" textRotation="0" wrapText="false" indent="0" shrinkToFit="false"/>
      <protection locked="true" hidden="false"/>
    </xf>
    <xf numFmtId="242" fontId="81" fillId="0" borderId="0" xfId="19" applyFont="true" applyBorder="true" applyAlignment="true" applyProtection="true">
      <alignment horizontal="center" vertical="bottom" textRotation="0" wrapText="false" indent="0" shrinkToFit="false"/>
      <protection locked="true" hidden="false"/>
    </xf>
    <xf numFmtId="243" fontId="70" fillId="0" borderId="0" xfId="19" applyFont="true" applyBorder="true" applyAlignment="true" applyProtection="true">
      <alignment horizontal="general" vertical="bottom" textRotation="0" wrapText="false" indent="0" shrinkToFit="false"/>
      <protection locked="true" hidden="false"/>
    </xf>
    <xf numFmtId="164" fontId="97" fillId="0" borderId="11" xfId="0" applyFont="true" applyBorder="true" applyAlignment="true" applyProtection="false">
      <alignment horizontal="center" vertical="bottom" textRotation="0" wrapText="true" indent="0" shrinkToFit="false"/>
      <protection locked="true" hidden="false"/>
    </xf>
    <xf numFmtId="248" fontId="72" fillId="0" borderId="0" xfId="19" applyFont="true" applyBorder="true" applyAlignment="true" applyProtection="true">
      <alignment horizontal="center" vertical="bottom" textRotation="0" wrapText="false" indent="0" shrinkToFit="false"/>
      <protection locked="false" hidden="false"/>
    </xf>
    <xf numFmtId="164" fontId="70" fillId="0" borderId="0" xfId="0" applyFont="true" applyBorder="false" applyAlignment="true" applyProtection="true">
      <alignment horizontal="general" vertical="bottom" textRotation="0" wrapText="false" indent="0" shrinkToFit="false"/>
      <protection locked="true" hidden="false"/>
    </xf>
    <xf numFmtId="229" fontId="78" fillId="0" borderId="0" xfId="0" applyFont="true" applyBorder="false" applyAlignment="false" applyProtection="true">
      <alignment horizontal="general" vertical="bottom" textRotation="0" wrapText="false" indent="0" shrinkToFit="false"/>
      <protection locked="true" hidden="false"/>
    </xf>
    <xf numFmtId="229" fontId="78" fillId="0" borderId="0" xfId="0" applyFont="true" applyBorder="false" applyAlignment="true" applyProtection="true">
      <alignment horizontal="right" vertical="bottom" textRotation="0" wrapText="false" indent="0" shrinkToFit="false"/>
      <protection locked="true" hidden="false"/>
    </xf>
    <xf numFmtId="229" fontId="70" fillId="0" borderId="0" xfId="0" applyFont="true" applyBorder="false" applyAlignment="false" applyProtection="false">
      <alignment horizontal="general" vertical="bottom" textRotation="0" wrapText="false" indent="0" shrinkToFit="false"/>
      <protection locked="true" hidden="false"/>
    </xf>
    <xf numFmtId="193" fontId="79" fillId="0" borderId="0" xfId="0" applyFont="true" applyBorder="true" applyAlignment="false" applyProtection="false">
      <alignment horizontal="general" vertical="bottom" textRotation="0" wrapText="false" indent="0" shrinkToFit="false"/>
      <protection locked="true" hidden="false"/>
    </xf>
    <xf numFmtId="179" fontId="70" fillId="0" borderId="11" xfId="0" applyFont="true" applyBorder="true" applyAlignment="false" applyProtection="false">
      <alignment horizontal="general" vertical="bottom" textRotation="0" wrapText="false" indent="0" shrinkToFit="false"/>
      <protection locked="true" hidden="false"/>
    </xf>
    <xf numFmtId="246" fontId="70" fillId="0" borderId="0" xfId="0" applyFont="true" applyBorder="false" applyAlignment="false" applyProtection="true">
      <alignment horizontal="general" vertical="bottom" textRotation="0" wrapText="false" indent="0" shrinkToFit="false"/>
      <protection locked="true" hidden="false"/>
    </xf>
    <xf numFmtId="193" fontId="70" fillId="0" borderId="0" xfId="0" applyFont="true" applyBorder="true" applyAlignment="false" applyProtection="false">
      <alignment horizontal="general" vertical="bottom" textRotation="0" wrapText="false" indent="0" shrinkToFit="false"/>
      <protection locked="true" hidden="false"/>
    </xf>
    <xf numFmtId="248" fontId="72" fillId="8" borderId="0" xfId="19" applyFont="true" applyBorder="true" applyAlignment="true" applyProtection="true">
      <alignment horizontal="center" vertical="bottom" textRotation="0" wrapText="false" indent="0" shrinkToFit="false"/>
      <protection locked="true" hidden="false"/>
    </xf>
    <xf numFmtId="229" fontId="72" fillId="4" borderId="5" xfId="0" applyFont="true" applyBorder="true" applyAlignment="false" applyProtection="true">
      <alignment horizontal="general" vertical="bottom" textRotation="0" wrapText="false" indent="0" shrinkToFit="false"/>
      <protection locked="true" hidden="false"/>
    </xf>
    <xf numFmtId="249" fontId="70" fillId="0" borderId="0" xfId="0" applyFont="true" applyBorder="true" applyAlignment="false" applyProtection="false">
      <alignment horizontal="general" vertical="bottom" textRotation="0" wrapText="false" indent="0" shrinkToFit="false"/>
      <protection locked="true" hidden="false"/>
    </xf>
    <xf numFmtId="229" fontId="72" fillId="0" borderId="11" xfId="0" applyFont="true" applyBorder="true" applyAlignment="true" applyProtection="true">
      <alignment horizontal="right" vertical="bottom" textRotation="0" wrapText="false" indent="0" shrinkToFit="false"/>
      <protection locked="true" hidden="false"/>
    </xf>
    <xf numFmtId="249" fontId="83" fillId="0" borderId="0" xfId="0" applyFont="true" applyBorder="true" applyAlignment="false" applyProtection="false">
      <alignment horizontal="general" vertical="bottom" textRotation="0" wrapText="false" indent="0" shrinkToFit="false"/>
      <protection locked="true" hidden="false"/>
    </xf>
    <xf numFmtId="164" fontId="70" fillId="0" borderId="6" xfId="0" applyFont="true" applyBorder="true" applyAlignment="true" applyProtection="true">
      <alignment horizontal="left" vertical="bottom" textRotation="0" wrapText="false" indent="0" shrinkToFit="false"/>
      <protection locked="true" hidden="false"/>
    </xf>
    <xf numFmtId="164" fontId="78" fillId="0" borderId="3" xfId="0" applyFont="true" applyBorder="true" applyAlignment="true" applyProtection="false">
      <alignment horizontal="center" vertical="bottom" textRotation="0" wrapText="false" indent="0" shrinkToFit="false"/>
      <protection locked="true" hidden="false"/>
    </xf>
    <xf numFmtId="249" fontId="86" fillId="0" borderId="7" xfId="17" applyFont="true" applyBorder="true" applyAlignment="true" applyProtection="true">
      <alignment horizontal="general" vertical="bottom" textRotation="0" wrapText="false" indent="0" shrinkToFit="false"/>
      <protection locked="true" hidden="false"/>
    </xf>
    <xf numFmtId="247" fontId="70" fillId="0" borderId="11" xfId="15" applyFont="true" applyBorder="true" applyAlignment="true" applyProtection="true">
      <alignment horizontal="right" vertical="bottom" textRotation="0" wrapText="false" indent="0" shrinkToFit="false"/>
      <protection locked="true" hidden="false"/>
    </xf>
    <xf numFmtId="246" fontId="72" fillId="0" borderId="3" xfId="0" applyFont="true" applyBorder="true" applyAlignment="false" applyProtection="false">
      <alignment horizontal="general" vertical="bottom" textRotation="0" wrapText="false" indent="0" shrinkToFit="false"/>
      <protection locked="true" hidden="false"/>
    </xf>
    <xf numFmtId="248" fontId="72" fillId="0" borderId="7" xfId="0" applyFont="true" applyBorder="true" applyAlignment="false" applyProtection="false">
      <alignment horizontal="general" vertical="bottom" textRotation="0" wrapText="false" indent="0" shrinkToFit="false"/>
      <protection locked="true" hidden="false"/>
    </xf>
    <xf numFmtId="257" fontId="72" fillId="0" borderId="11" xfId="0" applyFont="true" applyBorder="true" applyAlignment="true" applyProtection="false">
      <alignment horizontal="right" vertical="bottom" textRotation="0" wrapText="false" indent="0" shrinkToFit="false"/>
      <protection locked="true" hidden="false"/>
    </xf>
    <xf numFmtId="164" fontId="79" fillId="0" borderId="10" xfId="0" applyFont="true" applyBorder="true" applyAlignment="false" applyProtection="false">
      <alignment horizontal="general" vertical="bottom" textRotation="0" wrapText="false" indent="0" shrinkToFit="false"/>
      <protection locked="true" hidden="false"/>
    </xf>
    <xf numFmtId="248" fontId="72" fillId="0" borderId="11" xfId="0" applyFont="true" applyBorder="true" applyAlignment="false" applyProtection="false">
      <alignment horizontal="general" vertical="bottom" textRotation="0" wrapText="false" indent="0" shrinkToFit="false"/>
      <protection locked="true" hidden="false"/>
    </xf>
    <xf numFmtId="193" fontId="83" fillId="0" borderId="0" xfId="0" applyFont="true" applyBorder="true" applyAlignment="false" applyProtection="false">
      <alignment horizontal="general" vertical="bottom" textRotation="0" wrapText="false" indent="0" shrinkToFit="false"/>
      <protection locked="true" hidden="false"/>
    </xf>
    <xf numFmtId="179" fontId="83" fillId="0" borderId="11" xfId="0" applyFont="true" applyBorder="true" applyAlignment="false" applyProtection="false">
      <alignment horizontal="general" vertical="bottom" textRotation="0" wrapText="false" indent="0" shrinkToFit="false"/>
      <protection locked="true" hidden="false"/>
    </xf>
    <xf numFmtId="247" fontId="72" fillId="0" borderId="7" xfId="0" applyFont="true" applyBorder="true" applyAlignment="false" applyProtection="false">
      <alignment horizontal="general" vertical="bottom" textRotation="0" wrapText="false" indent="0" shrinkToFit="false"/>
      <protection locked="true" hidden="false"/>
    </xf>
    <xf numFmtId="247" fontId="72" fillId="0" borderId="0" xfId="0" applyFont="true" applyBorder="true" applyAlignment="false" applyProtection="false">
      <alignment horizontal="general" vertical="bottom" textRotation="0" wrapText="false" indent="0" shrinkToFit="false"/>
      <protection locked="true" hidden="false"/>
    </xf>
    <xf numFmtId="164" fontId="86" fillId="0" borderId="12" xfId="0" applyFont="true" applyBorder="true" applyAlignment="false" applyProtection="false">
      <alignment horizontal="general" vertical="bottom" textRotation="0" wrapText="false" indent="0" shrinkToFit="false"/>
      <protection locked="true" hidden="false"/>
    </xf>
    <xf numFmtId="249" fontId="79" fillId="0" borderId="14" xfId="0" applyFont="true" applyBorder="true" applyAlignment="false" applyProtection="false">
      <alignment horizontal="general" vertical="bottom" textRotation="0" wrapText="false" indent="0" shrinkToFit="false"/>
      <protection locked="true" hidden="false"/>
    </xf>
    <xf numFmtId="164" fontId="79" fillId="0" borderId="14" xfId="0" applyFont="true" applyBorder="true" applyAlignment="true" applyProtection="false">
      <alignment horizontal="center" vertical="bottom" textRotation="0" wrapText="false" indent="0" shrinkToFit="false"/>
      <protection locked="true" hidden="false"/>
    </xf>
    <xf numFmtId="193" fontId="79" fillId="0" borderId="14" xfId="0" applyFont="true" applyBorder="true" applyAlignment="false" applyProtection="false">
      <alignment horizontal="general" vertical="bottom" textRotation="0" wrapText="false" indent="0" shrinkToFit="false"/>
      <protection locked="true" hidden="false"/>
    </xf>
    <xf numFmtId="164" fontId="70" fillId="0" borderId="14" xfId="0" applyFont="true" applyBorder="true" applyAlignment="false" applyProtection="false">
      <alignment horizontal="general" vertical="bottom" textRotation="0" wrapText="false" indent="0" shrinkToFit="false"/>
      <protection locked="true" hidden="false"/>
    </xf>
    <xf numFmtId="179" fontId="70" fillId="0" borderId="13" xfId="0" applyFont="true" applyBorder="true" applyAlignment="false" applyProtection="false">
      <alignment horizontal="general" vertical="bottom" textRotation="0" wrapText="false" indent="0" shrinkToFit="false"/>
      <protection locked="true" hidden="false"/>
    </xf>
    <xf numFmtId="169" fontId="70" fillId="0" borderId="0" xfId="0" applyFont="true" applyBorder="false" applyAlignment="false" applyProtection="false">
      <alignment horizontal="general" vertical="bottom" textRotation="0" wrapText="false" indent="0" shrinkToFit="false"/>
      <protection locked="true" hidden="false"/>
    </xf>
    <xf numFmtId="244" fontId="90" fillId="0" borderId="11" xfId="19" applyFont="true" applyBorder="true" applyAlignment="true" applyProtection="true">
      <alignment horizontal="center" vertical="bottom" textRotation="0" wrapText="false" indent="0" shrinkToFit="false"/>
      <protection locked="true" hidden="false"/>
    </xf>
    <xf numFmtId="164" fontId="72" fillId="4" borderId="9" xfId="0" applyFont="true" applyBorder="true" applyAlignment="true" applyProtection="false">
      <alignment horizontal="right" vertical="bottom" textRotation="0" wrapText="false" indent="0" shrinkToFit="false"/>
      <protection locked="true" hidden="false"/>
    </xf>
    <xf numFmtId="164" fontId="79" fillId="0" borderId="0" xfId="0" applyFont="true" applyBorder="true" applyAlignment="true" applyProtection="true">
      <alignment horizontal="center" vertical="bottom" textRotation="0" wrapText="false" indent="0" shrinkToFit="false"/>
      <protection locked="true" hidden="false"/>
    </xf>
    <xf numFmtId="164" fontId="79" fillId="0" borderId="11" xfId="0" applyFont="true" applyBorder="true" applyAlignment="true" applyProtection="true">
      <alignment horizontal="center" vertical="bottom" textRotation="0" wrapText="false" indent="0" shrinkToFit="false"/>
      <protection locked="true" hidden="false"/>
    </xf>
    <xf numFmtId="252" fontId="72" fillId="0" borderId="3" xfId="15" applyFont="true" applyBorder="true" applyAlignment="true" applyProtection="true">
      <alignment horizontal="right" vertical="bottom" textRotation="0" wrapText="false" indent="0" shrinkToFit="false"/>
      <protection locked="true" hidden="false"/>
    </xf>
    <xf numFmtId="164" fontId="71" fillId="0" borderId="7" xfId="0" applyFont="true" applyBorder="true" applyAlignment="false" applyProtection="false">
      <alignment horizontal="general" vertical="bottom" textRotation="0" wrapText="false" indent="0" shrinkToFit="false"/>
      <protection locked="true" hidden="false"/>
    </xf>
    <xf numFmtId="257" fontId="72" fillId="0" borderId="11" xfId="0" applyFont="true" applyBorder="true" applyAlignment="false" applyProtection="false">
      <alignment horizontal="general" vertical="bottom" textRotation="0" wrapText="false" indent="0" shrinkToFit="false"/>
      <protection locked="true" hidden="false"/>
    </xf>
    <xf numFmtId="164" fontId="97" fillId="0" borderId="10" xfId="0" applyFont="true" applyBorder="true" applyAlignment="true" applyProtection="true">
      <alignment horizontal="center" vertical="bottom" textRotation="0" wrapText="false" indent="0" shrinkToFit="false"/>
      <protection locked="true" hidden="false"/>
    </xf>
    <xf numFmtId="164" fontId="83" fillId="0" borderId="0" xfId="0" applyFont="true" applyBorder="true" applyAlignment="false" applyProtection="false">
      <alignment horizontal="general" vertical="bottom" textRotation="0" wrapText="false" indent="0" shrinkToFit="false"/>
      <protection locked="true" hidden="false"/>
    </xf>
    <xf numFmtId="164" fontId="70" fillId="0" borderId="10" xfId="0" applyFont="true" applyBorder="true" applyAlignment="true" applyProtection="true">
      <alignment horizontal="center" vertical="bottom" textRotation="0" wrapText="false" indent="0" shrinkToFit="false"/>
      <protection locked="true" hidden="false"/>
    </xf>
    <xf numFmtId="243" fontId="70" fillId="0" borderId="0" xfId="0" applyFont="true" applyBorder="true" applyAlignment="true" applyProtection="true">
      <alignment horizontal="center" vertical="bottom" textRotation="0" wrapText="false" indent="0" shrinkToFit="false"/>
      <protection locked="true" hidden="false"/>
    </xf>
    <xf numFmtId="243" fontId="70" fillId="0" borderId="11" xfId="0" applyFont="true" applyBorder="true" applyAlignment="true" applyProtection="true">
      <alignment horizontal="center" vertical="bottom" textRotation="0" wrapText="false" indent="0" shrinkToFit="false"/>
      <protection locked="true" hidden="false"/>
    </xf>
    <xf numFmtId="164" fontId="71" fillId="4" borderId="5" xfId="0" applyFont="true" applyBorder="true" applyAlignment="false" applyProtection="false">
      <alignment horizontal="general" vertical="bottom" textRotation="0" wrapText="false" indent="0" shrinkToFit="false"/>
      <protection locked="true" hidden="false"/>
    </xf>
    <xf numFmtId="242" fontId="96" fillId="0" borderId="11" xfId="15" applyFont="true" applyBorder="true" applyAlignment="true" applyProtection="true">
      <alignment horizontal="right" vertical="bottom" textRotation="0" wrapText="false" indent="0" shrinkToFit="false"/>
      <protection locked="true" hidden="false"/>
    </xf>
    <xf numFmtId="243" fontId="72" fillId="0" borderId="0" xfId="0" applyFont="true" applyBorder="true" applyAlignment="false" applyProtection="true">
      <alignment horizontal="general" vertical="bottom" textRotation="0" wrapText="false" indent="0" shrinkToFit="false"/>
      <protection locked="false" hidden="false"/>
    </xf>
    <xf numFmtId="243" fontId="85" fillId="7" borderId="0" xfId="0" applyFont="true" applyBorder="true" applyAlignment="true" applyProtection="true">
      <alignment horizontal="right" vertical="bottom" textRotation="0" wrapText="false" indent="0" shrinkToFit="false"/>
      <protection locked="false" hidden="false"/>
    </xf>
    <xf numFmtId="164" fontId="91" fillId="0" borderId="0" xfId="0" applyFont="true" applyBorder="true" applyAlignment="false" applyProtection="false">
      <alignment horizontal="general" vertical="bottom" textRotation="0" wrapText="false" indent="0" shrinkToFit="false"/>
      <protection locked="true" hidden="false"/>
    </xf>
    <xf numFmtId="164" fontId="70" fillId="0" borderId="11" xfId="0" applyFont="true" applyBorder="true" applyAlignment="true" applyProtection="false">
      <alignment horizontal="right" vertical="bottom" textRotation="0" wrapText="false" indent="0" shrinkToFit="false"/>
      <protection locked="true" hidden="false"/>
    </xf>
    <xf numFmtId="164" fontId="70" fillId="0" borderId="0" xfId="0" applyFont="true" applyBorder="true" applyAlignment="true" applyProtection="true">
      <alignment horizontal="center" vertical="bottom" textRotation="0" wrapText="false" indent="0" shrinkToFit="false"/>
      <protection locked="true" hidden="false"/>
    </xf>
    <xf numFmtId="164" fontId="70" fillId="0" borderId="11" xfId="0" applyFont="true" applyBorder="true" applyAlignment="true" applyProtection="true">
      <alignment horizontal="center" vertical="bottom" textRotation="0" wrapText="false" indent="0" shrinkToFit="false"/>
      <protection locked="true" hidden="false"/>
    </xf>
    <xf numFmtId="243" fontId="78" fillId="0" borderId="0" xfId="1139" applyFont="true" applyBorder="true" applyAlignment="false" applyProtection="true">
      <alignment horizontal="general" vertical="bottom" textRotation="0" wrapText="false" indent="0" shrinkToFit="false"/>
      <protection locked="false" hidden="false"/>
    </xf>
    <xf numFmtId="164" fontId="72" fillId="0" borderId="7" xfId="0" applyFont="true" applyBorder="true" applyAlignment="true" applyProtection="false">
      <alignment horizontal="right" vertical="bottom" textRotation="0" wrapText="false" indent="0" shrinkToFit="false"/>
      <protection locked="true" hidden="false"/>
    </xf>
    <xf numFmtId="243" fontId="98" fillId="0" borderId="11" xfId="19" applyFont="true" applyBorder="true" applyAlignment="true" applyProtection="true">
      <alignment horizontal="right" vertical="bottom" textRotation="0" wrapText="false" indent="0" shrinkToFit="false"/>
      <protection locked="true" hidden="false"/>
    </xf>
    <xf numFmtId="235" fontId="57" fillId="0" borderId="0" xfId="1238" applyFont="true" applyBorder="true" applyAlignment="true" applyProtection="true">
      <alignment horizontal="right" vertical="bottom" textRotation="0" wrapText="false" indent="0" shrinkToFit="false"/>
      <protection locked="true" hidden="false"/>
    </xf>
    <xf numFmtId="164" fontId="97" fillId="0" borderId="0" xfId="0" applyFont="true" applyBorder="false" applyAlignment="false" applyProtection="false">
      <alignment horizontal="general" vertical="bottom" textRotation="0" wrapText="false" indent="0" shrinkToFit="false"/>
      <protection locked="true" hidden="false"/>
    </xf>
    <xf numFmtId="164" fontId="79" fillId="0" borderId="0" xfId="0" applyFont="true" applyBorder="false" applyAlignment="false" applyProtection="false">
      <alignment horizontal="general" vertical="bottom" textRotation="0" wrapText="false" indent="0" shrinkToFit="false"/>
      <protection locked="true" hidden="false"/>
    </xf>
    <xf numFmtId="251" fontId="99" fillId="0" borderId="11" xfId="0" applyFont="true" applyBorder="true" applyAlignment="false" applyProtection="true">
      <alignment horizontal="general" vertical="bottom" textRotation="0" wrapText="false" indent="0" shrinkToFit="false"/>
      <protection locked="false" hidden="false"/>
    </xf>
    <xf numFmtId="246" fontId="70" fillId="0" borderId="0" xfId="19" applyFont="true" applyBorder="true" applyAlignment="true" applyProtection="true">
      <alignment horizontal="center" vertical="bottom" textRotation="0" wrapText="false" indent="0" shrinkToFit="false"/>
      <protection locked="true" hidden="false"/>
    </xf>
    <xf numFmtId="246" fontId="70" fillId="0" borderId="11" xfId="19" applyFont="true" applyBorder="true" applyAlignment="true" applyProtection="true">
      <alignment horizontal="center" vertical="bottom" textRotation="0" wrapText="false" indent="0" shrinkToFit="false"/>
      <protection locked="true" hidden="false"/>
    </xf>
    <xf numFmtId="243" fontId="72" fillId="7" borderId="0" xfId="0" applyFont="true" applyBorder="true" applyAlignment="false" applyProtection="true">
      <alignment horizontal="general" vertical="bottom" textRotation="0" wrapText="false" indent="0" shrinkToFit="false"/>
      <protection locked="false" hidden="false"/>
    </xf>
    <xf numFmtId="247" fontId="79" fillId="0" borderId="0" xfId="15" applyFont="true" applyBorder="true" applyAlignment="true" applyProtection="true">
      <alignment horizontal="general" vertical="bottom" textRotation="0" wrapText="false" indent="0" shrinkToFit="false"/>
      <protection locked="true" hidden="false"/>
    </xf>
    <xf numFmtId="243" fontId="72" fillId="7" borderId="3" xfId="0" applyFont="true" applyBorder="true" applyAlignment="false" applyProtection="true">
      <alignment horizontal="general" vertical="bottom" textRotation="0" wrapText="false" indent="0" shrinkToFit="false"/>
      <protection locked="false" hidden="false"/>
    </xf>
    <xf numFmtId="251" fontId="99" fillId="0" borderId="7" xfId="0" applyFont="true" applyBorder="true" applyAlignment="false" applyProtection="true">
      <alignment horizontal="general" vertical="bottom" textRotation="0" wrapText="false" indent="0" shrinkToFit="false"/>
      <protection locked="false" hidden="false"/>
    </xf>
    <xf numFmtId="164" fontId="70" fillId="0" borderId="6" xfId="0" applyFont="true" applyBorder="true" applyAlignment="true" applyProtection="true">
      <alignment horizontal="center" vertical="bottom" textRotation="0" wrapText="false" indent="0" shrinkToFit="false"/>
      <protection locked="true" hidden="false"/>
    </xf>
    <xf numFmtId="164" fontId="70" fillId="0" borderId="3" xfId="0" applyFont="true" applyBorder="true" applyAlignment="true" applyProtection="false">
      <alignment horizontal="center" vertical="bottom" textRotation="0" wrapText="false" indent="0" shrinkToFit="false"/>
      <protection locked="true" hidden="false"/>
    </xf>
    <xf numFmtId="170" fontId="70" fillId="0" borderId="3" xfId="19" applyFont="true" applyBorder="true" applyAlignment="true" applyProtection="true">
      <alignment horizontal="center" vertical="bottom" textRotation="0" wrapText="false" indent="0" shrinkToFit="false"/>
      <protection locked="true" hidden="false"/>
    </xf>
    <xf numFmtId="246" fontId="70" fillId="0" borderId="3" xfId="19" applyFont="true" applyBorder="true" applyAlignment="true" applyProtection="true">
      <alignment horizontal="center" vertical="bottom" textRotation="0" wrapText="false" indent="0" shrinkToFit="false"/>
      <protection locked="true" hidden="false"/>
    </xf>
    <xf numFmtId="170" fontId="70" fillId="0" borderId="7" xfId="19" applyFont="true" applyBorder="true" applyAlignment="true" applyProtection="true">
      <alignment horizontal="center" vertical="bottom" textRotation="0" wrapText="false" indent="0" shrinkToFit="false"/>
      <protection locked="true" hidden="false"/>
    </xf>
    <xf numFmtId="243" fontId="70" fillId="0" borderId="0" xfId="0" applyFont="true" applyBorder="false" applyAlignment="false" applyProtection="false">
      <alignment horizontal="general" vertical="bottom" textRotation="0" wrapText="false" indent="0" shrinkToFit="false"/>
      <protection locked="true" hidden="false"/>
    </xf>
    <xf numFmtId="164" fontId="98" fillId="0" borderId="0" xfId="0" applyFont="true" applyBorder="false" applyAlignment="true" applyProtection="false">
      <alignment horizontal="right" vertical="bottom" textRotation="0" wrapText="false" indent="0" shrinkToFit="false"/>
      <protection locked="true" hidden="false"/>
    </xf>
    <xf numFmtId="164" fontId="70" fillId="0" borderId="0" xfId="0" applyFont="true" applyBorder="false" applyAlignment="true" applyProtection="true">
      <alignment horizontal="center" vertical="bottom" textRotation="0" wrapText="false" indent="0" shrinkToFit="false"/>
      <protection locked="true" hidden="false"/>
    </xf>
    <xf numFmtId="164" fontId="70" fillId="0" borderId="0" xfId="0" applyFont="true" applyBorder="false" applyAlignment="true" applyProtection="false">
      <alignment horizontal="center" vertical="bottom" textRotation="0" wrapText="false" indent="0" shrinkToFit="false"/>
      <protection locked="true" hidden="false"/>
    </xf>
    <xf numFmtId="243" fontId="79" fillId="0" borderId="0" xfId="19" applyFont="true" applyBorder="true" applyAlignment="true" applyProtection="true">
      <alignment horizontal="general" vertical="bottom" textRotation="0" wrapText="false" indent="0" shrinkToFit="false"/>
      <protection locked="true" hidden="false"/>
    </xf>
    <xf numFmtId="164" fontId="97" fillId="0" borderId="12" xfId="0" applyFont="true" applyBorder="true" applyAlignment="false" applyProtection="false">
      <alignment horizontal="general" vertical="bottom" textRotation="0" wrapText="false" indent="0" shrinkToFit="false"/>
      <protection locked="true" hidden="false"/>
    </xf>
    <xf numFmtId="164" fontId="79" fillId="0" borderId="0" xfId="0" applyFont="true" applyBorder="false" applyAlignment="false" applyProtection="false">
      <alignment horizontal="general" vertical="bottom" textRotation="0" wrapText="false" indent="0" shrinkToFit="false"/>
      <protection locked="true" hidden="false"/>
    </xf>
    <xf numFmtId="164" fontId="79" fillId="0" borderId="0" xfId="0" applyFont="true" applyBorder="false" applyAlignment="true" applyProtection="false">
      <alignment horizontal="right" vertical="bottom" textRotation="0" wrapText="false" indent="0" shrinkToFit="false"/>
      <protection locked="true" hidden="false"/>
    </xf>
    <xf numFmtId="246" fontId="70" fillId="0" borderId="0" xfId="0" applyFont="true" applyBorder="false" applyAlignment="true" applyProtection="false">
      <alignment horizontal="center" vertical="bottom" textRotation="0" wrapText="false" indent="0" shrinkToFit="false"/>
      <protection locked="true" hidden="false"/>
    </xf>
    <xf numFmtId="164" fontId="72" fillId="0" borderId="0" xfId="0" applyFont="true" applyBorder="false" applyAlignment="false" applyProtection="true">
      <alignment horizontal="general" vertical="bottom" textRotation="0" wrapText="false" indent="0" shrinkToFit="false"/>
      <protection locked="false" hidden="false"/>
    </xf>
    <xf numFmtId="164" fontId="93" fillId="0" borderId="4" xfId="0" applyFont="true" applyBorder="true" applyAlignment="false" applyProtection="false">
      <alignment horizontal="general" vertical="bottom" textRotation="0" wrapText="false" indent="0" shrinkToFit="false"/>
      <protection locked="true" hidden="false"/>
    </xf>
    <xf numFmtId="164" fontId="70" fillId="0" borderId="9" xfId="0" applyFont="true" applyBorder="true" applyAlignment="false" applyProtection="false">
      <alignment horizontal="general" vertical="bottom" textRotation="0" wrapText="false" indent="0" shrinkToFit="false"/>
      <protection locked="true" hidden="false"/>
    </xf>
    <xf numFmtId="164" fontId="70" fillId="0" borderId="5" xfId="0" applyFont="true" applyBorder="true" applyAlignment="false" applyProtection="false">
      <alignment horizontal="general" vertical="bottom" textRotation="0" wrapText="false" indent="0" shrinkToFit="false"/>
      <protection locked="true" hidden="false"/>
    </xf>
    <xf numFmtId="229" fontId="70" fillId="0" borderId="0" xfId="0" applyFont="true" applyBorder="false" applyAlignment="false" applyProtection="false">
      <alignment horizontal="general" vertical="bottom" textRotation="0" wrapText="false" indent="0" shrinkToFit="false"/>
      <protection locked="true" hidden="false"/>
    </xf>
    <xf numFmtId="164" fontId="70" fillId="0" borderId="15" xfId="0" applyFont="true" applyBorder="true" applyAlignment="false" applyProtection="false">
      <alignment horizontal="general" vertical="bottom" textRotation="0" wrapText="false" indent="0" shrinkToFit="false"/>
      <protection locked="true" hidden="false"/>
    </xf>
    <xf numFmtId="164" fontId="70" fillId="0" borderId="16" xfId="0" applyFont="true" applyBorder="true" applyAlignment="false" applyProtection="false">
      <alignment horizontal="general" vertical="bottom" textRotation="0" wrapText="false" indent="0" shrinkToFit="false"/>
      <protection locked="true" hidden="false"/>
    </xf>
    <xf numFmtId="164" fontId="93" fillId="0" borderId="17" xfId="0" applyFont="true" applyBorder="true" applyAlignment="true" applyProtection="true">
      <alignment horizontal="center" vertical="bottom" textRotation="0" wrapText="false" indent="0" shrinkToFit="false"/>
      <protection locked="true" hidden="false"/>
    </xf>
    <xf numFmtId="164" fontId="93" fillId="0" borderId="18" xfId="0" applyFont="true" applyBorder="true" applyAlignment="true" applyProtection="true">
      <alignment horizontal="center" vertical="bottom" textRotation="0" wrapText="false" indent="0" shrinkToFit="false"/>
      <protection locked="true" hidden="false"/>
    </xf>
    <xf numFmtId="249" fontId="93" fillId="0" borderId="17" xfId="0" applyFont="true" applyBorder="true" applyAlignment="true" applyProtection="false">
      <alignment horizontal="center" vertical="bottom" textRotation="0" wrapText="false" indent="0" shrinkToFit="false"/>
      <protection locked="true" hidden="false"/>
    </xf>
    <xf numFmtId="249" fontId="93" fillId="0" borderId="18" xfId="0" applyFont="true" applyBorder="true" applyAlignment="true" applyProtection="false">
      <alignment horizontal="center" vertical="bottom" textRotation="0" wrapText="false" indent="0" shrinkToFit="false"/>
      <protection locked="true" hidden="false"/>
    </xf>
    <xf numFmtId="247" fontId="93" fillId="0" borderId="19" xfId="15" applyFont="true" applyBorder="true" applyAlignment="true" applyProtection="true">
      <alignment horizontal="center" vertical="bottom" textRotation="0" wrapText="false" indent="0" shrinkToFit="false"/>
      <protection locked="true" hidden="false"/>
    </xf>
    <xf numFmtId="247" fontId="93" fillId="0" borderId="18" xfId="15" applyFont="true" applyBorder="true" applyAlignment="true" applyProtection="true">
      <alignment horizontal="center" vertical="bottom" textRotation="0" wrapText="false" indent="0" shrinkToFit="false"/>
      <protection locked="true" hidden="false"/>
    </xf>
    <xf numFmtId="249" fontId="28" fillId="9" borderId="20" xfId="17" applyFont="true" applyBorder="true" applyAlignment="true" applyProtection="true">
      <alignment horizontal="center" vertical="bottom" textRotation="0" wrapText="false" indent="0" shrinkToFit="false"/>
      <protection locked="true" hidden="false"/>
    </xf>
    <xf numFmtId="164" fontId="83" fillId="0" borderId="0" xfId="0" applyFont="true" applyBorder="false" applyAlignment="false" applyProtection="false">
      <alignment horizontal="general" vertical="bottom" textRotation="0" wrapText="false" indent="0" shrinkToFit="false"/>
      <protection locked="true" hidden="false"/>
    </xf>
    <xf numFmtId="244" fontId="59" fillId="2" borderId="4" xfId="19" applyFont="true" applyBorder="true" applyAlignment="true" applyProtection="true">
      <alignment horizontal="left" vertical="bottom" textRotation="0" wrapText="false" indent="0" shrinkToFit="false"/>
      <protection locked="true" hidden="false"/>
    </xf>
    <xf numFmtId="164" fontId="28" fillId="2" borderId="9" xfId="0" applyFont="true" applyBorder="true" applyAlignment="false" applyProtection="false">
      <alignment horizontal="general" vertical="bottom" textRotation="0" wrapText="false" indent="0" shrinkToFit="false"/>
      <protection locked="true" hidden="false"/>
    </xf>
    <xf numFmtId="164" fontId="28" fillId="2" borderId="5" xfId="0" applyFont="true" applyBorder="true" applyAlignment="false" applyProtection="false">
      <alignment horizontal="general" vertical="bottom" textRotation="0" wrapText="false" indent="0" shrinkToFit="false"/>
      <protection locked="true" hidden="false"/>
    </xf>
    <xf numFmtId="164" fontId="61" fillId="2" borderId="6" xfId="0" applyFont="true" applyBorder="true" applyAlignment="false" applyProtection="false">
      <alignment horizontal="general" vertical="bottom" textRotation="0" wrapText="false" indent="0" shrinkToFit="false"/>
      <protection locked="true" hidden="false"/>
    </xf>
    <xf numFmtId="164" fontId="28" fillId="2" borderId="3" xfId="0" applyFont="true" applyBorder="true" applyAlignment="false" applyProtection="false">
      <alignment horizontal="general" vertical="bottom" textRotation="0" wrapText="false" indent="0" shrinkToFit="false"/>
      <protection locked="true" hidden="false"/>
    </xf>
    <xf numFmtId="179" fontId="57" fillId="2" borderId="3" xfId="405" applyFont="true" applyBorder="true" applyAlignment="true" applyProtection="true">
      <alignment horizontal="general" vertical="bottom" textRotation="0" wrapText="false" indent="0" shrinkToFit="false"/>
      <protection locked="true" hidden="false"/>
    </xf>
    <xf numFmtId="164" fontId="28" fillId="2" borderId="7" xfId="0" applyFont="true" applyBorder="true" applyAlignment="false" applyProtection="false">
      <alignment horizontal="general" vertical="bottom" textRotation="0" wrapText="false" indent="0" shrinkToFit="false"/>
      <protection locked="true" hidden="false"/>
    </xf>
    <xf numFmtId="164" fontId="61" fillId="0" borderId="0"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79" fontId="57" fillId="0" borderId="0" xfId="405" applyFont="true" applyBorder="true" applyAlignment="true" applyProtection="true">
      <alignment horizontal="general" vertical="bottom" textRotation="0" wrapText="false" indent="0" shrinkToFit="false"/>
      <protection locked="true" hidden="false"/>
    </xf>
    <xf numFmtId="235" fontId="28" fillId="0" borderId="0" xfId="0" applyFont="true" applyBorder="false" applyAlignment="false" applyProtection="false">
      <alignment horizontal="general" vertical="bottom" textRotation="0" wrapText="false" indent="0" shrinkToFit="false"/>
      <protection locked="true" hidden="false"/>
    </xf>
    <xf numFmtId="164" fontId="28" fillId="0" borderId="4" xfId="0" applyFont="true" applyBorder="true" applyAlignment="false" applyProtection="false">
      <alignment horizontal="general" vertical="bottom" textRotation="0" wrapText="false" indent="0" shrinkToFit="false"/>
      <protection locked="true" hidden="false"/>
    </xf>
    <xf numFmtId="164" fontId="57" fillId="0" borderId="9" xfId="0" applyFont="true" applyBorder="true" applyAlignment="false" applyProtection="false">
      <alignment horizontal="general" vertical="bottom" textRotation="0" wrapText="false" indent="0" shrinkToFit="false"/>
      <protection locked="true" hidden="false"/>
    </xf>
    <xf numFmtId="259" fontId="108" fillId="2" borderId="9" xfId="0" applyFont="true" applyBorder="true" applyAlignment="false" applyProtection="true">
      <alignment horizontal="general" vertical="bottom" textRotation="0" wrapText="false" indent="0" shrinkToFit="false"/>
      <protection locked="true" hidden="false"/>
    </xf>
    <xf numFmtId="259" fontId="108" fillId="2" borderId="5" xfId="0" applyFont="true" applyBorder="true" applyAlignment="false" applyProtection="true">
      <alignment horizontal="general" vertical="bottom" textRotation="0" wrapText="false" indent="0" shrinkToFit="false"/>
      <protection locked="true" hidden="false"/>
    </xf>
    <xf numFmtId="259" fontId="108" fillId="0" borderId="0" xfId="0" applyFont="true" applyBorder="false" applyAlignment="false" applyProtection="true">
      <alignment horizontal="general" vertical="bottom" textRotation="0" wrapText="false" indent="0" shrinkToFit="false"/>
      <protection locked="true" hidden="false"/>
    </xf>
    <xf numFmtId="235" fontId="61" fillId="0" borderId="10" xfId="1238" applyFont="true" applyBorder="true" applyAlignment="true" applyProtection="true">
      <alignment horizontal="left"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252" fontId="57" fillId="0" borderId="0" xfId="15" applyFont="true" applyBorder="true" applyAlignment="true" applyProtection="true">
      <alignment horizontal="general" vertical="bottom" textRotation="0" wrapText="false" indent="0" shrinkToFit="false"/>
      <protection locked="true" hidden="false"/>
    </xf>
    <xf numFmtId="240" fontId="57" fillId="0" borderId="0" xfId="1238" applyFont="true" applyBorder="true" applyAlignment="true" applyProtection="true">
      <alignment horizontal="general" vertical="bottom" textRotation="0" wrapText="false" indent="0" shrinkToFit="false"/>
      <protection locked="true" hidden="false"/>
    </xf>
    <xf numFmtId="240" fontId="96" fillId="0" borderId="0" xfId="1238" applyFont="true" applyBorder="true" applyAlignment="true" applyProtection="true">
      <alignment horizontal="general" vertical="bottom" textRotation="0" wrapText="false" indent="0" shrinkToFit="false"/>
      <protection locked="true" hidden="false"/>
    </xf>
    <xf numFmtId="240" fontId="57" fillId="0" borderId="11" xfId="1238" applyFont="true" applyBorder="true" applyAlignment="true" applyProtection="true">
      <alignment horizontal="general" vertical="bottom" textRotation="0" wrapText="false" indent="0" shrinkToFit="false"/>
      <protection locked="true" hidden="false"/>
    </xf>
    <xf numFmtId="235" fontId="61" fillId="0" borderId="10" xfId="1238" applyFont="true" applyBorder="true" applyAlignment="true" applyProtection="true">
      <alignment horizontal="general" vertical="bottom" textRotation="0" wrapText="false" indent="0" shrinkToFit="false"/>
      <protection locked="true" hidden="false"/>
    </xf>
    <xf numFmtId="258" fontId="57" fillId="0" borderId="0" xfId="15" applyFont="true" applyBorder="true" applyAlignment="true" applyProtection="true">
      <alignment horizontal="right" vertical="bottom" textRotation="0" wrapText="false" indent="0" shrinkToFit="false"/>
      <protection locked="true" hidden="false"/>
    </xf>
    <xf numFmtId="244" fontId="57" fillId="0" borderId="0" xfId="19" applyFont="true" applyBorder="true" applyAlignment="true" applyProtection="true">
      <alignment horizontal="center" vertical="bottom" textRotation="0" wrapText="false" indent="0" shrinkToFit="false"/>
      <protection locked="true" hidden="false"/>
    </xf>
    <xf numFmtId="244" fontId="57" fillId="0" borderId="11" xfId="19" applyFont="true" applyBorder="true" applyAlignment="true" applyProtection="true">
      <alignment horizontal="center" vertical="bottom" textRotation="0" wrapText="false" indent="0" shrinkToFit="false"/>
      <protection locked="true" hidden="false"/>
    </xf>
    <xf numFmtId="235" fontId="61" fillId="0" borderId="6" xfId="1238" applyFont="true" applyBorder="true" applyAlignment="true" applyProtection="true">
      <alignment horizontal="general" vertical="bottom" textRotation="0" wrapText="false" indent="0" shrinkToFit="false"/>
      <protection locked="true" hidden="false"/>
    </xf>
    <xf numFmtId="258" fontId="57" fillId="0" borderId="3" xfId="0" applyFont="true" applyBorder="true" applyAlignment="false" applyProtection="false">
      <alignment horizontal="general" vertical="bottom" textRotation="0" wrapText="false" indent="0" shrinkToFit="false"/>
      <protection locked="true" hidden="false"/>
    </xf>
    <xf numFmtId="240" fontId="57" fillId="0" borderId="3" xfId="1238" applyFont="true" applyBorder="true" applyAlignment="true" applyProtection="true">
      <alignment horizontal="center" vertical="bottom" textRotation="0" wrapText="false" indent="0" shrinkToFit="false"/>
      <protection locked="true" hidden="false"/>
    </xf>
    <xf numFmtId="240" fontId="57" fillId="0" borderId="7" xfId="1238" applyFont="true" applyBorder="true" applyAlignment="true" applyProtection="true">
      <alignment horizontal="center" vertical="bottom" textRotation="0" wrapText="false" indent="0" shrinkToFit="false"/>
      <protection locked="true" hidden="false"/>
    </xf>
    <xf numFmtId="164" fontId="61" fillId="0" borderId="0" xfId="0" applyFont="true" applyBorder="false" applyAlignment="false" applyProtection="false">
      <alignment horizontal="general" vertical="bottom" textRotation="0" wrapText="false" indent="0" shrinkToFit="false"/>
      <protection locked="true" hidden="false"/>
    </xf>
    <xf numFmtId="258" fontId="96" fillId="0" borderId="0" xfId="15" applyFont="true" applyBorder="true" applyAlignment="true" applyProtection="true">
      <alignment horizontal="right" vertical="bottom" textRotation="0" wrapText="false" indent="0" shrinkToFit="false"/>
      <protection locked="true" hidden="false"/>
    </xf>
    <xf numFmtId="258" fontId="57" fillId="0" borderId="9" xfId="15" applyFont="true" applyBorder="true" applyAlignment="true" applyProtection="true">
      <alignment horizontal="right" vertical="bottom" textRotation="0" wrapText="false" indent="0" shrinkToFit="false"/>
      <protection locked="true" hidden="false"/>
    </xf>
    <xf numFmtId="258" fontId="57" fillId="0" borderId="5" xfId="15" applyFont="true" applyBorder="true" applyAlignment="true" applyProtection="true">
      <alignment horizontal="right" vertical="bottom" textRotation="0" wrapText="false" indent="0" shrinkToFit="false"/>
      <protection locked="true" hidden="false"/>
    </xf>
    <xf numFmtId="164" fontId="28" fillId="0" borderId="10" xfId="0" applyFont="true" applyBorder="true" applyAlignment="false" applyProtection="false">
      <alignment horizontal="general" vertical="bottom" textRotation="0" wrapText="false" indent="0" shrinkToFit="false"/>
      <protection locked="true" hidden="false"/>
    </xf>
    <xf numFmtId="258" fontId="57" fillId="0" borderId="11" xfId="15" applyFont="true" applyBorder="true" applyAlignment="true" applyProtection="true">
      <alignment horizontal="right" vertical="bottom" textRotation="0" wrapText="false" indent="0" shrinkToFit="false"/>
      <protection locked="true" hidden="false"/>
    </xf>
    <xf numFmtId="170" fontId="57" fillId="0" borderId="0" xfId="0" applyFont="true" applyBorder="true" applyAlignment="false" applyProtection="false">
      <alignment horizontal="general" vertical="bottom" textRotation="0" wrapText="false" indent="0" shrinkToFit="false"/>
      <protection locked="true" hidden="false"/>
    </xf>
    <xf numFmtId="193" fontId="96" fillId="0" borderId="0" xfId="15" applyFont="true" applyBorder="true" applyAlignment="true" applyProtection="true">
      <alignment horizontal="right" vertical="bottom" textRotation="0" wrapText="false" indent="0" shrinkToFit="false"/>
      <protection locked="true" hidden="false"/>
    </xf>
    <xf numFmtId="193" fontId="57" fillId="0" borderId="0" xfId="15" applyFont="true" applyBorder="true" applyAlignment="true" applyProtection="true">
      <alignment horizontal="right" vertical="bottom" textRotation="0" wrapText="false" indent="0" shrinkToFit="false"/>
      <protection locked="true" hidden="false"/>
    </xf>
    <xf numFmtId="193" fontId="57" fillId="0" borderId="11" xfId="15" applyFont="true" applyBorder="true" applyAlignment="true" applyProtection="true">
      <alignment horizontal="right" vertical="bottom" textRotation="0" wrapText="false" indent="0" shrinkToFit="false"/>
      <protection locked="true" hidden="false"/>
    </xf>
    <xf numFmtId="243" fontId="57" fillId="0" borderId="0" xfId="0" applyFont="true" applyBorder="true" applyAlignment="false" applyProtection="false">
      <alignment horizontal="general" vertical="bottom" textRotation="0" wrapText="false" indent="0" shrinkToFit="false"/>
      <protection locked="true" hidden="false"/>
    </xf>
    <xf numFmtId="258" fontId="96" fillId="0" borderId="0" xfId="15" applyFont="true" applyBorder="true" applyAlignment="true" applyProtection="true">
      <alignment horizontal="general" vertical="bottom" textRotation="0" wrapText="false" indent="0" shrinkToFit="false"/>
      <protection locked="true" hidden="false"/>
    </xf>
    <xf numFmtId="258" fontId="57" fillId="0" borderId="0" xfId="15" applyFont="true" applyBorder="true" applyAlignment="true" applyProtection="true">
      <alignment horizontal="general" vertical="bottom" textRotation="0" wrapText="false" indent="0" shrinkToFit="false"/>
      <protection locked="true" hidden="false"/>
    </xf>
    <xf numFmtId="258" fontId="57" fillId="0" borderId="11" xfId="15" applyFont="true" applyBorder="true" applyAlignment="true" applyProtection="true">
      <alignment horizontal="general" vertical="bottom" textRotation="0" wrapText="false" indent="0" shrinkToFit="false"/>
      <protection locked="true" hidden="false"/>
    </xf>
    <xf numFmtId="164" fontId="57" fillId="0" borderId="10" xfId="0" applyFont="true" applyBorder="true" applyAlignment="false" applyProtection="false">
      <alignment horizontal="general" vertical="bottom" textRotation="0" wrapText="false" indent="0" shrinkToFit="false"/>
      <protection locked="true" hidden="false"/>
    </xf>
    <xf numFmtId="244" fontId="57" fillId="0" borderId="0" xfId="15" applyFont="true" applyBorder="true" applyAlignment="true" applyProtection="true">
      <alignment horizontal="right" vertical="bottom" textRotation="0" wrapText="false" indent="0" shrinkToFit="false"/>
      <protection locked="true" hidden="false"/>
    </xf>
    <xf numFmtId="244" fontId="57" fillId="0" borderId="11" xfId="15" applyFont="true" applyBorder="true" applyAlignment="true" applyProtection="true">
      <alignment horizontal="right" vertical="bottom" textRotation="0" wrapText="false" indent="0" shrinkToFit="false"/>
      <protection locked="true" hidden="false"/>
    </xf>
    <xf numFmtId="164" fontId="76" fillId="0" borderId="10" xfId="0" applyFont="true" applyBorder="true" applyAlignment="false" applyProtection="false">
      <alignment horizontal="general" vertical="bottom" textRotation="0" wrapText="false" indent="0" shrinkToFit="false"/>
      <protection locked="true" hidden="false"/>
    </xf>
    <xf numFmtId="164" fontId="57" fillId="0" borderId="11" xfId="0" applyFont="true" applyBorder="true" applyAlignment="false" applyProtection="false">
      <alignment horizontal="general" vertical="bottom" textRotation="0" wrapText="false" indent="0" shrinkToFit="false"/>
      <protection locked="true" hidden="false"/>
    </xf>
    <xf numFmtId="235" fontId="57" fillId="0" borderId="10" xfId="1238" applyFont="true" applyBorder="true" applyAlignment="true" applyProtection="true">
      <alignment horizontal="left" vertical="bottom" textRotation="0" wrapText="false" indent="0" shrinkToFit="false"/>
      <protection locked="true" hidden="false"/>
    </xf>
    <xf numFmtId="235" fontId="57" fillId="0" borderId="0" xfId="1238" applyFont="true" applyBorder="true" applyAlignment="true" applyProtection="true">
      <alignment horizontal="general" vertical="bottom" textRotation="0" wrapText="false" indent="0" shrinkToFit="false"/>
      <protection locked="true" hidden="false"/>
    </xf>
    <xf numFmtId="180" fontId="57" fillId="0" borderId="0" xfId="405" applyFont="true" applyBorder="true" applyAlignment="true" applyProtection="true">
      <alignment horizontal="general" vertical="bottom" textRotation="0" wrapText="false" indent="0" shrinkToFit="false"/>
      <protection locked="true" hidden="false"/>
    </xf>
    <xf numFmtId="180" fontId="57" fillId="0" borderId="11" xfId="405" applyFont="true" applyBorder="true" applyAlignment="true" applyProtection="true">
      <alignment horizontal="general" vertical="bottom" textRotation="0" wrapText="false" indent="0" shrinkToFit="false"/>
      <protection locked="true" hidden="false"/>
    </xf>
    <xf numFmtId="235" fontId="57" fillId="0" borderId="10" xfId="1238" applyFont="true" applyBorder="true" applyAlignment="true" applyProtection="true">
      <alignment horizontal="general" vertical="bottom" textRotation="0" wrapText="false" indent="0" shrinkToFit="false"/>
      <protection locked="true" hidden="false"/>
    </xf>
    <xf numFmtId="257" fontId="57" fillId="0" borderId="0" xfId="405" applyFont="true" applyBorder="true" applyAlignment="true" applyProtection="true">
      <alignment horizontal="general" vertical="bottom" textRotation="0" wrapText="false" indent="0" shrinkToFit="false"/>
      <protection locked="true" hidden="false"/>
    </xf>
    <xf numFmtId="257" fontId="57" fillId="0" borderId="11" xfId="405" applyFont="true" applyBorder="true" applyAlignment="true" applyProtection="true">
      <alignment horizontal="general" vertical="bottom" textRotation="0" wrapText="false" indent="0" shrinkToFit="false"/>
      <protection locked="true" hidden="false"/>
    </xf>
    <xf numFmtId="257" fontId="109" fillId="0" borderId="0" xfId="405" applyFont="true" applyBorder="true" applyAlignment="true" applyProtection="true">
      <alignment horizontal="general" vertical="bottom" textRotation="0" wrapText="false" indent="0" shrinkToFit="false"/>
      <protection locked="true" hidden="false"/>
    </xf>
    <xf numFmtId="257" fontId="109" fillId="0" borderId="11" xfId="405" applyFont="true" applyBorder="true" applyAlignment="true" applyProtection="true">
      <alignment horizontal="general" vertical="bottom" textRotation="0" wrapText="false" indent="0" shrinkToFit="false"/>
      <protection locked="true" hidden="false"/>
    </xf>
    <xf numFmtId="235" fontId="57" fillId="0" borderId="6" xfId="1238" applyFont="true" applyBorder="true" applyAlignment="true" applyProtection="true">
      <alignment horizontal="left" vertical="bottom" textRotation="0" wrapText="false" indent="0" shrinkToFit="false"/>
      <protection locked="true" hidden="false"/>
    </xf>
    <xf numFmtId="235" fontId="57" fillId="0" borderId="3" xfId="1238" applyFont="true" applyBorder="true" applyAlignment="true" applyProtection="true">
      <alignment horizontal="general" vertical="bottom" textRotation="0" wrapText="false" indent="0" shrinkToFit="false"/>
      <protection locked="true" hidden="false"/>
    </xf>
    <xf numFmtId="257" fontId="57" fillId="0" borderId="3" xfId="405" applyFont="true" applyBorder="true" applyAlignment="true" applyProtection="true">
      <alignment horizontal="general" vertical="bottom" textRotation="0" wrapText="false" indent="0" shrinkToFit="false"/>
      <protection locked="true" hidden="false"/>
    </xf>
    <xf numFmtId="257" fontId="57" fillId="0" borderId="7" xfId="405" applyFont="true" applyBorder="true" applyAlignment="true" applyProtection="true">
      <alignment horizontal="general" vertical="bottom" textRotation="0" wrapText="false" indent="0" shrinkToFit="false"/>
      <protection locked="true" hidden="false"/>
    </xf>
    <xf numFmtId="235" fontId="57" fillId="0" borderId="0" xfId="1238" applyFont="true" applyBorder="true" applyAlignment="true" applyProtection="true">
      <alignment horizontal="left" vertical="bottom" textRotation="0" wrapText="false" indent="0" shrinkToFit="false"/>
      <protection locked="true" hidden="false"/>
    </xf>
    <xf numFmtId="164" fontId="76" fillId="0" borderId="4" xfId="0" applyFont="true" applyBorder="true" applyAlignment="false" applyProtection="false">
      <alignment horizontal="general" vertical="bottom" textRotation="0" wrapText="false" indent="0" shrinkToFit="false"/>
      <protection locked="true" hidden="false"/>
    </xf>
    <xf numFmtId="164" fontId="64" fillId="0" borderId="9" xfId="0" applyFont="true" applyBorder="true" applyAlignment="false" applyProtection="false">
      <alignment horizontal="general" vertical="bottom" textRotation="0" wrapText="false" indent="0" shrinkToFit="false"/>
      <protection locked="true" hidden="false"/>
    </xf>
    <xf numFmtId="164" fontId="64" fillId="0" borderId="5" xfId="0" applyFont="true" applyBorder="true" applyAlignment="false" applyProtection="false">
      <alignment horizontal="general" vertical="bottom" textRotation="0" wrapText="false" indent="0" shrinkToFit="false"/>
      <protection locked="true" hidden="false"/>
    </xf>
    <xf numFmtId="164" fontId="64" fillId="0" borderId="0" xfId="0" applyFont="true" applyBorder="true" applyAlignment="false" applyProtection="false">
      <alignment horizontal="general" vertical="bottom" textRotation="0" wrapText="false" indent="0" shrinkToFit="false"/>
      <protection locked="true" hidden="false"/>
    </xf>
    <xf numFmtId="164" fontId="64" fillId="0" borderId="10" xfId="0" applyFont="true" applyBorder="true" applyAlignment="false" applyProtection="false">
      <alignment horizontal="general" vertical="bottom" textRotation="0" wrapText="false" indent="0" shrinkToFit="false"/>
      <protection locked="true" hidden="false"/>
    </xf>
    <xf numFmtId="164" fontId="64" fillId="0" borderId="11" xfId="0" applyFont="true" applyBorder="true" applyAlignment="false" applyProtection="false">
      <alignment horizontal="general" vertical="bottom" textRotation="0" wrapText="false" indent="0" shrinkToFit="false"/>
      <protection locked="true" hidden="false"/>
    </xf>
    <xf numFmtId="249" fontId="57" fillId="0" borderId="21" xfId="0" applyFont="true" applyBorder="true" applyAlignment="false" applyProtection="false">
      <alignment horizontal="general" vertical="bottom" textRotation="0" wrapText="false" indent="0" shrinkToFit="false"/>
      <protection locked="true" hidden="false"/>
    </xf>
    <xf numFmtId="249" fontId="57" fillId="0" borderId="0" xfId="17" applyFont="true" applyBorder="true" applyAlignment="true" applyProtection="true">
      <alignment horizontal="general" vertical="bottom" textRotation="0" wrapText="false" indent="0" shrinkToFit="false"/>
      <protection locked="true" hidden="false"/>
    </xf>
    <xf numFmtId="249" fontId="57" fillId="0" borderId="11" xfId="17" applyFont="true" applyBorder="true" applyAlignment="true" applyProtection="true">
      <alignment horizontal="general" vertical="bottom" textRotation="0" wrapText="false" indent="0" shrinkToFit="false"/>
      <protection locked="true" hidden="false"/>
    </xf>
    <xf numFmtId="249" fontId="57" fillId="0" borderId="22" xfId="0" applyFont="true" applyBorder="true" applyAlignment="false" applyProtection="false">
      <alignment horizontal="general" vertical="bottom" textRotation="0" wrapText="false" indent="0" shrinkToFit="false"/>
      <protection locked="true" hidden="false"/>
    </xf>
    <xf numFmtId="185" fontId="57" fillId="0" borderId="0" xfId="916" applyFont="true" applyBorder="true" applyAlignment="true" applyProtection="true">
      <alignment horizontal="general" vertical="bottom" textRotation="0" wrapText="false" indent="0" shrinkToFit="false"/>
      <protection locked="true" hidden="false"/>
    </xf>
    <xf numFmtId="249" fontId="109" fillId="0" borderId="22" xfId="0" applyFont="true" applyBorder="true" applyAlignment="false" applyProtection="false">
      <alignment horizontal="general" vertical="bottom" textRotation="0" wrapText="false" indent="0" shrinkToFit="false"/>
      <protection locked="true" hidden="false"/>
    </xf>
    <xf numFmtId="249" fontId="109" fillId="0" borderId="0" xfId="17" applyFont="true" applyBorder="true" applyAlignment="true" applyProtection="true">
      <alignment horizontal="general" vertical="bottom" textRotation="0" wrapText="false" indent="0" shrinkToFit="false"/>
      <protection locked="true" hidden="false"/>
    </xf>
    <xf numFmtId="249" fontId="109" fillId="0" borderId="11" xfId="17" applyFont="true" applyBorder="true" applyAlignment="true" applyProtection="true">
      <alignment horizontal="general" vertical="bottom" textRotation="0" wrapText="false" indent="0" shrinkToFit="false"/>
      <protection locked="true" hidden="false"/>
    </xf>
    <xf numFmtId="185" fontId="109" fillId="0" borderId="0" xfId="916" applyFont="true" applyBorder="true" applyAlignment="true" applyProtection="true">
      <alignment horizontal="general" vertical="bottom" textRotation="0" wrapText="false" indent="0" shrinkToFit="false"/>
      <protection locked="true" hidden="false"/>
    </xf>
    <xf numFmtId="249" fontId="57" fillId="0" borderId="23" xfId="0" applyFont="true" applyBorder="true" applyAlignment="false" applyProtection="false">
      <alignment horizontal="general" vertical="bottom" textRotation="0" wrapText="false" indent="0" shrinkToFit="false"/>
      <protection locked="true" hidden="false"/>
    </xf>
    <xf numFmtId="185" fontId="57" fillId="0" borderId="11" xfId="916" applyFont="true" applyBorder="true" applyAlignment="true" applyProtection="true">
      <alignment horizontal="general" vertical="bottom" textRotation="0" wrapText="false" indent="0" shrinkToFit="false"/>
      <protection locked="true" hidden="false"/>
    </xf>
    <xf numFmtId="164" fontId="108" fillId="0" borderId="10" xfId="0" applyFont="true" applyBorder="true" applyAlignment="false" applyProtection="false">
      <alignment horizontal="general" vertical="bottom" textRotation="0" wrapText="false" indent="0" shrinkToFit="false"/>
      <protection locked="true" hidden="false"/>
    </xf>
    <xf numFmtId="235" fontId="57" fillId="0" borderId="21" xfId="1238" applyFont="true" applyBorder="true" applyAlignment="true" applyProtection="true">
      <alignment horizontal="general" vertical="bottom" textRotation="0" wrapText="false" indent="0" shrinkToFit="false"/>
      <protection locked="true" hidden="false"/>
    </xf>
    <xf numFmtId="235" fontId="57" fillId="0" borderId="0" xfId="1238" applyFont="true" applyBorder="true" applyAlignment="true" applyProtection="true">
      <alignment horizontal="general" vertical="bottom" textRotation="0" wrapText="false" indent="0" shrinkToFit="false"/>
      <protection locked="true" hidden="false"/>
    </xf>
    <xf numFmtId="235" fontId="57" fillId="0" borderId="11" xfId="1238" applyFont="true" applyBorder="true" applyAlignment="true" applyProtection="true">
      <alignment horizontal="general" vertical="bottom" textRotation="0" wrapText="false" indent="0" shrinkToFit="false"/>
      <protection locked="true" hidden="false"/>
    </xf>
    <xf numFmtId="235" fontId="57" fillId="0" borderId="23" xfId="1238" applyFont="true" applyBorder="true" applyAlignment="true" applyProtection="true">
      <alignment horizontal="general" vertical="bottom" textRotation="0" wrapText="false" indent="0" shrinkToFit="false"/>
      <protection locked="true" hidden="false"/>
    </xf>
    <xf numFmtId="247" fontId="57" fillId="0" borderId="0" xfId="916" applyFont="true" applyBorder="true" applyAlignment="true" applyProtection="true">
      <alignment horizontal="general" vertical="bottom" textRotation="0" wrapText="false" indent="0" shrinkToFit="false"/>
      <protection locked="true" hidden="false"/>
    </xf>
    <xf numFmtId="247" fontId="57" fillId="0" borderId="11" xfId="916" applyFont="true" applyBorder="true" applyAlignment="true" applyProtection="true">
      <alignment horizontal="general" vertical="bottom" textRotation="0" wrapText="false" indent="0" shrinkToFit="false"/>
      <protection locked="true" hidden="false"/>
    </xf>
    <xf numFmtId="164" fontId="28" fillId="0" borderId="11" xfId="0" applyFont="true" applyBorder="true" applyAlignment="false" applyProtection="false">
      <alignment horizontal="general" vertical="bottom" textRotation="0" wrapText="false" indent="0" shrinkToFit="false"/>
      <protection locked="true" hidden="false"/>
    </xf>
    <xf numFmtId="193" fontId="57" fillId="0" borderId="21" xfId="0" applyFont="true" applyBorder="true" applyAlignment="false" applyProtection="false">
      <alignment horizontal="general" vertical="bottom" textRotation="0" wrapText="false" indent="0" shrinkToFit="false"/>
      <protection locked="true" hidden="false"/>
    </xf>
    <xf numFmtId="217" fontId="57" fillId="0" borderId="0" xfId="17" applyFont="true" applyBorder="true" applyAlignment="true" applyProtection="true">
      <alignment horizontal="general" vertical="bottom" textRotation="0" wrapText="false" indent="0" shrinkToFit="false"/>
      <protection locked="true" hidden="false"/>
    </xf>
    <xf numFmtId="217" fontId="57" fillId="0" borderId="11" xfId="17" applyFont="true" applyBorder="true" applyAlignment="true" applyProtection="true">
      <alignment horizontal="general" vertical="bottom" textRotation="0" wrapText="false" indent="0" shrinkToFit="false"/>
      <protection locked="true" hidden="false"/>
    </xf>
    <xf numFmtId="193" fontId="57" fillId="0" borderId="22" xfId="0" applyFont="true" applyBorder="true" applyAlignment="false" applyProtection="false">
      <alignment horizontal="general" vertical="bottom" textRotation="0" wrapText="false" indent="0" shrinkToFit="false"/>
      <protection locked="true" hidden="false"/>
    </xf>
    <xf numFmtId="193" fontId="109" fillId="0" borderId="22" xfId="0" applyFont="true" applyBorder="true" applyAlignment="false" applyProtection="false">
      <alignment horizontal="general" vertical="bottom" textRotation="0" wrapText="false" indent="0" shrinkToFit="false"/>
      <protection locked="true" hidden="false"/>
    </xf>
    <xf numFmtId="193" fontId="109" fillId="0" borderId="0" xfId="15" applyFont="true" applyBorder="true" applyAlignment="true" applyProtection="true">
      <alignment horizontal="general" vertical="bottom" textRotation="0" wrapText="false" indent="0" shrinkToFit="false"/>
      <protection locked="true" hidden="false"/>
    </xf>
    <xf numFmtId="193" fontId="109" fillId="0" borderId="11" xfId="15" applyFont="true" applyBorder="true" applyAlignment="true" applyProtection="true">
      <alignment horizontal="general" vertical="bottom" textRotation="0" wrapText="false" indent="0" shrinkToFit="false"/>
      <protection locked="true" hidden="false"/>
    </xf>
    <xf numFmtId="164" fontId="57" fillId="0" borderId="22" xfId="0" applyFont="true" applyBorder="true" applyAlignment="false" applyProtection="false">
      <alignment horizontal="general" vertical="bottom" textRotation="0" wrapText="false" indent="0" shrinkToFit="false"/>
      <protection locked="true" hidden="false"/>
    </xf>
    <xf numFmtId="169" fontId="57" fillId="0" borderId="11" xfId="0" applyFont="true" applyBorder="true" applyAlignment="false" applyProtection="false">
      <alignment horizontal="general" vertical="bottom" textRotation="0" wrapText="false" indent="0" shrinkToFit="false"/>
      <protection locked="true" hidden="false"/>
    </xf>
    <xf numFmtId="169" fontId="57" fillId="0" borderId="0" xfId="0" applyFont="true" applyBorder="false" applyAlignment="false" applyProtection="false">
      <alignment horizontal="general" vertical="bottom" textRotation="0" wrapText="false" indent="0" shrinkToFit="false"/>
      <protection locked="true" hidden="false"/>
    </xf>
    <xf numFmtId="179" fontId="57" fillId="0" borderId="0" xfId="0" applyFont="true" applyBorder="false" applyAlignment="false" applyProtection="false">
      <alignment horizontal="general" vertical="bottom" textRotation="0" wrapText="false" indent="0" shrinkToFit="false"/>
      <protection locked="true" hidden="false"/>
    </xf>
    <xf numFmtId="193" fontId="57" fillId="0" borderId="23" xfId="0" applyFont="true" applyBorder="true" applyAlignment="false" applyProtection="false">
      <alignment horizontal="general" vertical="bottom" textRotation="0" wrapText="false" indent="0" shrinkToFit="false"/>
      <protection locked="true" hidden="false"/>
    </xf>
    <xf numFmtId="164" fontId="57" fillId="0" borderId="6" xfId="0" applyFont="true" applyBorder="true" applyAlignment="false" applyProtection="false">
      <alignment horizontal="general" vertical="bottom" textRotation="0" wrapText="false" indent="0" shrinkToFit="false"/>
      <protection locked="true" hidden="false"/>
    </xf>
    <xf numFmtId="217" fontId="57" fillId="0" borderId="3" xfId="17" applyFont="true" applyBorder="true" applyAlignment="true" applyProtection="true">
      <alignment horizontal="general" vertical="bottom" textRotation="0" wrapText="false" indent="0" shrinkToFit="false"/>
      <protection locked="true" hidden="false"/>
    </xf>
    <xf numFmtId="217" fontId="57" fillId="0" borderId="3" xfId="17" applyFont="true" applyBorder="true" applyAlignment="true" applyProtection="true">
      <alignment horizontal="general" vertical="bottom" textRotation="0" wrapText="false" indent="0" shrinkToFit="false"/>
      <protection locked="true" hidden="false"/>
    </xf>
    <xf numFmtId="217" fontId="57" fillId="0" borderId="7" xfId="17" applyFont="true" applyBorder="true" applyAlignment="true" applyProtection="true">
      <alignment horizontal="general" vertical="bottom" textRotation="0" wrapText="false" indent="0" shrinkToFit="false"/>
      <protection locked="true" hidden="false"/>
    </xf>
    <xf numFmtId="217" fontId="57" fillId="0" borderId="0" xfId="17" applyFont="true" applyBorder="true" applyAlignment="true" applyProtection="true">
      <alignment horizontal="general" vertical="bottom" textRotation="0" wrapText="false" indent="0" shrinkToFit="false"/>
      <protection locked="true" hidden="false"/>
    </xf>
    <xf numFmtId="243" fontId="28" fillId="0" borderId="0" xfId="19" applyFont="true" applyBorder="true" applyAlignment="true" applyProtection="true">
      <alignment horizontal="general" vertical="bottom" textRotation="0" wrapText="false" indent="0" shrinkToFit="false"/>
      <protection locked="true" hidden="false"/>
    </xf>
    <xf numFmtId="164" fontId="28" fillId="0" borderId="9" xfId="0" applyFont="true" applyBorder="true" applyAlignment="false" applyProtection="false">
      <alignment horizontal="general" vertical="bottom" textRotation="0" wrapText="false" indent="0" shrinkToFit="false"/>
      <protection locked="true" hidden="false"/>
    </xf>
    <xf numFmtId="243" fontId="28" fillId="0" borderId="9" xfId="19" applyFont="true" applyBorder="true" applyAlignment="true" applyProtection="true">
      <alignment horizontal="general" vertical="bottom" textRotation="0" wrapText="false" indent="0" shrinkToFit="false"/>
      <protection locked="true" hidden="false"/>
    </xf>
    <xf numFmtId="243" fontId="28" fillId="0" borderId="5" xfId="19" applyFont="true" applyBorder="true" applyAlignment="true" applyProtection="true">
      <alignment horizontal="general" vertical="bottom" textRotation="0" wrapText="false" indent="0" shrinkToFit="false"/>
      <protection locked="true" hidden="false"/>
    </xf>
    <xf numFmtId="258" fontId="57" fillId="0" borderId="10" xfId="0" applyFont="true" applyBorder="true" applyAlignment="false" applyProtection="false">
      <alignment horizontal="general" vertical="bottom" textRotation="0" wrapText="false" indent="0" shrinkToFit="false"/>
      <protection locked="true" hidden="false"/>
    </xf>
    <xf numFmtId="258" fontId="57" fillId="0" borderId="21" xfId="0" applyFont="true" applyBorder="true" applyAlignment="false" applyProtection="false">
      <alignment horizontal="general" vertical="bottom" textRotation="0" wrapText="false" indent="0" shrinkToFit="false"/>
      <protection locked="true" hidden="false"/>
    </xf>
    <xf numFmtId="258" fontId="57" fillId="0" borderId="22" xfId="0" applyFont="true" applyBorder="true" applyAlignment="false" applyProtection="false">
      <alignment horizontal="general" vertical="bottom" textRotation="0" wrapText="false" indent="0" shrinkToFit="false"/>
      <protection locked="true" hidden="false"/>
    </xf>
    <xf numFmtId="258" fontId="57" fillId="0" borderId="23" xfId="0" applyFont="true" applyBorder="true" applyAlignment="false" applyProtection="false">
      <alignment horizontal="general" vertical="bottom" textRotation="0" wrapText="false" indent="0" shrinkToFit="false"/>
      <protection locked="true" hidden="false"/>
    </xf>
    <xf numFmtId="164" fontId="96" fillId="0" borderId="10" xfId="0" applyFont="true" applyBorder="true" applyAlignment="false" applyProtection="false">
      <alignment horizontal="general" vertical="bottom" textRotation="0" wrapText="false" indent="0" shrinkToFit="false"/>
      <protection locked="true" hidden="false"/>
    </xf>
    <xf numFmtId="258" fontId="110" fillId="0" borderId="0" xfId="15" applyFont="true" applyBorder="true" applyAlignment="true" applyProtection="true">
      <alignment horizontal="general" vertical="bottom" textRotation="0" wrapText="false" indent="0" shrinkToFit="false"/>
      <protection locked="true" hidden="false"/>
    </xf>
    <xf numFmtId="258" fontId="110" fillId="0" borderId="11" xfId="15" applyFont="true" applyBorder="true" applyAlignment="true" applyProtection="true">
      <alignment horizontal="general" vertical="bottom" textRotation="0" wrapText="false" indent="0" shrinkToFit="false"/>
      <protection locked="true" hidden="false"/>
    </xf>
    <xf numFmtId="217" fontId="57" fillId="0" borderId="0" xfId="15" applyFont="true" applyBorder="true" applyAlignment="true" applyProtection="true">
      <alignment horizontal="general" vertical="bottom" textRotation="0" wrapText="false" indent="0" shrinkToFit="false"/>
      <protection locked="true" hidden="false"/>
    </xf>
    <xf numFmtId="217" fontId="57" fillId="0" borderId="11" xfId="15" applyFont="true" applyBorder="true" applyAlignment="true" applyProtection="true">
      <alignment horizontal="general" vertical="bottom" textRotation="0" wrapText="false" indent="0" shrinkToFit="false"/>
      <protection locked="true" hidden="false"/>
    </xf>
    <xf numFmtId="217" fontId="25" fillId="0" borderId="0" xfId="15" applyFont="true" applyBorder="true" applyAlignment="true" applyProtection="true">
      <alignment horizontal="general" vertical="bottom" textRotation="0" wrapText="false" indent="0" shrinkToFit="false"/>
      <protection locked="true" hidden="false"/>
    </xf>
    <xf numFmtId="248" fontId="57" fillId="0" borderId="0" xfId="1238" applyFont="true" applyBorder="true" applyAlignment="true" applyProtection="true">
      <alignment horizontal="general" vertical="bottom" textRotation="0" wrapText="false" indent="0" shrinkToFit="false"/>
      <protection locked="true" hidden="false"/>
    </xf>
    <xf numFmtId="260" fontId="57" fillId="0" borderId="0" xfId="1238" applyFont="true" applyBorder="true" applyAlignment="true" applyProtection="true">
      <alignment horizontal="general" vertical="bottom" textRotation="0" wrapText="false" indent="0" shrinkToFit="false"/>
      <protection locked="true" hidden="false"/>
    </xf>
    <xf numFmtId="179" fontId="57" fillId="0" borderId="11" xfId="405" applyFont="true" applyBorder="true" applyAlignment="true" applyProtection="true">
      <alignment horizontal="general" vertical="bottom" textRotation="0" wrapText="false" indent="0" shrinkToFit="false"/>
      <protection locked="true" hidden="false"/>
    </xf>
    <xf numFmtId="179" fontId="96" fillId="0" borderId="0" xfId="405" applyFont="true" applyBorder="true" applyAlignment="true" applyProtection="true">
      <alignment horizontal="general" vertical="bottom" textRotation="0" wrapText="false" indent="0" shrinkToFit="false"/>
      <protection locked="true" hidden="false"/>
    </xf>
    <xf numFmtId="235" fontId="96" fillId="0" borderId="10" xfId="1238" applyFont="true" applyBorder="true" applyAlignment="true" applyProtection="true">
      <alignment horizontal="left" vertical="bottom" textRotation="0" wrapText="false" indent="0" shrinkToFit="false"/>
      <protection locked="true" hidden="false"/>
    </xf>
    <xf numFmtId="164" fontId="28" fillId="0" borderId="3" xfId="0" applyFont="true" applyBorder="true" applyAlignment="false" applyProtection="false">
      <alignment horizontal="general" vertical="bottom" textRotation="0" wrapText="false" indent="0" shrinkToFit="false"/>
      <protection locked="true" hidden="false"/>
    </xf>
    <xf numFmtId="179" fontId="57" fillId="0" borderId="3" xfId="405" applyFont="true" applyBorder="true" applyAlignment="true" applyProtection="true">
      <alignment horizontal="general" vertical="bottom" textRotation="0" wrapText="false" indent="0" shrinkToFit="false"/>
      <protection locked="true" hidden="false"/>
    </xf>
    <xf numFmtId="164" fontId="28" fillId="0" borderId="7"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false" applyAlignment="true" applyProtection="false">
      <alignment horizontal="center" vertical="bottom" textRotation="0" wrapText="false" indent="0" shrinkToFit="false"/>
      <protection locked="true" hidden="false"/>
    </xf>
    <xf numFmtId="235" fontId="93" fillId="0" borderId="0" xfId="1238" applyFont="true" applyBorder="true" applyAlignment="true" applyProtection="true">
      <alignment horizontal="left" vertical="bottom" textRotation="0" wrapText="false" indent="0" shrinkToFit="false"/>
      <protection locked="true" hidden="false"/>
    </xf>
    <xf numFmtId="235" fontId="25" fillId="0" borderId="0" xfId="1238" applyFont="false" applyBorder="true" applyAlignment="true" applyProtection="true">
      <alignment horizontal="right" vertical="bottom" textRotation="0" wrapText="false" indent="0" shrinkToFit="false"/>
      <protection locked="true" hidden="false"/>
    </xf>
    <xf numFmtId="260" fontId="25" fillId="0" borderId="0" xfId="1238" applyFont="false" applyBorder="true" applyAlignment="true" applyProtection="true">
      <alignment horizontal="general" vertical="bottom" textRotation="0" wrapText="false" indent="0" shrinkToFit="false"/>
      <protection locked="true" hidden="false"/>
    </xf>
    <xf numFmtId="235" fontId="64" fillId="0" borderId="4" xfId="1238" applyFont="true" applyBorder="true" applyAlignment="true" applyProtection="true">
      <alignment horizontal="general" vertical="bottom" textRotation="0" wrapText="false" indent="0" shrinkToFit="false"/>
      <protection locked="true" hidden="false"/>
    </xf>
    <xf numFmtId="235" fontId="57" fillId="0" borderId="9" xfId="1238" applyFont="true" applyBorder="true" applyAlignment="true" applyProtection="true">
      <alignment horizontal="general" vertical="bottom" textRotation="0" wrapText="false" indent="0" shrinkToFit="false"/>
      <protection locked="true" hidden="false"/>
    </xf>
    <xf numFmtId="259" fontId="108" fillId="0" borderId="9" xfId="0" applyFont="true" applyBorder="true" applyAlignment="false" applyProtection="true">
      <alignment horizontal="general" vertical="bottom" textRotation="0" wrapText="false" indent="0" shrinkToFit="false"/>
      <protection locked="true" hidden="false"/>
    </xf>
    <xf numFmtId="259" fontId="108" fillId="0" borderId="5" xfId="0" applyFont="true" applyBorder="true" applyAlignment="false" applyProtection="true">
      <alignment horizontal="general" vertical="bottom" textRotation="0" wrapText="false" indent="0" shrinkToFit="false"/>
      <protection locked="true" hidden="false"/>
    </xf>
    <xf numFmtId="259" fontId="112" fillId="0" borderId="0" xfId="0" applyFont="true" applyBorder="false" applyAlignment="false" applyProtection="true">
      <alignment horizontal="general" vertical="bottom" textRotation="0" wrapText="false" indent="0" shrinkToFit="false"/>
      <protection locked="true" hidden="false"/>
    </xf>
    <xf numFmtId="164" fontId="113" fillId="0" borderId="0" xfId="0" applyFont="true" applyBorder="true" applyAlignment="false" applyProtection="false">
      <alignment horizontal="general" vertical="bottom" textRotation="0" wrapText="false" indent="0" shrinkToFit="false"/>
      <protection locked="true" hidden="false"/>
    </xf>
    <xf numFmtId="248" fontId="96" fillId="8" borderId="0" xfId="19" applyFont="true" applyBorder="true" applyAlignment="true" applyProtection="true">
      <alignment horizontal="general" vertical="bottom" textRotation="0" wrapText="false" indent="0" shrinkToFit="false"/>
      <protection locked="true" hidden="false"/>
    </xf>
    <xf numFmtId="248" fontId="96" fillId="8" borderId="11" xfId="19" applyFont="true" applyBorder="true" applyAlignment="true" applyProtection="true">
      <alignment horizontal="general" vertical="bottom" textRotation="0" wrapText="false" indent="0" shrinkToFit="false"/>
      <protection locked="true" hidden="false"/>
    </xf>
    <xf numFmtId="248" fontId="114" fillId="8" borderId="0" xfId="19" applyFont="true" applyBorder="true" applyAlignment="true" applyProtection="true">
      <alignment horizontal="general" vertical="bottom" textRotation="0" wrapText="false" indent="0" shrinkToFit="false"/>
      <protection locked="true" hidden="false"/>
    </xf>
    <xf numFmtId="235" fontId="57" fillId="0" borderId="11" xfId="1238" applyFont="true" applyBorder="true" applyAlignment="true" applyProtection="true">
      <alignment horizontal="general" vertical="bottom" textRotation="0" wrapText="false" indent="0" shrinkToFit="false"/>
      <protection locked="true" hidden="false"/>
    </xf>
    <xf numFmtId="235" fontId="25" fillId="0" borderId="0" xfId="1238" applyFont="true" applyBorder="true" applyAlignment="true" applyProtection="true">
      <alignment horizontal="general" vertical="bottom" textRotation="0" wrapText="false" indent="0" shrinkToFit="false"/>
      <protection locked="true" hidden="false"/>
    </xf>
    <xf numFmtId="185" fontId="109" fillId="0" borderId="11" xfId="916" applyFont="true" applyBorder="true" applyAlignment="true" applyProtection="true">
      <alignment horizontal="general" vertical="bottom" textRotation="0" wrapText="false" indent="0" shrinkToFit="false"/>
      <protection locked="true" hidden="false"/>
    </xf>
    <xf numFmtId="185" fontId="115" fillId="0" borderId="0" xfId="916" applyFont="true" applyBorder="true" applyAlignment="true" applyProtection="true">
      <alignment horizontal="general" vertical="bottom" textRotation="0" wrapText="false" indent="0" shrinkToFit="false"/>
      <protection locked="true" hidden="false"/>
    </xf>
    <xf numFmtId="235" fontId="57" fillId="0" borderId="3" xfId="1238" applyFont="true" applyBorder="true" applyAlignment="true" applyProtection="true">
      <alignment horizontal="general" vertical="bottom" textRotation="0" wrapText="false" indent="0" shrinkToFit="false"/>
      <protection locked="true" hidden="false"/>
    </xf>
    <xf numFmtId="185" fontId="57" fillId="0" borderId="3" xfId="916" applyFont="true" applyBorder="true" applyAlignment="true" applyProtection="true">
      <alignment horizontal="general" vertical="bottom" textRotation="0" wrapText="false" indent="0" shrinkToFit="false"/>
      <protection locked="true" hidden="false"/>
    </xf>
    <xf numFmtId="185" fontId="57" fillId="0" borderId="7" xfId="916" applyFont="true" applyBorder="true" applyAlignment="true" applyProtection="true">
      <alignment horizontal="general" vertical="bottom" textRotation="0" wrapText="false" indent="0" shrinkToFit="false"/>
      <protection locked="true" hidden="false"/>
    </xf>
    <xf numFmtId="185" fontId="25" fillId="0" borderId="0" xfId="916" applyFont="true" applyBorder="true" applyAlignment="true" applyProtection="true">
      <alignment horizontal="general" vertical="bottom" textRotation="0" wrapText="false" indent="0" shrinkToFit="false"/>
      <protection locked="true" hidden="false"/>
    </xf>
    <xf numFmtId="248" fontId="116" fillId="8" borderId="0" xfId="19" applyFont="true" applyBorder="true" applyAlignment="true" applyProtection="true">
      <alignment horizontal="general" vertical="bottom" textRotation="0" wrapText="false" indent="0" shrinkToFit="false"/>
      <protection locked="true" hidden="false"/>
    </xf>
    <xf numFmtId="248" fontId="116" fillId="8" borderId="11" xfId="19" applyFont="true" applyBorder="true" applyAlignment="true" applyProtection="true">
      <alignment horizontal="general" vertical="bottom" textRotation="0" wrapText="false" indent="0" shrinkToFit="false"/>
      <protection locked="true" hidden="false"/>
    </xf>
    <xf numFmtId="249" fontId="57" fillId="0" borderId="9" xfId="17" applyFont="true" applyBorder="true" applyAlignment="true" applyProtection="true">
      <alignment horizontal="general" vertical="bottom" textRotation="0" wrapText="false" indent="0" shrinkToFit="false"/>
      <protection locked="true" hidden="false"/>
    </xf>
    <xf numFmtId="249" fontId="57" fillId="0" borderId="5" xfId="17" applyFont="true" applyBorder="true" applyAlignment="true" applyProtection="true">
      <alignment horizontal="general" vertical="bottom" textRotation="0" wrapText="false" indent="0" shrinkToFit="false"/>
      <protection locked="true" hidden="false"/>
    </xf>
    <xf numFmtId="249" fontId="25" fillId="0" borderId="0" xfId="17" applyFont="true" applyBorder="true" applyAlignment="true" applyProtection="true">
      <alignment horizontal="general" vertical="bottom" textRotation="0" wrapText="false" indent="0" shrinkToFit="false"/>
      <protection locked="true" hidden="false"/>
    </xf>
    <xf numFmtId="169" fontId="96" fillId="0" borderId="0" xfId="0" applyFont="true" applyBorder="false" applyAlignment="false" applyProtection="false">
      <alignment horizontal="general" vertical="bottom" textRotation="0" wrapText="false" indent="0" shrinkToFit="false"/>
      <protection locked="true" hidden="false"/>
    </xf>
    <xf numFmtId="169" fontId="114" fillId="0" borderId="0" xfId="0" applyFont="true" applyBorder="false" applyAlignment="false" applyProtection="false">
      <alignment horizontal="general" vertical="bottom" textRotation="0" wrapText="false" indent="0" shrinkToFit="false"/>
      <protection locked="true" hidden="false"/>
    </xf>
    <xf numFmtId="248" fontId="57" fillId="0" borderId="0" xfId="19" applyFont="true" applyBorder="true" applyAlignment="true" applyProtection="true">
      <alignment horizontal="general" vertical="bottom" textRotation="0" wrapText="false" indent="0" shrinkToFit="false"/>
      <protection locked="true" hidden="false"/>
    </xf>
    <xf numFmtId="248" fontId="57" fillId="0" borderId="11" xfId="19" applyFont="true" applyBorder="true" applyAlignment="true" applyProtection="true">
      <alignment horizontal="general" vertical="bottom" textRotation="0" wrapText="false" indent="0" shrinkToFit="false"/>
      <protection locked="true" hidden="false"/>
    </xf>
    <xf numFmtId="248" fontId="25" fillId="0" borderId="0" xfId="19" applyFont="true" applyBorder="true" applyAlignment="true" applyProtection="true">
      <alignment horizontal="general" vertical="bottom" textRotation="0" wrapText="false" indent="0" shrinkToFit="false"/>
      <protection locked="true" hidden="false"/>
    </xf>
    <xf numFmtId="169" fontId="25" fillId="0" borderId="0" xfId="0" applyFont="true" applyBorder="false" applyAlignment="false" applyProtection="false">
      <alignment horizontal="general" vertical="bottom" textRotation="0" wrapText="false" indent="0" shrinkToFit="false"/>
      <protection locked="true" hidden="false"/>
    </xf>
    <xf numFmtId="248" fontId="109" fillId="0" borderId="0" xfId="19" applyFont="true" applyBorder="true" applyAlignment="true" applyProtection="true">
      <alignment horizontal="general" vertical="bottom" textRotation="0" wrapText="false" indent="0" shrinkToFit="false"/>
      <protection locked="true" hidden="false"/>
    </xf>
    <xf numFmtId="248" fontId="109" fillId="0" borderId="11" xfId="19" applyFont="true" applyBorder="true" applyAlignment="true" applyProtection="true">
      <alignment horizontal="general" vertical="bottom" textRotation="0" wrapText="false" indent="0" shrinkToFit="false"/>
      <protection locked="true" hidden="false"/>
    </xf>
    <xf numFmtId="248" fontId="115" fillId="0" borderId="0" xfId="19" applyFont="true" applyBorder="true" applyAlignment="true" applyProtection="true">
      <alignment horizontal="general" vertical="bottom" textRotation="0" wrapText="false" indent="0" shrinkToFit="false"/>
      <protection locked="true" hidden="false"/>
    </xf>
    <xf numFmtId="235" fontId="109" fillId="0" borderId="0" xfId="1238" applyFont="true" applyBorder="true" applyAlignment="true" applyProtection="true">
      <alignment horizontal="general" vertical="bottom" textRotation="0" wrapText="false" indent="0" shrinkToFit="false"/>
      <protection locked="true" hidden="false"/>
    </xf>
    <xf numFmtId="235" fontId="109" fillId="0" borderId="11" xfId="1238" applyFont="true" applyBorder="true" applyAlignment="true" applyProtection="true">
      <alignment horizontal="general" vertical="bottom" textRotation="0" wrapText="false" indent="0" shrinkToFit="false"/>
      <protection locked="true" hidden="false"/>
    </xf>
    <xf numFmtId="235" fontId="115" fillId="0" borderId="0" xfId="1238" applyFont="true" applyBorder="true" applyAlignment="true" applyProtection="true">
      <alignment horizontal="general" vertical="bottom" textRotation="0" wrapText="false" indent="0" shrinkToFit="false"/>
      <protection locked="true" hidden="false"/>
    </xf>
    <xf numFmtId="170" fontId="57" fillId="0" borderId="0" xfId="17" applyFont="true" applyBorder="true" applyAlignment="true" applyProtection="true">
      <alignment horizontal="general" vertical="bottom" textRotation="0" wrapText="false" indent="0" shrinkToFit="false"/>
      <protection locked="true" hidden="false"/>
    </xf>
    <xf numFmtId="170" fontId="57" fillId="0" borderId="11" xfId="17" applyFont="true" applyBorder="true" applyAlignment="true" applyProtection="true">
      <alignment horizontal="general" vertical="bottom" textRotation="0" wrapText="false" indent="0" shrinkToFit="false"/>
      <protection locked="true" hidden="false"/>
    </xf>
    <xf numFmtId="170" fontId="57" fillId="0" borderId="3" xfId="15" applyFont="true" applyBorder="true" applyAlignment="true" applyProtection="true">
      <alignment horizontal="general" vertical="bottom" textRotation="0" wrapText="false" indent="0" shrinkToFit="false"/>
      <protection locked="true" hidden="false"/>
    </xf>
    <xf numFmtId="170" fontId="57" fillId="0" borderId="7"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70" fontId="57" fillId="0" borderId="0" xfId="15" applyFont="true" applyBorder="true" applyAlignment="true" applyProtection="true">
      <alignment horizontal="general" vertical="bottom" textRotation="0" wrapText="false" indent="0" shrinkToFit="false"/>
      <protection locked="true" hidden="false"/>
    </xf>
    <xf numFmtId="164" fontId="57" fillId="0" borderId="5"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80" fontId="96" fillId="10" borderId="0" xfId="916" applyFont="true" applyBorder="true" applyAlignment="true" applyProtection="true">
      <alignment horizontal="general" vertical="bottom" textRotation="0" wrapText="false" indent="0" shrinkToFit="false"/>
      <protection locked="true" hidden="false"/>
    </xf>
    <xf numFmtId="180" fontId="96" fillId="10" borderId="11" xfId="916" applyFont="true" applyBorder="true" applyAlignment="true" applyProtection="true">
      <alignment horizontal="general" vertical="bottom" textRotation="0" wrapText="false" indent="0" shrinkToFit="false"/>
      <protection locked="true" hidden="false"/>
    </xf>
    <xf numFmtId="180" fontId="96" fillId="0" borderId="0" xfId="916" applyFont="true" applyBorder="true" applyAlignment="true" applyProtection="true">
      <alignment horizontal="general" vertical="bottom" textRotation="0" wrapText="false" indent="0" shrinkToFit="false"/>
      <protection locked="true" hidden="false"/>
    </xf>
    <xf numFmtId="180" fontId="114" fillId="0" borderId="0" xfId="916" applyFont="true" applyBorder="true" applyAlignment="true" applyProtection="true">
      <alignment horizontal="general" vertical="bottom" textRotation="0" wrapText="false" indent="0" shrinkToFit="false"/>
      <protection locked="true" hidden="false"/>
    </xf>
    <xf numFmtId="180" fontId="96" fillId="0" borderId="11" xfId="916" applyFont="true" applyBorder="true" applyAlignment="true" applyProtection="tru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243" fontId="57" fillId="0" borderId="0" xfId="19" applyFont="true" applyBorder="true" applyAlignment="true" applyProtection="true">
      <alignment horizontal="general" vertical="bottom" textRotation="0" wrapText="false" indent="0" shrinkToFit="false"/>
      <protection locked="true" hidden="false"/>
    </xf>
    <xf numFmtId="243" fontId="57" fillId="0" borderId="11" xfId="19" applyFont="true" applyBorder="true" applyAlignment="true" applyProtection="true">
      <alignment horizontal="general" vertical="bottom" textRotation="0" wrapText="false" indent="0" shrinkToFit="false"/>
      <protection locked="true" hidden="false"/>
    </xf>
    <xf numFmtId="243" fontId="25" fillId="0" borderId="0" xfId="19" applyFont="true" applyBorder="true" applyAlignment="true" applyProtection="true">
      <alignment horizontal="general" vertical="bottom" textRotation="0" wrapText="false" indent="0" shrinkToFit="false"/>
      <protection locked="true" hidden="false"/>
    </xf>
    <xf numFmtId="180" fontId="57" fillId="0" borderId="0" xfId="916" applyFont="true" applyBorder="true" applyAlignment="true" applyProtection="true">
      <alignment horizontal="general" vertical="bottom" textRotation="0" wrapText="false" indent="0" shrinkToFit="false"/>
      <protection locked="true" hidden="false"/>
    </xf>
    <xf numFmtId="180" fontId="57" fillId="0" borderId="11" xfId="916" applyFont="true" applyBorder="true" applyAlignment="true" applyProtection="true">
      <alignment horizontal="general" vertical="bottom" textRotation="0" wrapText="false" indent="0" shrinkToFit="false"/>
      <protection locked="true" hidden="false"/>
    </xf>
    <xf numFmtId="180" fontId="12" fillId="0" borderId="0" xfId="916" applyFont="true" applyBorder="true" applyAlignment="true" applyProtection="true">
      <alignment horizontal="general" vertical="bottom" textRotation="0" wrapText="false" indent="0" shrinkToFit="false"/>
      <protection locked="true" hidden="false"/>
    </xf>
    <xf numFmtId="180" fontId="117" fillId="0" borderId="3" xfId="916" applyFont="true" applyBorder="true" applyAlignment="true" applyProtection="true">
      <alignment horizontal="general" vertical="bottom" textRotation="0" wrapText="false" indent="0" shrinkToFit="false"/>
      <protection locked="true" hidden="false"/>
    </xf>
    <xf numFmtId="180" fontId="96" fillId="0" borderId="7" xfId="916" applyFont="true" applyBorder="true" applyAlignment="true" applyProtection="true">
      <alignment horizontal="general" vertical="bottom" textRotation="0" wrapText="false" indent="0" shrinkToFit="false"/>
      <protection locked="true" hidden="false"/>
    </xf>
    <xf numFmtId="247" fontId="57" fillId="0" borderId="0" xfId="15" applyFont="true" applyBorder="true" applyAlignment="true" applyProtection="true">
      <alignment horizontal="general" vertical="bottom" textRotation="0" wrapText="false" indent="0" shrinkToFit="false"/>
      <protection locked="true" hidden="false"/>
    </xf>
    <xf numFmtId="247" fontId="12" fillId="0" borderId="0" xfId="15" applyFont="true" applyBorder="true" applyAlignment="true" applyProtection="true">
      <alignment horizontal="general" vertical="bottom" textRotation="0" wrapText="false" indent="0" shrinkToFit="false"/>
      <protection locked="true" hidden="false"/>
    </xf>
    <xf numFmtId="215" fontId="28" fillId="0" borderId="0" xfId="0" applyFont="true" applyBorder="false" applyAlignment="false" applyProtection="false">
      <alignment horizontal="general" vertical="bottom" textRotation="0" wrapText="false" indent="0" shrinkToFit="false"/>
      <protection locked="true" hidden="false"/>
    </xf>
    <xf numFmtId="193" fontId="57" fillId="0" borderId="0" xfId="15" applyFont="true" applyBorder="true" applyAlignment="true" applyProtection="true">
      <alignment horizontal="general" vertical="bottom" textRotation="0" wrapText="false" indent="0" shrinkToFit="false"/>
      <protection locked="true" hidden="false"/>
    </xf>
    <xf numFmtId="193" fontId="57" fillId="0" borderId="0" xfId="0" applyFont="true" applyBorder="false" applyAlignment="false" applyProtection="false">
      <alignment horizontal="general" vertical="bottom" textRotation="0" wrapText="false" indent="0" shrinkToFit="false"/>
      <protection locked="true" hidden="false"/>
    </xf>
    <xf numFmtId="164" fontId="57" fillId="0" borderId="4" xfId="0" applyFont="true" applyBorder="true" applyAlignment="false" applyProtection="false">
      <alignment horizontal="general" vertical="bottom" textRotation="0" wrapText="false" indent="0" shrinkToFit="false"/>
      <protection locked="true" hidden="false"/>
    </xf>
    <xf numFmtId="235" fontId="57" fillId="0" borderId="5" xfId="1238" applyFont="true" applyBorder="true" applyAlignment="true" applyProtection="true">
      <alignment horizontal="general" vertical="bottom" textRotation="0" wrapText="false" indent="0" shrinkToFit="false"/>
      <protection locked="true" hidden="false"/>
    </xf>
    <xf numFmtId="235" fontId="25" fillId="0" borderId="0" xfId="1238" applyFont="true" applyBorder="true" applyAlignment="true" applyProtection="true">
      <alignment horizontal="general" vertical="bottom" textRotation="0" wrapText="false" indent="0" shrinkToFit="false"/>
      <protection locked="true" hidden="false"/>
    </xf>
    <xf numFmtId="235" fontId="64" fillId="0" borderId="10" xfId="1238" applyFont="true" applyBorder="true" applyAlignment="true" applyProtection="true">
      <alignment horizontal="general" vertical="bottom" textRotation="0" wrapText="false" indent="0" shrinkToFit="false"/>
      <protection locked="true" hidden="false"/>
    </xf>
    <xf numFmtId="235" fontId="64" fillId="0" borderId="0" xfId="1238" applyFont="true" applyBorder="true" applyAlignment="true" applyProtection="true">
      <alignment horizontal="general" vertical="bottom" textRotation="0" wrapText="false" indent="0" shrinkToFit="false"/>
      <protection locked="true" hidden="false"/>
    </xf>
    <xf numFmtId="242" fontId="108" fillId="2" borderId="0" xfId="0" applyFont="true" applyBorder="true" applyAlignment="true" applyProtection="true">
      <alignment horizontal="center" vertical="bottom" textRotation="0" wrapText="false" indent="0" shrinkToFit="false"/>
      <protection locked="true" hidden="false"/>
    </xf>
    <xf numFmtId="242" fontId="108" fillId="2" borderId="11" xfId="0" applyFont="true" applyBorder="true" applyAlignment="true" applyProtection="true">
      <alignment horizontal="center" vertical="bottom" textRotation="0" wrapText="false" indent="0" shrinkToFit="false"/>
      <protection locked="true" hidden="false"/>
    </xf>
    <xf numFmtId="242" fontId="108" fillId="0" borderId="0" xfId="0" applyFont="true" applyBorder="false" applyAlignment="true" applyProtection="true">
      <alignment horizontal="center" vertical="bottom" textRotation="0" wrapText="false" indent="0" shrinkToFit="false"/>
      <protection locked="true" hidden="false"/>
    </xf>
    <xf numFmtId="242" fontId="112" fillId="0" borderId="0" xfId="0" applyFont="true" applyBorder="false" applyAlignment="true" applyProtection="true">
      <alignment horizontal="center" vertical="bottom" textRotation="0" wrapText="false" indent="0" shrinkToFit="false"/>
      <protection locked="true" hidden="false"/>
    </xf>
    <xf numFmtId="235" fontId="28" fillId="0" borderId="0" xfId="1238" applyFont="true" applyBorder="true" applyAlignment="true" applyProtection="true">
      <alignment horizontal="left" vertical="bottom" textRotation="0" wrapText="false" indent="0" shrinkToFit="false"/>
      <protection locked="true" hidden="false"/>
    </xf>
    <xf numFmtId="235" fontId="28" fillId="0" borderId="0" xfId="1238" applyFont="true" applyBorder="true" applyAlignment="true" applyProtection="true">
      <alignment horizontal="general" vertical="bottom" textRotation="0" wrapText="false" indent="0" shrinkToFit="false"/>
      <protection locked="true" hidden="false"/>
    </xf>
    <xf numFmtId="249" fontId="28" fillId="0" borderId="0" xfId="17" applyFont="true" applyBorder="true" applyAlignment="true" applyProtection="true">
      <alignment horizontal="general" vertical="bottom" textRotation="0" wrapText="false" indent="0" shrinkToFit="false"/>
      <protection locked="true" hidden="false"/>
    </xf>
    <xf numFmtId="249" fontId="28" fillId="0" borderId="11" xfId="17" applyFont="true" applyBorder="true" applyAlignment="true" applyProtection="true">
      <alignment horizontal="general" vertical="bottom" textRotation="0" wrapText="false" indent="0" shrinkToFit="false"/>
      <protection locked="true" hidden="false"/>
    </xf>
    <xf numFmtId="249" fontId="9" fillId="0" borderId="0" xfId="17"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206" fontId="57" fillId="0" borderId="0" xfId="1238" applyFont="true" applyBorder="true" applyAlignment="true" applyProtection="true">
      <alignment horizontal="general" vertical="bottom" textRotation="0" wrapText="false" indent="0" shrinkToFit="false"/>
      <protection locked="true" hidden="false"/>
    </xf>
    <xf numFmtId="235" fontId="12" fillId="0" borderId="0" xfId="1238" applyFont="true" applyBorder="true" applyAlignment="true" applyProtection="true">
      <alignment horizontal="general" vertical="bottom" textRotation="0" wrapText="false" indent="0" shrinkToFit="false"/>
      <protection locked="true" hidden="false"/>
    </xf>
    <xf numFmtId="164" fontId="28" fillId="0" borderId="10" xfId="0" applyFont="true" applyBorder="true" applyAlignment="false" applyProtection="false">
      <alignment horizontal="general" vertical="bottom" textRotation="0" wrapText="false" indent="0" shrinkToFit="false"/>
      <protection locked="true" hidden="false"/>
    </xf>
    <xf numFmtId="193" fontId="28" fillId="0" borderId="0" xfId="15" applyFont="true" applyBorder="true" applyAlignment="true" applyProtection="true">
      <alignment horizontal="general" vertical="bottom" textRotation="0" wrapText="false" indent="0" shrinkToFit="false"/>
      <protection locked="true" hidden="false"/>
    </xf>
    <xf numFmtId="193" fontId="28" fillId="0" borderId="11" xfId="15" applyFont="true" applyBorder="true" applyAlignment="true" applyProtection="true">
      <alignment horizontal="general" vertical="bottom" textRotation="0" wrapText="false" indent="0" shrinkToFit="false"/>
      <protection locked="true" hidden="false"/>
    </xf>
    <xf numFmtId="193" fontId="9" fillId="0" borderId="0" xfId="15" applyFont="true" applyBorder="true" applyAlignment="true" applyProtection="true">
      <alignment horizontal="general" vertical="bottom" textRotation="0" wrapText="false" indent="0" shrinkToFit="false"/>
      <protection locked="true" hidden="false"/>
    </xf>
    <xf numFmtId="193" fontId="14" fillId="0" borderId="0" xfId="15" applyFont="true" applyBorder="true" applyAlignment="true" applyProtection="true">
      <alignment horizontal="general" vertical="bottom" textRotation="0" wrapText="false" indent="0" shrinkToFit="false"/>
      <protection locked="true" hidden="false"/>
    </xf>
    <xf numFmtId="243" fontId="28" fillId="0" borderId="11" xfId="19" applyFont="true" applyBorder="true" applyAlignment="true" applyProtection="true">
      <alignment horizontal="general" vertical="bottom" textRotation="0" wrapText="false" indent="0" shrinkToFit="false"/>
      <protection locked="true" hidden="false"/>
    </xf>
    <xf numFmtId="243" fontId="9" fillId="0" borderId="0" xfId="19" applyFont="true" applyBorder="true" applyAlignment="true" applyProtection="true">
      <alignment horizontal="general" vertical="bottom" textRotation="0" wrapText="false" indent="0" shrinkToFit="false"/>
      <protection locked="true" hidden="false"/>
    </xf>
    <xf numFmtId="247" fontId="28" fillId="0" borderId="0" xfId="15" applyFont="true" applyBorder="true" applyAlignment="true" applyProtection="true">
      <alignment horizontal="general" vertical="bottom" textRotation="0" wrapText="false" indent="0" shrinkToFit="false"/>
      <protection locked="true" hidden="false"/>
    </xf>
    <xf numFmtId="247" fontId="28" fillId="0" borderId="11"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61" fillId="0" borderId="10" xfId="0" applyFont="true" applyBorder="true" applyAlignment="false" applyProtection="false">
      <alignment horizontal="general" vertical="bottom" textRotation="0" wrapText="false" indent="0" shrinkToFit="false"/>
      <protection locked="true" hidden="false"/>
    </xf>
    <xf numFmtId="247" fontId="9" fillId="0" borderId="0" xfId="15" applyFont="true" applyBorder="true" applyAlignment="true" applyProtection="true">
      <alignment horizontal="general" vertical="bottom" textRotation="0" wrapText="false" indent="0" shrinkToFit="false"/>
      <protection locked="true" hidden="false"/>
    </xf>
    <xf numFmtId="229" fontId="28" fillId="0" borderId="0" xfId="0" applyFont="true" applyBorder="true" applyAlignment="false" applyProtection="false">
      <alignment horizontal="general" vertical="bottom" textRotation="0" wrapText="false" indent="0" shrinkToFit="false"/>
      <protection locked="true" hidden="false"/>
    </xf>
    <xf numFmtId="224" fontId="108" fillId="0" borderId="0" xfId="0" applyFont="true" applyBorder="true" applyAlignment="false" applyProtection="true">
      <alignment horizontal="general" vertical="bottom" textRotation="0" wrapText="false" indent="0" shrinkToFit="false"/>
      <protection locked="true" hidden="false"/>
    </xf>
    <xf numFmtId="247" fontId="118" fillId="0" borderId="0" xfId="15" applyFont="true" applyBorder="true" applyAlignment="true" applyProtection="true">
      <alignment horizontal="general" vertical="bottom" textRotation="0" wrapText="false" indent="0" shrinkToFit="false"/>
      <protection locked="true" hidden="false"/>
    </xf>
    <xf numFmtId="164" fontId="61" fillId="0" borderId="6" xfId="0" applyFont="true" applyBorder="true" applyAlignment="false" applyProtection="false">
      <alignment horizontal="general" vertical="bottom" textRotation="0" wrapText="false" indent="0" shrinkToFit="false"/>
      <protection locked="true" hidden="false"/>
    </xf>
    <xf numFmtId="249" fontId="61" fillId="0" borderId="3" xfId="17" applyFont="true" applyBorder="true" applyAlignment="true" applyProtection="true">
      <alignment horizontal="general" vertical="bottom" textRotation="0" wrapText="false" indent="0" shrinkToFit="false"/>
      <protection locked="true" hidden="false"/>
    </xf>
    <xf numFmtId="247" fontId="61" fillId="0" borderId="3" xfId="15" applyFont="true" applyBorder="true" applyAlignment="true" applyProtection="true">
      <alignment horizontal="general" vertical="bottom" textRotation="0" wrapText="false" indent="0" shrinkToFit="false"/>
      <protection locked="true" hidden="false"/>
    </xf>
    <xf numFmtId="164" fontId="28" fillId="0" borderId="3" xfId="0" applyFont="true" applyBorder="true" applyAlignment="false" applyProtection="false">
      <alignment horizontal="general" vertical="bottom" textRotation="0" wrapText="false" indent="0" shrinkToFit="false"/>
      <protection locked="true" hidden="false"/>
    </xf>
    <xf numFmtId="247" fontId="28" fillId="0" borderId="3" xfId="0" applyFont="true" applyBorder="true" applyAlignment="false" applyProtection="false">
      <alignment horizontal="general" vertical="bottom" textRotation="0" wrapText="false" indent="0" shrinkToFit="false"/>
      <protection locked="true" hidden="false"/>
    </xf>
    <xf numFmtId="247" fontId="28" fillId="0" borderId="7" xfId="0" applyFont="true" applyBorder="true" applyAlignment="false" applyProtection="false">
      <alignment horizontal="general" vertical="bottom" textRotation="0" wrapText="false" indent="0" shrinkToFit="false"/>
      <protection locked="true" hidden="false"/>
    </xf>
    <xf numFmtId="247" fontId="28" fillId="0" borderId="0" xfId="0" applyFont="true" applyBorder="false" applyAlignment="false" applyProtection="false">
      <alignment horizontal="general" vertical="bottom" textRotation="0" wrapText="false" indent="0" shrinkToFit="false"/>
      <protection locked="true" hidden="false"/>
    </xf>
    <xf numFmtId="247" fontId="9" fillId="0" borderId="0" xfId="0" applyFont="true" applyBorder="false" applyAlignment="false" applyProtection="false">
      <alignment horizontal="general" vertical="bottom" textRotation="0" wrapText="false" indent="0" shrinkToFit="false"/>
      <protection locked="true" hidden="false"/>
    </xf>
    <xf numFmtId="170" fontId="28" fillId="0" borderId="0" xfId="0" applyFont="true" applyBorder="false" applyAlignment="false" applyProtection="false">
      <alignment horizontal="general" vertical="bottom" textRotation="0" wrapText="false" indent="0" shrinkToFit="false"/>
      <protection locked="true" hidden="false"/>
    </xf>
    <xf numFmtId="247" fontId="28" fillId="0" borderId="0" xfId="0" applyFont="true" applyBorder="false" applyAlignment="false" applyProtection="false">
      <alignment horizontal="general" vertical="bottom" textRotation="0" wrapText="false" indent="0" shrinkToFit="false"/>
      <protection locked="true" hidden="false"/>
    </xf>
    <xf numFmtId="247" fontId="9" fillId="0" borderId="0" xfId="0" applyFont="true" applyBorder="false" applyAlignment="false" applyProtection="false">
      <alignment horizontal="general" vertical="bottom" textRotation="0" wrapText="false" indent="0" shrinkToFit="false"/>
      <protection locked="true" hidden="false"/>
    </xf>
    <xf numFmtId="193" fontId="28" fillId="0" borderId="0" xfId="15" applyFont="true" applyBorder="true" applyAlignment="true" applyProtection="true">
      <alignment horizontal="general" vertical="bottom" textRotation="0" wrapText="false" indent="0" shrinkToFit="false"/>
      <protection locked="true" hidden="false"/>
    </xf>
    <xf numFmtId="164" fontId="61" fillId="2" borderId="4" xfId="0" applyFont="true" applyBorder="true" applyAlignment="false" applyProtection="false">
      <alignment horizontal="general" vertical="bottom" textRotation="0" wrapText="false" indent="0" shrinkToFit="false"/>
      <protection locked="true" hidden="false"/>
    </xf>
    <xf numFmtId="169" fontId="119" fillId="0" borderId="9" xfId="0" applyFont="true" applyBorder="true" applyAlignment="false" applyProtection="false">
      <alignment horizontal="general" vertical="bottom" textRotation="0" wrapText="false" indent="0" shrinkToFit="false"/>
      <protection locked="true" hidden="false"/>
    </xf>
    <xf numFmtId="247" fontId="28" fillId="0" borderId="9" xfId="15" applyFont="true" applyBorder="true" applyAlignment="true" applyProtection="true">
      <alignment horizontal="general" vertical="bottom" textRotation="0" wrapText="false" indent="0" shrinkToFit="false"/>
      <protection locked="true" hidden="false"/>
    </xf>
    <xf numFmtId="247" fontId="28" fillId="0" borderId="5" xfId="15" applyFont="true" applyBorder="true" applyAlignment="true" applyProtection="true">
      <alignment horizontal="general" vertical="bottom" textRotation="0" wrapText="false" indent="0" shrinkToFit="false"/>
      <protection locked="true" hidden="false"/>
    </xf>
    <xf numFmtId="193" fontId="119" fillId="0" borderId="0" xfId="15" applyFont="true" applyBorder="true" applyAlignment="true" applyProtection="true">
      <alignment horizontal="general" vertical="bottom" textRotation="0" wrapText="false" indent="0" shrinkToFit="false"/>
      <protection locked="true" hidden="false"/>
    </xf>
    <xf numFmtId="243" fontId="119" fillId="0" borderId="0" xfId="19" applyFont="true" applyBorder="true" applyAlignment="true" applyProtection="true">
      <alignment horizontal="general" vertical="bottom" textRotation="0" wrapText="false" indent="0" shrinkToFit="false"/>
      <protection locked="true" hidden="false"/>
    </xf>
    <xf numFmtId="164" fontId="28" fillId="0" borderId="6" xfId="0" applyFont="true" applyBorder="true" applyAlignment="false" applyProtection="false">
      <alignment horizontal="general" vertical="bottom" textRotation="0" wrapText="false" indent="0" shrinkToFit="false"/>
      <protection locked="true" hidden="false"/>
    </xf>
    <xf numFmtId="193" fontId="28" fillId="0" borderId="3" xfId="15" applyFont="true" applyBorder="true" applyAlignment="true" applyProtection="true">
      <alignment horizontal="general" vertical="bottom" textRotation="0" wrapText="false" indent="0" shrinkToFit="false"/>
      <protection locked="true" hidden="false"/>
    </xf>
    <xf numFmtId="247" fontId="28" fillId="0" borderId="3" xfId="15" applyFont="true" applyBorder="true" applyAlignment="true" applyProtection="true">
      <alignment horizontal="general" vertical="bottom" textRotation="0" wrapText="false" indent="0" shrinkToFit="false"/>
      <protection locked="true" hidden="false"/>
    </xf>
    <xf numFmtId="247" fontId="28" fillId="0" borderId="7" xfId="15" applyFont="true" applyBorder="true" applyAlignment="true" applyProtection="true">
      <alignment horizontal="general" vertical="bottom" textRotation="0" wrapText="false" indent="0" shrinkToFit="false"/>
      <protection locked="true" hidden="false"/>
    </xf>
    <xf numFmtId="244" fontId="119" fillId="0" borderId="0" xfId="19" applyFont="true" applyBorder="true" applyAlignment="true" applyProtection="true">
      <alignment horizontal="general" vertical="bottom" textRotation="0" wrapText="false" indent="0" shrinkToFit="false"/>
      <protection locked="true" hidden="false"/>
    </xf>
    <xf numFmtId="164" fontId="28" fillId="0" borderId="6" xfId="0" applyFont="true" applyBorder="true" applyAlignment="false" applyProtection="false">
      <alignment horizontal="general" vertical="bottom" textRotation="0" wrapText="false" indent="0" shrinkToFit="false"/>
      <protection locked="true" hidden="false"/>
    </xf>
    <xf numFmtId="243" fontId="57" fillId="0" borderId="3" xfId="19" applyFont="true" applyBorder="true" applyAlignment="true" applyProtection="true">
      <alignment horizontal="general" vertical="bottom" textRotation="0" wrapText="false" indent="0" shrinkToFit="false"/>
      <protection locked="true" hidden="false"/>
    </xf>
    <xf numFmtId="193" fontId="28" fillId="0" borderId="3" xfId="0" applyFont="true" applyBorder="true" applyAlignment="false" applyProtection="false">
      <alignment horizontal="general" vertical="bottom" textRotation="0" wrapText="false" indent="0" shrinkToFit="false"/>
      <protection locked="true" hidden="false"/>
    </xf>
    <xf numFmtId="261" fontId="28" fillId="0" borderId="0" xfId="15" applyFont="true" applyBorder="true" applyAlignment="true" applyProtection="true">
      <alignment horizontal="general" vertical="bottom" textRotation="0" wrapText="false" indent="0" shrinkToFit="false"/>
      <protection locked="true" hidden="false"/>
    </xf>
    <xf numFmtId="169" fontId="119" fillId="0" borderId="9" xfId="0" applyFont="true" applyBorder="true" applyAlignment="false" applyProtection="false">
      <alignment horizontal="general" vertical="bottom" textRotation="0" wrapText="false" indent="0" shrinkToFit="false"/>
      <protection locked="true" hidden="false"/>
    </xf>
    <xf numFmtId="164" fontId="28" fillId="0" borderId="9" xfId="0" applyFont="true" applyBorder="true" applyAlignment="false" applyProtection="false">
      <alignment horizontal="general" vertical="bottom" textRotation="0" wrapText="false" indent="0" shrinkToFit="false"/>
      <protection locked="true" hidden="false"/>
    </xf>
    <xf numFmtId="262" fontId="28" fillId="0" borderId="9" xfId="15" applyFont="true" applyBorder="true" applyAlignment="true" applyProtection="true">
      <alignment horizontal="general" vertical="bottom" textRotation="0" wrapText="false" indent="0" shrinkToFit="false"/>
      <protection locked="true" hidden="false"/>
    </xf>
    <xf numFmtId="244" fontId="28" fillId="0" borderId="0" xfId="19" applyFont="true" applyBorder="true" applyAlignment="true" applyProtection="true">
      <alignment horizontal="general" vertical="bottom" textRotation="0" wrapText="false" indent="0" shrinkToFit="false"/>
      <protection locked="true" hidden="false"/>
    </xf>
    <xf numFmtId="247" fontId="28" fillId="0" borderId="0" xfId="0" applyFont="true" applyBorder="true" applyAlignment="false" applyProtection="false">
      <alignment horizontal="general" vertical="bottom" textRotation="0" wrapText="false" indent="0" shrinkToFit="false"/>
      <protection locked="true" hidden="false"/>
    </xf>
    <xf numFmtId="247" fontId="28" fillId="0" borderId="11"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93" fontId="28" fillId="0" borderId="0" xfId="0" applyFont="true" applyBorder="false" applyAlignment="false" applyProtection="false">
      <alignment horizontal="general" vertical="bottom" textRotation="0" wrapText="false" indent="0" shrinkToFit="false"/>
      <protection locked="true" hidden="false"/>
    </xf>
    <xf numFmtId="193" fontId="9" fillId="0" borderId="0" xfId="0" applyFont="true" applyBorder="false" applyAlignment="false" applyProtection="false">
      <alignment horizontal="general" vertical="bottom" textRotation="0" wrapText="false" indent="0" shrinkToFit="false"/>
      <protection locked="true" hidden="false"/>
    </xf>
    <xf numFmtId="164" fontId="61" fillId="0" borderId="17" xfId="0" applyFont="true" applyBorder="true" applyAlignment="false" applyProtection="false">
      <alignment horizontal="general" vertical="bottom" textRotation="0" wrapText="false" indent="0" shrinkToFit="false"/>
      <protection locked="true" hidden="false"/>
    </xf>
    <xf numFmtId="164" fontId="28" fillId="0" borderId="19" xfId="0" applyFont="true" applyBorder="true" applyAlignment="false" applyProtection="false">
      <alignment horizontal="general" vertical="bottom" textRotation="0" wrapText="false" indent="0" shrinkToFit="false"/>
      <protection locked="true" hidden="false"/>
    </xf>
    <xf numFmtId="247" fontId="28" fillId="0" borderId="19" xfId="15" applyFont="true" applyBorder="true" applyAlignment="true" applyProtection="true">
      <alignment horizontal="general" vertical="bottom" textRotation="0" wrapText="false" indent="0" shrinkToFit="false"/>
      <protection locked="true" hidden="false"/>
    </xf>
    <xf numFmtId="247" fontId="28" fillId="0" borderId="18" xfId="15" applyFont="true" applyBorder="true" applyAlignment="true" applyProtection="true">
      <alignment horizontal="general" vertical="bottom" textRotation="0" wrapText="false" indent="0" shrinkToFit="false"/>
      <protection locked="true" hidden="false"/>
    </xf>
    <xf numFmtId="164" fontId="28" fillId="0" borderId="24" xfId="0" applyFont="true" applyBorder="true" applyAlignment="false" applyProtection="false">
      <alignment horizontal="general" vertical="bottom" textRotation="0" wrapText="false" indent="0" shrinkToFit="false"/>
      <protection locked="true" hidden="false"/>
    </xf>
    <xf numFmtId="249" fontId="28" fillId="0" borderId="25" xfId="17" applyFont="true" applyBorder="true" applyAlignment="true" applyProtection="true">
      <alignment horizontal="general" vertical="bottom" textRotation="0" wrapText="false" indent="0" shrinkToFit="false"/>
      <protection locked="true" hidden="false"/>
    </xf>
    <xf numFmtId="247" fontId="28" fillId="0" borderId="25" xfId="15" applyFont="true" applyBorder="true" applyAlignment="true" applyProtection="true">
      <alignment horizontal="general" vertical="bottom" textRotation="0" wrapText="false" indent="0" shrinkToFit="false"/>
      <protection locked="true" hidden="false"/>
    </xf>
    <xf numFmtId="169" fontId="119" fillId="0" borderId="0" xfId="0" applyFont="true" applyBorder="true" applyAlignment="false" applyProtection="false">
      <alignment horizontal="general" vertical="bottom" textRotation="0" wrapText="false" indent="0" shrinkToFit="false"/>
      <protection locked="true" hidden="false"/>
    </xf>
    <xf numFmtId="164" fontId="28" fillId="0" borderId="24" xfId="0" applyFont="true" applyBorder="true" applyAlignment="false" applyProtection="false">
      <alignment horizontal="general" vertical="bottom" textRotation="0" wrapText="false" indent="0" shrinkToFit="false"/>
      <protection locked="true" hidden="false"/>
    </xf>
    <xf numFmtId="193" fontId="28" fillId="0" borderId="0" xfId="0" applyFont="true" applyBorder="true" applyAlignment="false" applyProtection="false">
      <alignment horizontal="general" vertical="bottom" textRotation="0" wrapText="false" indent="0" shrinkToFit="false"/>
      <protection locked="true" hidden="false"/>
    </xf>
    <xf numFmtId="193" fontId="28" fillId="0" borderId="25" xfId="0" applyFont="true" applyBorder="true" applyAlignment="false" applyProtection="false">
      <alignment horizontal="general" vertical="bottom" textRotation="0" wrapText="false" indent="0" shrinkToFit="false"/>
      <protection locked="true" hidden="false"/>
    </xf>
    <xf numFmtId="193" fontId="28" fillId="0" borderId="0" xfId="0" applyFont="true" applyBorder="false" applyAlignment="false" applyProtection="false">
      <alignment horizontal="general" vertical="bottom" textRotation="0" wrapText="false" indent="0" shrinkToFit="false"/>
      <protection locked="true" hidden="false"/>
    </xf>
    <xf numFmtId="193" fontId="9" fillId="0" borderId="0" xfId="0" applyFont="true" applyBorder="false" applyAlignment="false" applyProtection="false">
      <alignment horizontal="general" vertical="bottom" textRotation="0" wrapText="false" indent="0" shrinkToFit="false"/>
      <protection locked="true" hidden="false"/>
    </xf>
    <xf numFmtId="247" fontId="28" fillId="0" borderId="0" xfId="0" applyFont="true" applyBorder="true" applyAlignment="false" applyProtection="false">
      <alignment horizontal="general" vertical="bottom" textRotation="0" wrapText="false" indent="0" shrinkToFit="false"/>
      <protection locked="true" hidden="false"/>
    </xf>
    <xf numFmtId="247" fontId="28" fillId="0" borderId="25" xfId="0" applyFont="true" applyBorder="true" applyAlignment="false" applyProtection="false">
      <alignment horizontal="general" vertical="bottom" textRotation="0" wrapText="false" indent="0" shrinkToFit="false"/>
      <protection locked="true" hidden="false"/>
    </xf>
    <xf numFmtId="164" fontId="28" fillId="0" borderId="26" xfId="0" applyFont="true" applyBorder="true" applyAlignment="false" applyProtection="false">
      <alignment horizontal="general" vertical="bottom" textRotation="0" wrapText="false" indent="0" shrinkToFit="false"/>
      <protection locked="true" hidden="false"/>
    </xf>
    <xf numFmtId="243" fontId="28" fillId="0" borderId="15" xfId="19" applyFont="true" applyBorder="true" applyAlignment="true" applyProtection="true">
      <alignment horizontal="general" vertical="bottom" textRotation="0" wrapText="false" indent="0" shrinkToFit="false"/>
      <protection locked="true" hidden="false"/>
    </xf>
    <xf numFmtId="164" fontId="28" fillId="0" borderId="15" xfId="0" applyFont="true" applyBorder="true" applyAlignment="false" applyProtection="false">
      <alignment horizontal="general" vertical="bottom" textRotation="0" wrapText="false" indent="0" shrinkToFit="false"/>
      <protection locked="true" hidden="false"/>
    </xf>
    <xf numFmtId="193" fontId="28" fillId="0" borderId="15" xfId="15" applyFont="true" applyBorder="true" applyAlignment="true" applyProtection="true">
      <alignment horizontal="general" vertical="bottom" textRotation="0" wrapText="false" indent="0" shrinkToFit="false"/>
      <protection locked="true" hidden="false"/>
    </xf>
    <xf numFmtId="193" fontId="28" fillId="0" borderId="16" xfId="15" applyFont="true" applyBorder="true" applyAlignment="true" applyProtection="true">
      <alignment horizontal="general" vertical="bottom" textRotation="0" wrapText="false" indent="0" shrinkToFit="false"/>
      <protection locked="true" hidden="false"/>
    </xf>
    <xf numFmtId="247" fontId="61" fillId="0" borderId="0" xfId="15" applyFont="true" applyBorder="true" applyAlignment="true" applyProtection="true">
      <alignment horizontal="general" vertical="bottom" textRotation="0" wrapText="false" indent="0" shrinkToFit="false"/>
      <protection locked="true" hidden="false"/>
    </xf>
    <xf numFmtId="247" fontId="67" fillId="0" borderId="0" xfId="15" applyFont="true" applyBorder="true" applyAlignment="true" applyProtection="true">
      <alignment horizontal="general" vertical="bottom" textRotation="0" wrapText="false" indent="0" shrinkToFit="false"/>
      <protection locked="true" hidden="false"/>
    </xf>
    <xf numFmtId="164" fontId="28" fillId="0" borderId="5" xfId="0" applyFont="true" applyBorder="true" applyAlignment="false" applyProtection="false">
      <alignment horizontal="general" vertical="bottom" textRotation="0" wrapText="false" indent="0" shrinkToFit="false"/>
      <protection locked="true" hidden="false"/>
    </xf>
    <xf numFmtId="193" fontId="120" fillId="0" borderId="0" xfId="15" applyFont="true" applyBorder="true" applyAlignment="true" applyProtection="true">
      <alignment horizontal="general" vertical="bottom" textRotation="0" wrapText="false" indent="0" shrinkToFit="false"/>
      <protection locked="true" hidden="false"/>
    </xf>
    <xf numFmtId="169" fontId="28" fillId="0" borderId="5" xfId="0" applyFont="true" applyBorder="true" applyAlignment="false" applyProtection="false">
      <alignment horizontal="general" vertical="bottom" textRotation="0" wrapText="false" indent="0" shrinkToFit="false"/>
      <protection locked="true" hidden="false"/>
    </xf>
    <xf numFmtId="243" fontId="28" fillId="0" borderId="11" xfId="0" applyFont="true" applyBorder="true" applyAlignment="false" applyProtection="false">
      <alignment horizontal="general" vertical="bottom" textRotation="0" wrapText="false" indent="0" shrinkToFit="false"/>
      <protection locked="true" hidden="false"/>
    </xf>
    <xf numFmtId="164" fontId="61" fillId="0" borderId="0" xfId="0" applyFont="true" applyBorder="true" applyAlignment="false" applyProtection="false">
      <alignment horizontal="general" vertical="bottom" textRotation="0" wrapText="false" indent="0" shrinkToFit="false"/>
      <protection locked="true" hidden="false"/>
    </xf>
    <xf numFmtId="235" fontId="61" fillId="0" borderId="0" xfId="0" applyFont="true" applyBorder="true" applyAlignment="false" applyProtection="false">
      <alignment horizontal="general" vertical="bottom" textRotation="0" wrapText="false" indent="0" shrinkToFit="false"/>
      <protection locked="true" hidden="false"/>
    </xf>
    <xf numFmtId="235" fontId="61" fillId="0" borderId="11" xfId="0" applyFont="true" applyBorder="true" applyAlignment="false" applyProtection="false">
      <alignment horizontal="general" vertical="bottom" textRotation="0" wrapText="false" indent="0" shrinkToFit="false"/>
      <protection locked="true" hidden="false"/>
    </xf>
    <xf numFmtId="235" fontId="61" fillId="0" borderId="0" xfId="0" applyFont="true" applyBorder="false" applyAlignment="false" applyProtection="false">
      <alignment horizontal="general" vertical="bottom" textRotation="0" wrapText="false" indent="0" shrinkToFit="false"/>
      <protection locked="true" hidden="false"/>
    </xf>
    <xf numFmtId="235" fontId="66" fillId="0" borderId="0" xfId="0" applyFont="true" applyBorder="false" applyAlignment="false" applyProtection="false">
      <alignment horizontal="general" vertical="bottom" textRotation="0" wrapText="false" indent="0" shrinkToFit="false"/>
      <protection locked="true" hidden="false"/>
    </xf>
    <xf numFmtId="235" fontId="121" fillId="0" borderId="10" xfId="1238" applyFont="true" applyBorder="true" applyAlignment="true" applyProtection="true">
      <alignment horizontal="left" vertical="bottom" textRotation="0" wrapText="false" indent="0" shrinkToFit="false"/>
      <protection locked="true" hidden="false"/>
    </xf>
    <xf numFmtId="235" fontId="121" fillId="0" borderId="0" xfId="1238" applyFont="true" applyBorder="true" applyAlignment="true" applyProtection="true">
      <alignment horizontal="general" vertical="bottom" textRotation="0" wrapText="false" indent="0" shrinkToFit="false"/>
      <protection locked="true" hidden="false"/>
    </xf>
    <xf numFmtId="235" fontId="122" fillId="0" borderId="0" xfId="1238" applyFont="true" applyBorder="true" applyAlignment="true" applyProtection="true">
      <alignment horizontal="general" vertical="bottom" textRotation="0" wrapText="false" indent="0" shrinkToFit="false"/>
      <protection locked="true" hidden="false"/>
    </xf>
    <xf numFmtId="249" fontId="28" fillId="0" borderId="10" xfId="17" applyFont="true" applyBorder="true" applyAlignment="true" applyProtection="true">
      <alignment horizontal="general" vertical="bottom" textRotation="0" wrapText="false" indent="0" shrinkToFit="false"/>
      <protection locked="true" hidden="false"/>
    </xf>
    <xf numFmtId="249" fontId="122" fillId="0" borderId="0" xfId="17" applyFont="true" applyBorder="true" applyAlignment="true" applyProtection="true">
      <alignment horizontal="general" vertical="bottom" textRotation="0" wrapText="false" indent="0" shrinkToFit="false"/>
      <protection locked="true" hidden="false"/>
    </xf>
    <xf numFmtId="249" fontId="122" fillId="0" borderId="8" xfId="17" applyFont="true" applyBorder="true" applyAlignment="true" applyProtection="true">
      <alignment horizontal="general" vertical="bottom" textRotation="0" wrapText="false" indent="0" shrinkToFit="false"/>
      <protection locked="true" hidden="false"/>
    </xf>
    <xf numFmtId="249" fontId="122" fillId="0" borderId="11" xfId="17" applyFont="true" applyBorder="true" applyAlignment="true" applyProtection="true">
      <alignment horizontal="general" vertical="bottom" textRotation="0" wrapText="false" indent="0" shrinkToFit="false"/>
      <protection locked="true" hidden="false"/>
    </xf>
    <xf numFmtId="249" fontId="31" fillId="0" borderId="0" xfId="17" applyFont="true" applyBorder="true" applyAlignment="true" applyProtection="true">
      <alignment horizontal="general" vertical="bottom" textRotation="0" wrapText="false" indent="0" shrinkToFit="false"/>
      <protection locked="true" hidden="false"/>
    </xf>
    <xf numFmtId="243" fontId="122" fillId="0" borderId="0" xfId="19" applyFont="true" applyBorder="true" applyAlignment="true" applyProtection="true">
      <alignment horizontal="general" vertical="bottom" textRotation="0" wrapText="false" indent="0" shrinkToFit="false"/>
      <protection locked="true" hidden="false"/>
    </xf>
    <xf numFmtId="249" fontId="122" fillId="8" borderId="0" xfId="17" applyFont="true" applyBorder="true" applyAlignment="true" applyProtection="true">
      <alignment horizontal="general" vertical="bottom" textRotation="0" wrapText="false" indent="0" shrinkToFit="false"/>
      <protection locked="true" hidden="false"/>
    </xf>
    <xf numFmtId="249" fontId="122" fillId="8" borderId="11" xfId="17" applyFont="true" applyBorder="true" applyAlignment="true" applyProtection="true">
      <alignment horizontal="general" vertical="bottom" textRotation="0" wrapText="false" indent="0" shrinkToFit="false"/>
      <protection locked="true" hidden="false"/>
    </xf>
    <xf numFmtId="249" fontId="31" fillId="8" borderId="0" xfId="17" applyFont="true" applyBorder="true" applyAlignment="true" applyProtection="true">
      <alignment horizontal="general" vertical="bottom" textRotation="0" wrapText="false" indent="0" shrinkToFit="false"/>
      <protection locked="true" hidden="false"/>
    </xf>
    <xf numFmtId="249" fontId="121" fillId="0" borderId="0" xfId="17" applyFont="true" applyBorder="true" applyAlignment="true" applyProtection="true">
      <alignment horizontal="general" vertical="bottom" textRotation="0" wrapText="false" indent="0" shrinkToFit="false"/>
      <protection locked="true" hidden="false"/>
    </xf>
    <xf numFmtId="249" fontId="121" fillId="0" borderId="11" xfId="17" applyFont="true" applyBorder="true" applyAlignment="true" applyProtection="true">
      <alignment horizontal="general" vertical="bottom" textRotation="0" wrapText="false" indent="0" shrinkToFit="false"/>
      <protection locked="true" hidden="false"/>
    </xf>
    <xf numFmtId="249" fontId="123" fillId="0" borderId="0" xfId="17" applyFont="true" applyBorder="true" applyAlignment="true" applyProtection="true">
      <alignment horizontal="general" vertical="bottom" textRotation="0" wrapText="false" indent="0" shrinkToFit="false"/>
      <protection locked="true" hidden="false"/>
    </xf>
    <xf numFmtId="193" fontId="122" fillId="0" borderId="0" xfId="15" applyFont="true" applyBorder="true" applyAlignment="true" applyProtection="true">
      <alignment horizontal="general" vertical="bottom" textRotation="0" wrapText="false" indent="0" shrinkToFit="false"/>
      <protection locked="true" hidden="false"/>
    </xf>
    <xf numFmtId="235" fontId="28" fillId="0" borderId="3" xfId="1238" applyFont="true" applyBorder="true" applyAlignment="true" applyProtection="true">
      <alignment horizontal="general" vertical="bottom" textRotation="0" wrapText="false" indent="0" shrinkToFit="false"/>
      <protection locked="true" hidden="false"/>
    </xf>
    <xf numFmtId="164" fontId="28" fillId="0" borderId="3" xfId="0" applyFont="true" applyBorder="true" applyAlignment="true" applyProtection="false">
      <alignment horizontal="right" vertical="bottom" textRotation="0" wrapText="false" indent="0" shrinkToFit="false"/>
      <protection locked="true" hidden="false"/>
    </xf>
    <xf numFmtId="244" fontId="28" fillId="0" borderId="3" xfId="19" applyFont="true" applyBorder="true" applyAlignment="true" applyProtection="true">
      <alignment horizontal="general" vertical="bottom" textRotation="0" wrapText="false" indent="0" shrinkToFit="false"/>
      <protection locked="true" hidden="false"/>
    </xf>
    <xf numFmtId="243" fontId="119" fillId="0" borderId="3" xfId="19" applyFont="true" applyBorder="true" applyAlignment="true" applyProtection="true">
      <alignment horizontal="general" vertical="bottom" textRotation="0" wrapText="false" indent="0" shrinkToFit="false"/>
      <protection locked="true" hidden="false"/>
    </xf>
    <xf numFmtId="243" fontId="119" fillId="0" borderId="7" xfId="19" applyFont="true" applyBorder="true" applyAlignment="true" applyProtection="true">
      <alignment horizontal="general" vertical="bottom" textRotation="0" wrapText="false" indent="0" shrinkToFit="false"/>
      <protection locked="true" hidden="false"/>
    </xf>
    <xf numFmtId="243" fontId="124" fillId="0" borderId="0" xfId="19" applyFont="true" applyBorder="true" applyAlignment="true" applyProtection="true">
      <alignment horizontal="general" vertical="bottom" textRotation="0" wrapText="false" indent="0" shrinkToFit="false"/>
      <protection locked="true" hidden="false"/>
    </xf>
    <xf numFmtId="193" fontId="122" fillId="0" borderId="0" xfId="15" applyFont="true" applyBorder="true" applyAlignment="true" applyProtection="true">
      <alignment horizontal="general" vertical="bottom" textRotation="0" wrapText="false" indent="0" shrinkToFit="false"/>
      <protection locked="true" hidden="false"/>
    </xf>
    <xf numFmtId="164" fontId="122" fillId="0" borderId="0" xfId="15" applyFont="true" applyBorder="true" applyAlignment="true" applyProtection="true">
      <alignment horizontal="general" vertical="bottom" textRotation="0" wrapText="false" indent="0" shrinkToFit="false"/>
      <protection locked="true" hidden="false"/>
    </xf>
    <xf numFmtId="260" fontId="61" fillId="0" borderId="0" xfId="1238" applyFont="true" applyBorder="true" applyAlignment="true" applyProtection="true">
      <alignment horizontal="general" vertical="bottom" textRotation="0" wrapText="false" indent="0" shrinkToFit="false"/>
      <protection locked="true" hidden="false"/>
    </xf>
    <xf numFmtId="235" fontId="25" fillId="0" borderId="0" xfId="1238" applyFont="false" applyBorder="true" applyAlignment="true" applyProtection="true">
      <alignment horizontal="general" vertical="bottom" textRotation="0" wrapText="false" indent="0" shrinkToFit="false"/>
      <protection locked="true" hidden="false"/>
    </xf>
    <xf numFmtId="193" fontId="0" fillId="0" borderId="0" xfId="0" applyFont="false" applyBorder="false" applyAlignment="false" applyProtection="false">
      <alignment horizontal="general" vertical="bottom" textRotation="0" wrapText="false" indent="0" shrinkToFit="false"/>
      <protection locked="true" hidden="false"/>
    </xf>
    <xf numFmtId="206" fontId="57" fillId="0" borderId="0" xfId="1238" applyFont="true" applyBorder="true" applyAlignment="true" applyProtection="true">
      <alignment horizontal="general" vertical="bottom" textRotation="0" wrapText="false" indent="0" shrinkToFit="false"/>
      <protection locked="true" hidden="false"/>
    </xf>
    <xf numFmtId="206" fontId="25" fillId="0" borderId="0" xfId="1238" applyFont="false" applyBorder="true" applyAlignment="true" applyProtection="true">
      <alignment horizontal="general" vertical="bottom" textRotation="0" wrapText="false" indent="0" shrinkToFit="false"/>
      <protection locked="true" hidden="false"/>
    </xf>
    <xf numFmtId="235" fontId="125" fillId="0" borderId="0" xfId="1238" applyFont="true" applyBorder="true" applyAlignment="true" applyProtection="true">
      <alignment horizontal="general" vertical="bottom" textRotation="0" wrapText="false" indent="0" shrinkToFit="false"/>
      <protection locked="true" hidden="false"/>
    </xf>
    <xf numFmtId="235" fontId="25" fillId="0" borderId="0" xfId="1238" applyFont="false" applyBorder="true" applyAlignment="true" applyProtection="true">
      <alignment horizontal="general" vertical="bottom" textRotation="0" wrapText="false" indent="0" shrinkToFit="false"/>
      <protection locked="true" hidden="false"/>
    </xf>
    <xf numFmtId="235" fontId="57" fillId="2" borderId="9" xfId="1238" applyFont="true" applyBorder="true" applyAlignment="true" applyProtection="true">
      <alignment horizontal="general" vertical="bottom" textRotation="0" wrapText="false" indent="0" shrinkToFit="false"/>
      <protection locked="true" hidden="false"/>
    </xf>
    <xf numFmtId="252" fontId="96" fillId="2" borderId="5" xfId="15" applyFont="true" applyBorder="true" applyAlignment="true" applyProtection="true">
      <alignment horizontal="general" vertical="bottom" textRotation="0" wrapText="false" indent="0" shrinkToFit="false"/>
      <protection locked="true" hidden="false"/>
    </xf>
    <xf numFmtId="252" fontId="96" fillId="0" borderId="0" xfId="15" applyFont="true" applyBorder="true" applyAlignment="true" applyProtection="true">
      <alignment horizontal="general" vertical="bottom" textRotation="0" wrapText="false" indent="0" shrinkToFit="false"/>
      <protection locked="true" hidden="false"/>
    </xf>
    <xf numFmtId="244" fontId="57" fillId="2" borderId="3" xfId="19" applyFont="true" applyBorder="true" applyAlignment="true" applyProtection="true">
      <alignment horizontal="general" vertical="bottom" textRotation="0" wrapText="false" indent="0" shrinkToFit="false"/>
      <protection locked="true" hidden="false"/>
    </xf>
    <xf numFmtId="244" fontId="57" fillId="2" borderId="7" xfId="19" applyFont="true" applyBorder="true" applyAlignment="true" applyProtection="true">
      <alignment horizontal="general" vertical="bottom" textRotation="0" wrapText="false" indent="0" shrinkToFit="false"/>
      <protection locked="true" hidden="false"/>
    </xf>
    <xf numFmtId="244" fontId="57" fillId="0" borderId="0" xfId="19" applyFont="true" applyBorder="true" applyAlignment="true" applyProtection="true">
      <alignment horizontal="general" vertical="bottom" textRotation="0" wrapText="false" indent="0" shrinkToFit="false"/>
      <protection locked="true" hidden="false"/>
    </xf>
    <xf numFmtId="244" fontId="25" fillId="0" borderId="0" xfId="19" applyFont="true" applyBorder="true" applyAlignment="true" applyProtection="true">
      <alignment horizontal="general" vertical="bottom" textRotation="0" wrapText="false" indent="0" shrinkToFit="false"/>
      <protection locked="true" hidden="false"/>
    </xf>
    <xf numFmtId="246" fontId="28" fillId="0" borderId="0" xfId="0" applyFont="true" applyBorder="false" applyAlignment="false" applyProtection="false">
      <alignment horizontal="general" vertical="bottom" textRotation="0" wrapText="false" indent="0" shrinkToFit="false"/>
      <protection locked="true" hidden="false"/>
    </xf>
    <xf numFmtId="235" fontId="25" fillId="0" borderId="0" xfId="1238" applyFont="false" applyBorder="true" applyAlignment="true" applyProtection="true">
      <alignment horizontal="right" vertical="bottom" textRotation="0" wrapText="false" indent="0" shrinkToFit="false"/>
      <protection locked="true" hidden="false"/>
    </xf>
    <xf numFmtId="259" fontId="112" fillId="0" borderId="0" xfId="0" applyFont="true" applyBorder="false" applyAlignment="false" applyProtection="true">
      <alignment horizontal="general" vertical="bottom" textRotation="0" wrapText="false" indent="0" shrinkToFit="false"/>
      <protection locked="true" hidden="false"/>
    </xf>
    <xf numFmtId="240" fontId="64" fillId="0" borderId="10" xfId="1238" applyFont="true" applyBorder="true" applyAlignment="true" applyProtection="true">
      <alignment horizontal="general" vertical="bottom" textRotation="0" wrapText="false" indent="0" shrinkToFit="false"/>
      <protection locked="true" hidden="false"/>
    </xf>
    <xf numFmtId="252" fontId="58" fillId="0" borderId="0" xfId="15" applyFont="true" applyBorder="true" applyAlignment="true" applyProtection="true">
      <alignment horizontal="general" vertical="bottom" textRotation="0" wrapText="false" indent="0" shrinkToFit="false"/>
      <protection locked="true" hidden="false"/>
    </xf>
    <xf numFmtId="240" fontId="64" fillId="0" borderId="6" xfId="1238" applyFont="true" applyBorder="true" applyAlignment="true" applyProtection="true">
      <alignment horizontal="general" vertical="bottom" textRotation="0" wrapText="false" indent="0" shrinkToFit="false"/>
      <protection locked="true" hidden="false"/>
    </xf>
    <xf numFmtId="240" fontId="57" fillId="0" borderId="3" xfId="1238" applyFont="true" applyBorder="true" applyAlignment="true" applyProtection="true">
      <alignment horizontal="general" vertical="bottom" textRotation="0" wrapText="false" indent="0" shrinkToFit="false"/>
      <protection locked="true" hidden="false"/>
    </xf>
    <xf numFmtId="240" fontId="57" fillId="0" borderId="7" xfId="1238" applyFont="true" applyBorder="true" applyAlignment="true" applyProtection="true">
      <alignment horizontal="general" vertical="bottom" textRotation="0" wrapText="false" indent="0" shrinkToFit="false"/>
      <protection locked="true" hidden="false"/>
    </xf>
    <xf numFmtId="252" fontId="25" fillId="0" borderId="0" xfId="15" applyFont="true" applyBorder="true" applyAlignment="true" applyProtection="true">
      <alignment horizontal="general" vertical="bottom" textRotation="0" wrapText="false" indent="0" shrinkToFit="false"/>
      <protection locked="true" hidden="false"/>
    </xf>
    <xf numFmtId="235" fontId="64" fillId="0" borderId="4" xfId="1238" applyFont="true" applyBorder="true" applyAlignment="true" applyProtection="true">
      <alignment horizontal="left" vertical="bottom" textRotation="0" wrapText="false" indent="0" shrinkToFit="false"/>
      <protection locked="true" hidden="false"/>
    </xf>
    <xf numFmtId="235" fontId="57" fillId="0" borderId="9" xfId="1238" applyFont="true" applyBorder="true" applyAlignment="true" applyProtection="true">
      <alignment horizontal="general" vertical="bottom" textRotation="0" wrapText="false" indent="0" shrinkToFit="false"/>
      <protection locked="true" hidden="false"/>
    </xf>
    <xf numFmtId="252" fontId="96" fillId="0" borderId="9" xfId="15" applyFont="true" applyBorder="true" applyAlignment="true" applyProtection="true">
      <alignment horizontal="general" vertical="bottom" textRotation="0" wrapText="false" indent="0" shrinkToFit="false"/>
      <protection locked="true" hidden="false"/>
    </xf>
    <xf numFmtId="252" fontId="96" fillId="0" borderId="5" xfId="15" applyFont="true" applyBorder="true" applyAlignment="true" applyProtection="true">
      <alignment horizontal="general" vertical="bottom" textRotation="0" wrapText="false" indent="0" shrinkToFit="false"/>
      <protection locked="true" hidden="false"/>
    </xf>
    <xf numFmtId="185" fontId="57" fillId="0" borderId="10" xfId="916" applyFont="true" applyBorder="true" applyAlignment="true" applyProtection="true">
      <alignment horizontal="general" vertical="bottom" textRotation="0" wrapText="false" indent="0" shrinkToFit="false"/>
      <protection locked="true" hidden="false"/>
    </xf>
    <xf numFmtId="249" fontId="12" fillId="0" borderId="0" xfId="17" applyFont="true" applyBorder="true" applyAlignment="true" applyProtection="true">
      <alignment horizontal="general" vertical="bottom" textRotation="0" wrapText="false" indent="0" shrinkToFit="false"/>
      <protection locked="true" hidden="false"/>
    </xf>
    <xf numFmtId="258" fontId="57" fillId="0" borderId="0" xfId="916" applyFont="true" applyBorder="true" applyAlignment="true" applyProtection="true">
      <alignment horizontal="general" vertical="bottom" textRotation="0" wrapText="false" indent="0" shrinkToFit="false"/>
      <protection locked="true" hidden="false"/>
    </xf>
    <xf numFmtId="258" fontId="57" fillId="0" borderId="11" xfId="916" applyFont="true" applyBorder="true" applyAlignment="true" applyProtection="true">
      <alignment horizontal="general" vertical="bottom" textRotation="0" wrapText="false" indent="0" shrinkToFit="false"/>
      <protection locked="true" hidden="false"/>
    </xf>
    <xf numFmtId="185" fontId="12" fillId="0" borderId="0" xfId="916" applyFont="true" applyBorder="true" applyAlignment="true" applyProtection="true">
      <alignment horizontal="general" vertical="bottom" textRotation="0" wrapText="false" indent="0" shrinkToFit="false"/>
      <protection locked="true" hidden="false"/>
    </xf>
    <xf numFmtId="258" fontId="109" fillId="0" borderId="0" xfId="916" applyFont="true" applyBorder="true" applyAlignment="true" applyProtection="true">
      <alignment horizontal="general" vertical="bottom" textRotation="0" wrapText="false" indent="0" shrinkToFit="false"/>
      <protection locked="true" hidden="false"/>
    </xf>
    <xf numFmtId="258" fontId="109" fillId="0" borderId="11" xfId="916" applyFont="true" applyBorder="true" applyAlignment="true" applyProtection="true">
      <alignment horizontal="general" vertical="bottom" textRotation="0" wrapText="false" indent="0" shrinkToFit="false"/>
      <protection locked="true" hidden="false"/>
    </xf>
    <xf numFmtId="235" fontId="64" fillId="0" borderId="6" xfId="1238" applyFont="true" applyBorder="true" applyAlignment="true" applyProtection="true">
      <alignment horizontal="left" vertical="bottom" textRotation="0" wrapText="false" indent="0" shrinkToFit="false"/>
      <protection locked="true" hidden="false"/>
    </xf>
    <xf numFmtId="249" fontId="57" fillId="0" borderId="3" xfId="17" applyFont="true" applyBorder="true" applyAlignment="true" applyProtection="true">
      <alignment horizontal="general" vertical="bottom" textRotation="0" wrapText="false" indent="0" shrinkToFit="false"/>
      <protection locked="true" hidden="false"/>
    </xf>
    <xf numFmtId="249" fontId="57" fillId="0" borderId="7" xfId="17" applyFont="true" applyBorder="true" applyAlignment="true" applyProtection="true">
      <alignment horizontal="general" vertical="bottom" textRotation="0" wrapText="false" indent="0" shrinkToFit="false"/>
      <protection locked="true" hidden="false"/>
    </xf>
    <xf numFmtId="235" fontId="64" fillId="0" borderId="27" xfId="1238" applyFont="true" applyBorder="true" applyAlignment="true" applyProtection="true">
      <alignment horizontal="left" vertical="bottom" textRotation="0" wrapText="false" indent="0" shrinkToFit="false"/>
      <protection locked="true" hidden="false"/>
    </xf>
    <xf numFmtId="235" fontId="57" fillId="0" borderId="27" xfId="1238" applyFont="true" applyBorder="true" applyAlignment="true" applyProtection="true">
      <alignment horizontal="general" vertical="bottom" textRotation="0" wrapText="false" indent="0" shrinkToFit="false"/>
      <protection locked="true" hidden="false"/>
    </xf>
    <xf numFmtId="249" fontId="57" fillId="0" borderId="27" xfId="17" applyFont="true" applyBorder="true" applyAlignment="true" applyProtection="true">
      <alignment horizontal="general" vertical="bottom" textRotation="0" wrapText="false" indent="0" shrinkToFit="false"/>
      <protection locked="true" hidden="false"/>
    </xf>
    <xf numFmtId="249" fontId="57" fillId="0" borderId="0" xfId="19" applyFont="true" applyBorder="true" applyAlignment="true" applyProtection="true">
      <alignment horizontal="general" vertical="bottom" textRotation="0" wrapText="false" indent="0" shrinkToFit="false"/>
      <protection locked="true" hidden="false"/>
    </xf>
    <xf numFmtId="185" fontId="57" fillId="0" borderId="9" xfId="916" applyFont="true" applyBorder="true" applyAlignment="true" applyProtection="true">
      <alignment horizontal="general" vertical="bottom" textRotation="0" wrapText="false" indent="0" shrinkToFit="false"/>
      <protection locked="true" hidden="false"/>
    </xf>
    <xf numFmtId="185" fontId="57" fillId="0" borderId="5" xfId="916" applyFont="true" applyBorder="true" applyAlignment="true" applyProtection="true">
      <alignment horizontal="general" vertical="bottom" textRotation="0" wrapText="false" indent="0" shrinkToFit="false"/>
      <protection locked="true" hidden="false"/>
    </xf>
    <xf numFmtId="235" fontId="64" fillId="0" borderId="10" xfId="1238" applyFont="true" applyBorder="true" applyAlignment="true" applyProtection="true">
      <alignment horizontal="left" vertical="bottom" textRotation="0" wrapText="false" indent="0" shrinkToFit="false"/>
      <protection locked="true" hidden="false"/>
    </xf>
    <xf numFmtId="164" fontId="116" fillId="0" borderId="10" xfId="0" applyFont="true" applyBorder="true" applyAlignment="true" applyProtection="true">
      <alignment horizontal="left" vertical="bottom" textRotation="0" wrapText="false" indent="0" shrinkToFit="false"/>
      <protection locked="true" hidden="false"/>
    </xf>
    <xf numFmtId="249" fontId="108" fillId="0" borderId="0" xfId="17" applyFont="true" applyBorder="true" applyAlignment="true" applyProtection="true">
      <alignment horizontal="general" vertical="bottom" textRotation="0" wrapText="false" indent="0" shrinkToFit="false"/>
      <protection locked="true" hidden="false"/>
    </xf>
    <xf numFmtId="249" fontId="108" fillId="0" borderId="11" xfId="17" applyFont="true" applyBorder="true" applyAlignment="true" applyProtection="true">
      <alignment horizontal="general" vertical="bottom" textRotation="0" wrapText="false" indent="0" shrinkToFit="false"/>
      <protection locked="true" hidden="false"/>
    </xf>
    <xf numFmtId="249" fontId="64" fillId="0" borderId="0" xfId="17" applyFont="true" applyBorder="true" applyAlignment="true" applyProtection="true">
      <alignment horizontal="general" vertical="bottom" textRotation="0" wrapText="false" indent="0" shrinkToFit="false"/>
      <protection locked="true" hidden="false"/>
    </xf>
    <xf numFmtId="249" fontId="64" fillId="0" borderId="11" xfId="17" applyFont="true" applyBorder="true" applyAlignment="true" applyProtection="true">
      <alignment horizontal="general" vertical="bottom" textRotation="0" wrapText="false" indent="0" shrinkToFit="false"/>
      <protection locked="true" hidden="false"/>
    </xf>
    <xf numFmtId="247" fontId="109" fillId="11" borderId="0" xfId="916" applyFont="true" applyBorder="true" applyAlignment="true" applyProtection="true">
      <alignment horizontal="general" vertical="bottom" textRotation="0" wrapText="false" indent="0" shrinkToFit="false"/>
      <protection locked="true" hidden="false"/>
    </xf>
    <xf numFmtId="247" fontId="12" fillId="0" borderId="0" xfId="916" applyFont="true" applyBorder="true" applyAlignment="true" applyProtection="true">
      <alignment horizontal="general" vertical="bottom" textRotation="0" wrapText="false" indent="0" shrinkToFit="false"/>
      <protection locked="true" hidden="false"/>
    </xf>
    <xf numFmtId="185" fontId="126" fillId="0" borderId="0" xfId="916" applyFont="true" applyBorder="true" applyAlignment="true" applyProtection="true">
      <alignment horizontal="general" vertical="bottom" textRotation="0" wrapText="false" indent="0" shrinkToFit="false"/>
      <protection locked="true" hidden="false"/>
    </xf>
    <xf numFmtId="185" fontId="108" fillId="0" borderId="0" xfId="916" applyFont="true" applyBorder="true" applyAlignment="true" applyProtection="true">
      <alignment horizontal="general" vertical="bottom" textRotation="0" wrapText="false" indent="0" shrinkToFit="false"/>
      <protection locked="true" hidden="false"/>
    </xf>
    <xf numFmtId="185" fontId="108" fillId="0" borderId="11" xfId="916" applyFont="true" applyBorder="true" applyAlignment="true" applyProtection="true">
      <alignment horizontal="general" vertical="bottom" textRotation="0" wrapText="false" indent="0" shrinkToFit="false"/>
      <protection locked="true" hidden="false"/>
    </xf>
    <xf numFmtId="249" fontId="126" fillId="0" borderId="0" xfId="17" applyFont="true" applyBorder="true" applyAlignment="true" applyProtection="true">
      <alignment horizontal="general" vertical="bottom" textRotation="0" wrapText="false" indent="0" shrinkToFit="false"/>
      <protection locked="true" hidden="false"/>
    </xf>
    <xf numFmtId="249" fontId="64" fillId="0" borderId="3" xfId="17" applyFont="true" applyBorder="true" applyAlignment="true" applyProtection="true">
      <alignment horizontal="general" vertical="bottom" textRotation="0" wrapText="false" indent="0" shrinkToFit="false"/>
      <protection locked="true" hidden="false"/>
    </xf>
    <xf numFmtId="249" fontId="64" fillId="0" borderId="7" xfId="17" applyFont="true" applyBorder="true" applyAlignment="true" applyProtection="true">
      <alignment horizontal="general" vertical="bottom" textRotation="0" wrapText="false" indent="0" shrinkToFit="false"/>
      <protection locked="true" hidden="false"/>
    </xf>
    <xf numFmtId="249" fontId="109" fillId="0" borderId="27" xfId="17" applyFont="true" applyBorder="true" applyAlignment="true" applyProtection="true">
      <alignment horizontal="general" vertical="bottom" textRotation="0" wrapText="false" indent="0" shrinkToFit="false"/>
      <protection locked="true" hidden="false"/>
    </xf>
    <xf numFmtId="235" fontId="64" fillId="0" borderId="0" xfId="1238" applyFont="true" applyBorder="true" applyAlignment="true" applyProtection="true">
      <alignment horizontal="left" vertical="bottom" textRotation="0" wrapText="false" indent="0" shrinkToFit="false"/>
      <protection locked="true" hidden="false"/>
    </xf>
    <xf numFmtId="249" fontId="115" fillId="0" borderId="0" xfId="17" applyFont="true" applyBorder="true" applyAlignment="true" applyProtection="true">
      <alignment horizontal="general" vertical="bottom" textRotation="0" wrapText="false" indent="0" shrinkToFit="false"/>
      <protection locked="true" hidden="false"/>
    </xf>
    <xf numFmtId="235" fontId="57" fillId="0" borderId="10" xfId="1238" applyFont="true" applyBorder="true" applyAlignment="true" applyProtection="true">
      <alignment horizontal="general" vertical="bottom" textRotation="0" wrapText="false" indent="0" shrinkToFit="false"/>
      <protection locked="true" hidden="false"/>
    </xf>
    <xf numFmtId="200" fontId="127" fillId="0" borderId="3" xfId="916" applyFont="true" applyBorder="true" applyAlignment="true" applyProtection="true">
      <alignment horizontal="general" vertical="bottom" textRotation="0" wrapText="false" indent="0" shrinkToFit="false"/>
      <protection locked="true" hidden="false"/>
    </xf>
    <xf numFmtId="200" fontId="127" fillId="0" borderId="7" xfId="916" applyFont="true" applyBorder="true" applyAlignment="true" applyProtection="true">
      <alignment horizontal="general" vertical="bottom" textRotation="0" wrapText="false" indent="0" shrinkToFit="false"/>
      <protection locked="true" hidden="false"/>
    </xf>
    <xf numFmtId="200" fontId="128" fillId="0" borderId="0" xfId="916" applyFont="true" applyBorder="true" applyAlignment="true" applyProtection="true">
      <alignment horizontal="general" vertical="bottom" textRotation="0" wrapText="false" indent="0" shrinkToFit="false"/>
      <protection locked="true" hidden="false"/>
    </xf>
    <xf numFmtId="193" fontId="109" fillId="0" borderId="0" xfId="15" applyFont="true" applyBorder="true" applyAlignment="true" applyProtection="true">
      <alignment horizontal="general" vertical="bottom" textRotation="0" wrapText="false" indent="0" shrinkToFit="false"/>
      <protection locked="true" hidden="false"/>
    </xf>
    <xf numFmtId="200" fontId="57" fillId="0" borderId="0" xfId="916" applyFont="true" applyBorder="true" applyAlignment="true" applyProtection="true">
      <alignment horizontal="general" vertical="bottom" textRotation="0" wrapText="false" indent="0" shrinkToFit="false"/>
      <protection locked="true" hidden="false"/>
    </xf>
    <xf numFmtId="200" fontId="57" fillId="0" borderId="0" xfId="916" applyFont="true" applyBorder="true" applyAlignment="true" applyProtection="true">
      <alignment horizontal="left" vertical="bottom" textRotation="0" wrapText="false" indent="0" shrinkToFit="false"/>
      <protection locked="true" hidden="false"/>
    </xf>
    <xf numFmtId="200" fontId="12" fillId="0" borderId="0" xfId="916" applyFont="true" applyBorder="true" applyAlignment="true" applyProtection="true">
      <alignment horizontal="general" vertical="bottom" textRotation="0" wrapText="false" indent="0" shrinkToFit="false"/>
      <protection locked="true" hidden="false"/>
    </xf>
    <xf numFmtId="230" fontId="57" fillId="0" borderId="0" xfId="916" applyFont="true" applyBorder="true" applyAlignment="true" applyProtection="true">
      <alignment horizontal="general" vertical="bottom" textRotation="0" wrapText="false" indent="0" shrinkToFit="false"/>
      <protection locked="true" hidden="false"/>
    </xf>
    <xf numFmtId="230" fontId="12" fillId="0" borderId="0" xfId="916" applyFont="true" applyBorder="true" applyAlignment="true" applyProtection="true">
      <alignment horizontal="general" vertical="bottom" textRotation="0" wrapText="false" indent="0" shrinkToFit="false"/>
      <protection locked="true" hidden="false"/>
    </xf>
    <xf numFmtId="263" fontId="57" fillId="0" borderId="0" xfId="916" applyFont="true" applyBorder="true" applyAlignment="true" applyProtection="true">
      <alignment horizontal="general" vertical="bottom" textRotation="0" wrapText="false" indent="0" shrinkToFit="false"/>
      <protection locked="true" hidden="false"/>
    </xf>
    <xf numFmtId="263" fontId="12" fillId="0" borderId="0" xfId="916" applyFont="true" applyBorder="true" applyAlignment="true" applyProtection="true">
      <alignment horizontal="general" vertical="bottom" textRotation="0" wrapText="false" indent="0" shrinkToFit="false"/>
      <protection locked="true" hidden="false"/>
    </xf>
    <xf numFmtId="224" fontId="108" fillId="0" borderId="0" xfId="0" applyFont="true" applyBorder="true" applyAlignment="false" applyProtection="false">
      <alignment horizontal="general" vertical="bottom" textRotation="0" wrapText="false" indent="0" shrinkToFit="false"/>
      <protection locked="true" hidden="false"/>
    </xf>
    <xf numFmtId="224" fontId="108" fillId="0" borderId="11"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244" fontId="57" fillId="0" borderId="0" xfId="0" applyFont="true" applyBorder="true" applyAlignment="false" applyProtection="false">
      <alignment horizontal="general" vertical="bottom" textRotation="0" wrapText="false" indent="0" shrinkToFit="false"/>
      <protection locked="true" hidden="false"/>
    </xf>
    <xf numFmtId="244" fontId="57" fillId="0" borderId="11" xfId="0" applyFont="true" applyBorder="true" applyAlignment="false" applyProtection="false">
      <alignment horizontal="general" vertical="bottom" textRotation="0" wrapText="false" indent="0" shrinkToFit="false"/>
      <protection locked="true" hidden="false"/>
    </xf>
    <xf numFmtId="200" fontId="57" fillId="0" borderId="0" xfId="0" applyFont="true" applyBorder="true" applyAlignment="false" applyProtection="true">
      <alignment horizontal="general" vertical="bottom" textRotation="0" wrapText="false" indent="0" shrinkToFit="false"/>
      <protection locked="true" hidden="false"/>
    </xf>
    <xf numFmtId="200" fontId="57" fillId="0" borderId="11" xfId="0" applyFont="true" applyBorder="true" applyAlignment="false" applyProtection="true">
      <alignment horizontal="general" vertical="bottom" textRotation="0" wrapText="false" indent="0" shrinkToFit="false"/>
      <protection locked="true" hidden="false"/>
    </xf>
    <xf numFmtId="170" fontId="28" fillId="0" borderId="0" xfId="0" applyFont="true" applyBorder="true" applyAlignment="false" applyProtection="false">
      <alignment horizontal="general" vertical="bottom" textRotation="0" wrapText="false" indent="0" shrinkToFit="false"/>
      <protection locked="true" hidden="false"/>
    </xf>
    <xf numFmtId="229" fontId="57" fillId="0" borderId="0" xfId="0" applyFont="true" applyBorder="true" applyAlignment="true" applyProtection="false">
      <alignment horizontal="right" vertical="bottom" textRotation="0" wrapText="false" indent="0" shrinkToFit="false"/>
      <protection locked="true" hidden="false"/>
    </xf>
    <xf numFmtId="229" fontId="57" fillId="0" borderId="11" xfId="0" applyFont="true" applyBorder="true" applyAlignment="true" applyProtection="false">
      <alignment horizontal="right" vertical="bottom" textRotation="0" wrapText="false" indent="0" shrinkToFit="false"/>
      <protection locked="true" hidden="false"/>
    </xf>
    <xf numFmtId="229" fontId="57" fillId="0" borderId="0" xfId="0" applyFont="true" applyBorder="true" applyAlignment="false" applyProtection="false">
      <alignment horizontal="general" vertical="bottom" textRotation="0" wrapText="false" indent="0" shrinkToFit="false"/>
      <protection locked="true" hidden="false"/>
    </xf>
    <xf numFmtId="229" fontId="57" fillId="0" borderId="11" xfId="0" applyFont="true" applyBorder="true" applyAlignment="false" applyProtection="false">
      <alignment horizontal="general" vertical="bottom" textRotation="0" wrapText="false" indent="0" shrinkToFit="false"/>
      <protection locked="true" hidden="false"/>
    </xf>
    <xf numFmtId="193" fontId="57" fillId="0" borderId="0" xfId="0" applyFont="true" applyBorder="true" applyAlignment="true" applyProtection="false">
      <alignment horizontal="right" vertical="bottom" textRotation="0" wrapText="false" indent="0" shrinkToFit="false"/>
      <protection locked="true" hidden="false"/>
    </xf>
    <xf numFmtId="193" fontId="57" fillId="0" borderId="11" xfId="0" applyFont="true" applyBorder="true" applyAlignment="true" applyProtection="false">
      <alignment horizontal="right" vertical="bottom" textRotation="0" wrapText="false" indent="0" shrinkToFit="false"/>
      <protection locked="true" hidden="false"/>
    </xf>
    <xf numFmtId="244" fontId="57" fillId="0" borderId="11" xfId="19" applyFont="true" applyBorder="true" applyAlignment="true" applyProtection="true">
      <alignment horizontal="general" vertical="bottom" textRotation="0" wrapText="false" indent="0" shrinkToFit="false"/>
      <protection locked="true" hidden="false"/>
    </xf>
    <xf numFmtId="164" fontId="57" fillId="0" borderId="3" xfId="0" applyFont="true" applyBorder="true" applyAlignment="false" applyProtection="false">
      <alignment horizontal="general" vertical="bottom" textRotation="0" wrapText="false" indent="0" shrinkToFit="false"/>
      <protection locked="true" hidden="false"/>
    </xf>
    <xf numFmtId="244" fontId="57" fillId="0" borderId="3" xfId="19" applyFont="true" applyBorder="true" applyAlignment="true" applyProtection="true">
      <alignment horizontal="general" vertical="bottom" textRotation="0" wrapText="false" indent="0" shrinkToFit="false"/>
      <protection locked="true" hidden="false"/>
    </xf>
    <xf numFmtId="244" fontId="57" fillId="0" borderId="7" xfId="19" applyFont="true" applyBorder="true" applyAlignment="true" applyProtection="true">
      <alignment horizontal="general" vertical="bottom" textRotation="0" wrapText="false" indent="0" shrinkToFit="false"/>
      <protection locked="true" hidden="false"/>
    </xf>
    <xf numFmtId="193" fontId="57" fillId="0" borderId="0" xfId="15" applyFont="true" applyBorder="true" applyAlignment="true" applyProtection="true">
      <alignment horizontal="general" vertical="bottom" textRotation="0" wrapText="false" indent="0" shrinkToFit="false"/>
      <protection locked="true" hidden="false"/>
    </xf>
    <xf numFmtId="258" fontId="28" fillId="0" borderId="0" xfId="0" applyFont="true" applyBorder="false" applyAlignment="false" applyProtection="false">
      <alignment horizontal="general" vertical="bottom" textRotation="0" wrapText="false" indent="0" shrinkToFit="false"/>
      <protection locked="true" hidden="false"/>
    </xf>
    <xf numFmtId="164" fontId="93" fillId="0" borderId="0" xfId="0" applyFont="true" applyBorder="true" applyAlignment="false" applyProtection="false">
      <alignment horizontal="general" vertical="bottom" textRotation="0" wrapText="false" indent="0" shrinkToFit="false"/>
      <protection locked="true" hidden="false"/>
    </xf>
    <xf numFmtId="164" fontId="57" fillId="2" borderId="9" xfId="0" applyFont="true" applyBorder="true" applyAlignment="false" applyProtection="false">
      <alignment horizontal="general" vertical="bottom" textRotation="0" wrapText="false" indent="0" shrinkToFit="false"/>
      <protection locked="true" hidden="false"/>
    </xf>
    <xf numFmtId="164" fontId="57" fillId="2" borderId="5" xfId="0" applyFont="true" applyBorder="true" applyAlignment="false" applyProtection="false">
      <alignment horizontal="general" vertical="bottom" textRotation="0" wrapText="false" indent="0" shrinkToFit="false"/>
      <protection locked="true" hidden="false"/>
    </xf>
    <xf numFmtId="164" fontId="57" fillId="2" borderId="3" xfId="0" applyFont="true" applyBorder="true" applyAlignment="false" applyProtection="false">
      <alignment horizontal="general" vertical="bottom" textRotation="0" wrapText="false" indent="0" shrinkToFit="false"/>
      <protection locked="true" hidden="false"/>
    </xf>
    <xf numFmtId="164" fontId="57" fillId="2" borderId="7" xfId="0" applyFont="true" applyBorder="true" applyAlignment="false" applyProtection="false">
      <alignment horizontal="general" vertical="bottom" textRotation="0" wrapText="false" indent="0" shrinkToFit="false"/>
      <protection locked="true" hidden="false"/>
    </xf>
    <xf numFmtId="260" fontId="57" fillId="0" borderId="0" xfId="1238" applyFont="true" applyBorder="true" applyAlignment="true" applyProtection="true">
      <alignment horizontal="general" vertical="bottom" textRotation="0" wrapText="false" indent="0" shrinkToFit="false"/>
      <protection locked="true" hidden="false"/>
    </xf>
    <xf numFmtId="164" fontId="57" fillId="0" borderId="0" xfId="0" applyFont="true" applyBorder="true" applyAlignment="true" applyProtection="true">
      <alignment horizontal="right" vertical="bottom" textRotation="0" wrapText="false" indent="0" shrinkToFit="false"/>
      <protection locked="true" hidden="false"/>
    </xf>
    <xf numFmtId="164" fontId="57" fillId="0" borderId="11" xfId="0" applyFont="true" applyBorder="true" applyAlignment="true" applyProtection="true">
      <alignment horizontal="right" vertical="bottom" textRotation="0" wrapText="false" indent="0" shrinkToFit="false"/>
      <protection locked="true" hidden="false"/>
    </xf>
    <xf numFmtId="164" fontId="12" fillId="0" borderId="0" xfId="0" applyFont="true" applyBorder="true" applyAlignment="true" applyProtection="true">
      <alignment horizontal="right" vertical="bottom" textRotation="0" wrapText="false" indent="0" shrinkToFit="false"/>
      <protection locked="true" hidden="false"/>
    </xf>
    <xf numFmtId="244" fontId="12" fillId="0" borderId="0" xfId="0" applyFont="true" applyBorder="false" applyAlignment="false" applyProtection="true">
      <alignment horizontal="general" vertical="bottom" textRotation="0" wrapText="false" indent="0" shrinkToFit="false"/>
      <protection locked="true" hidden="false"/>
    </xf>
    <xf numFmtId="164" fontId="64" fillId="0" borderId="10" xfId="0" applyFont="true" applyBorder="true" applyAlignment="true" applyProtection="true">
      <alignment horizontal="left" vertical="bottom" textRotation="0" wrapText="false" indent="0" shrinkToFit="false"/>
      <protection locked="true" hidden="false"/>
    </xf>
    <xf numFmtId="235" fontId="129"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true">
      <alignment horizontal="general" vertical="bottom" textRotation="0" wrapText="false" indent="0" shrinkToFit="false"/>
      <protection locked="true" hidden="false"/>
    </xf>
    <xf numFmtId="164" fontId="12" fillId="0" borderId="0" xfId="0" applyFont="true" applyBorder="true" applyAlignment="false" applyProtection="true">
      <alignment horizontal="general" vertical="bottom" textRotation="0" wrapText="false" indent="0" shrinkToFit="false"/>
      <protection locked="true" hidden="false"/>
    </xf>
    <xf numFmtId="164" fontId="57" fillId="0" borderId="10" xfId="0" applyFont="true" applyBorder="true" applyAlignment="true" applyProtection="true">
      <alignment horizontal="left" vertical="bottom" textRotation="0" wrapText="false" indent="0" shrinkToFit="false"/>
      <protection locked="true" hidden="false"/>
    </xf>
    <xf numFmtId="185" fontId="57" fillId="0" borderId="0" xfId="0" applyFont="true" applyBorder="true" applyAlignment="false" applyProtection="true">
      <alignment horizontal="general" vertical="bottom" textRotation="0" wrapText="false" indent="0" shrinkToFit="false"/>
      <protection locked="true" hidden="false"/>
    </xf>
    <xf numFmtId="185" fontId="57" fillId="0" borderId="11" xfId="0" applyFont="true" applyBorder="true" applyAlignment="false" applyProtection="true">
      <alignment horizontal="general" vertical="bottom" textRotation="0" wrapText="false" indent="0" shrinkToFit="false"/>
      <protection locked="true" hidden="false"/>
    </xf>
    <xf numFmtId="264" fontId="12" fillId="0" borderId="0" xfId="0" applyFont="true" applyBorder="false" applyAlignment="false" applyProtection="true">
      <alignment horizontal="general" vertical="bottom" textRotation="0" wrapText="false" indent="0" shrinkToFit="false"/>
      <protection locked="true" hidden="false"/>
    </xf>
    <xf numFmtId="247" fontId="57" fillId="0" borderId="11" xfId="15" applyFont="true" applyBorder="true" applyAlignment="true" applyProtection="true">
      <alignment horizontal="general" vertical="bottom" textRotation="0" wrapText="false" indent="0" shrinkToFit="false"/>
      <protection locked="true" hidden="false"/>
    </xf>
    <xf numFmtId="243" fontId="12" fillId="0" borderId="0" xfId="0" applyFont="true" applyBorder="false" applyAlignment="false" applyProtection="true">
      <alignment horizontal="general" vertical="bottom" textRotation="0" wrapText="false" indent="0" shrinkToFit="false"/>
      <protection locked="true" hidden="false"/>
    </xf>
    <xf numFmtId="235" fontId="57" fillId="0" borderId="0" xfId="0" applyFont="true" applyBorder="true" applyAlignment="false" applyProtection="true">
      <alignment horizontal="general" vertical="bottom" textRotation="0" wrapText="false" indent="0" shrinkToFit="false"/>
      <protection locked="true" hidden="false"/>
    </xf>
    <xf numFmtId="235" fontId="57" fillId="0" borderId="11" xfId="0" applyFont="true" applyBorder="true" applyAlignment="false" applyProtection="true">
      <alignment horizontal="general" vertical="bottom" textRotation="0" wrapText="false" indent="0" shrinkToFit="false"/>
      <protection locked="true" hidden="false"/>
    </xf>
    <xf numFmtId="235" fontId="109" fillId="0" borderId="0" xfId="0" applyFont="true" applyBorder="true" applyAlignment="false" applyProtection="true">
      <alignment horizontal="general" vertical="bottom" textRotation="0" wrapText="false" indent="0" shrinkToFit="false"/>
      <protection locked="true" hidden="false"/>
    </xf>
    <xf numFmtId="235" fontId="109" fillId="0" borderId="11" xfId="0" applyFont="true" applyBorder="true" applyAlignment="false" applyProtection="true">
      <alignment horizontal="general" vertical="bottom" textRotation="0" wrapText="false" indent="0" shrinkToFit="false"/>
      <protection locked="true" hidden="false"/>
    </xf>
    <xf numFmtId="264" fontId="12" fillId="0" borderId="0" xfId="0" applyFont="true" applyBorder="true" applyAlignment="false" applyProtection="true">
      <alignment horizontal="general" vertical="bottom" textRotation="0" wrapText="false" indent="0" shrinkToFit="false"/>
      <protection locked="true" hidden="false"/>
    </xf>
    <xf numFmtId="235" fontId="96" fillId="0" borderId="0" xfId="0" applyFont="true" applyBorder="true" applyAlignment="false" applyProtection="true">
      <alignment horizontal="general" vertical="bottom" textRotation="0" wrapText="false" indent="0" shrinkToFit="false"/>
      <protection locked="true" hidden="false"/>
    </xf>
    <xf numFmtId="235" fontId="57" fillId="0" borderId="0" xfId="0" applyFont="true" applyBorder="true" applyAlignment="false" applyProtection="false">
      <alignment horizontal="general" vertical="bottom" textRotation="0" wrapText="false" indent="0" shrinkToFit="false"/>
      <protection locked="true" hidden="false"/>
    </xf>
    <xf numFmtId="164" fontId="129" fillId="0" borderId="0" xfId="0" applyFont="true" applyBorder="true" applyAlignment="false" applyProtection="false">
      <alignment horizontal="general" vertical="bottom" textRotation="0" wrapText="false" indent="0" shrinkToFit="false"/>
      <protection locked="true" hidden="false"/>
    </xf>
    <xf numFmtId="164" fontId="129" fillId="0" borderId="0" xfId="0" applyFont="true" applyBorder="true" applyAlignment="false" applyProtection="true">
      <alignment horizontal="general" vertical="bottom" textRotation="0" wrapText="false" indent="0" shrinkToFit="false"/>
      <protection locked="true" hidden="false"/>
    </xf>
    <xf numFmtId="247" fontId="129" fillId="0" borderId="0" xfId="15" applyFont="true" applyBorder="true" applyAlignment="true" applyProtection="true">
      <alignment horizontal="general" vertical="bottom" textRotation="0" wrapText="false" indent="0" shrinkToFit="false"/>
      <protection locked="true" hidden="false"/>
    </xf>
    <xf numFmtId="247" fontId="109" fillId="0" borderId="0" xfId="15" applyFont="true" applyBorder="true" applyAlignment="true" applyProtection="true">
      <alignment horizontal="general" vertical="bottom" textRotation="0" wrapText="false" indent="0" shrinkToFit="false"/>
      <protection locked="true" hidden="false"/>
    </xf>
    <xf numFmtId="247" fontId="109" fillId="0" borderId="11" xfId="15" applyFont="true" applyBorder="true" applyAlignment="true" applyProtection="true">
      <alignment horizontal="general" vertical="bottom" textRotation="0" wrapText="false" indent="0" shrinkToFit="false"/>
      <protection locked="true" hidden="false"/>
    </xf>
    <xf numFmtId="164" fontId="64" fillId="0" borderId="6" xfId="0" applyFont="true" applyBorder="true" applyAlignment="false" applyProtection="false">
      <alignment horizontal="general" vertical="bottom" textRotation="0" wrapText="false" indent="0" shrinkToFit="false"/>
      <protection locked="true" hidden="false"/>
    </xf>
    <xf numFmtId="249" fontId="129" fillId="0" borderId="3" xfId="17" applyFont="true" applyBorder="true" applyAlignment="true" applyProtection="true">
      <alignment horizontal="general" vertical="bottom" textRotation="0" wrapText="false" indent="0" shrinkToFit="false"/>
      <protection locked="true" hidden="false"/>
    </xf>
    <xf numFmtId="249" fontId="127" fillId="0" borderId="3" xfId="17" applyFont="true" applyBorder="true" applyAlignment="true" applyProtection="true">
      <alignment horizontal="general" vertical="bottom" textRotation="0" wrapText="false" indent="0" shrinkToFit="false"/>
      <protection locked="true" hidden="false"/>
    </xf>
    <xf numFmtId="249" fontId="127" fillId="0" borderId="7" xfId="17" applyFont="true" applyBorder="true" applyAlignment="true" applyProtection="true">
      <alignment horizontal="general" vertical="bottom" textRotation="0" wrapText="false" indent="0" shrinkToFit="false"/>
      <protection locked="true" hidden="false"/>
    </xf>
    <xf numFmtId="164" fontId="64" fillId="0" borderId="4" xfId="0" applyFont="true" applyBorder="true" applyAlignment="false" applyProtection="false">
      <alignment horizontal="general" vertical="bottom" textRotation="0" wrapText="false" indent="0" shrinkToFit="false"/>
      <protection locked="true" hidden="false"/>
    </xf>
    <xf numFmtId="180" fontId="57" fillId="0" borderId="9" xfId="0" applyFont="true" applyBorder="true" applyAlignment="false" applyProtection="false">
      <alignment horizontal="general" vertical="bottom" textRotation="0" wrapText="false" indent="0" shrinkToFit="false"/>
      <protection locked="true" hidden="false"/>
    </xf>
    <xf numFmtId="180" fontId="57" fillId="0" borderId="0" xfId="0" applyFont="true" applyBorder="true" applyAlignment="false" applyProtection="false">
      <alignment horizontal="general" vertical="bottom" textRotation="0" wrapText="false" indent="0" shrinkToFit="false"/>
      <protection locked="true" hidden="false"/>
    </xf>
    <xf numFmtId="170" fontId="57" fillId="0" borderId="11" xfId="0" applyFont="true" applyBorder="true" applyAlignment="false" applyProtection="false">
      <alignment horizontal="general" vertical="bottom" textRotation="0" wrapText="false" indent="0" shrinkToFit="false"/>
      <protection locked="true" hidden="false"/>
    </xf>
    <xf numFmtId="170" fontId="57" fillId="0" borderId="0" xfId="19" applyFont="true" applyBorder="true" applyAlignment="true" applyProtection="true">
      <alignment horizontal="general" vertical="bottom" textRotation="0" wrapText="false" indent="0" shrinkToFit="false"/>
      <protection locked="true" hidden="false"/>
    </xf>
    <xf numFmtId="185" fontId="57" fillId="0" borderId="0" xfId="0" applyFont="true" applyBorder="true" applyAlignment="false" applyProtection="false">
      <alignment horizontal="general" vertical="bottom" textRotation="0" wrapText="false" indent="0" shrinkToFit="false"/>
      <protection locked="true" hidden="false"/>
    </xf>
    <xf numFmtId="247" fontId="57" fillId="0" borderId="0" xfId="0" applyFont="true" applyBorder="true" applyAlignment="false" applyProtection="false">
      <alignment horizontal="general" vertical="bottom" textRotation="0" wrapText="false" indent="0" shrinkToFit="false"/>
      <protection locked="true" hidden="false"/>
    </xf>
    <xf numFmtId="247" fontId="57" fillId="0" borderId="11" xfId="0" applyFont="true" applyBorder="true" applyAlignment="false" applyProtection="false">
      <alignment horizontal="general" vertical="bottom" textRotation="0" wrapText="false" indent="0" shrinkToFit="false"/>
      <protection locked="true" hidden="false"/>
    </xf>
    <xf numFmtId="247" fontId="57" fillId="0" borderId="0" xfId="0" applyFont="true" applyBorder="false" applyAlignment="false" applyProtection="false">
      <alignment horizontal="general" vertical="bottom" textRotation="0" wrapText="false" indent="0" shrinkToFit="false"/>
      <protection locked="true" hidden="false"/>
    </xf>
    <xf numFmtId="247" fontId="12" fillId="0" borderId="0" xfId="0" applyFont="true" applyBorder="false" applyAlignment="false" applyProtection="false">
      <alignment horizontal="general" vertical="bottom" textRotation="0" wrapText="false" indent="0" shrinkToFit="false"/>
      <protection locked="true" hidden="false"/>
    </xf>
    <xf numFmtId="247" fontId="57" fillId="0" borderId="3" xfId="0" applyFont="true" applyBorder="true" applyAlignment="false" applyProtection="false">
      <alignment horizontal="general" vertical="bottom" textRotation="0" wrapText="false" indent="0" shrinkToFit="false"/>
      <protection locked="true" hidden="false"/>
    </xf>
    <xf numFmtId="247" fontId="57" fillId="0" borderId="7" xfId="0" applyFont="true" applyBorder="true" applyAlignment="false" applyProtection="false">
      <alignment horizontal="general" vertical="bottom" textRotation="0" wrapText="false" indent="0" shrinkToFit="false"/>
      <protection locked="true" hidden="false"/>
    </xf>
    <xf numFmtId="235" fontId="57" fillId="0" borderId="0" xfId="0" applyFont="true" applyBorder="false" applyAlignment="false" applyProtection="false">
      <alignment horizontal="general" vertical="bottom" textRotation="0" wrapText="false" indent="0" shrinkToFit="false"/>
      <protection locked="true" hidden="false"/>
    </xf>
    <xf numFmtId="164" fontId="108" fillId="2" borderId="9" xfId="0" applyFont="true" applyBorder="true" applyAlignment="false" applyProtection="false">
      <alignment horizontal="general" vertical="bottom" textRotation="0" wrapText="false" indent="0" shrinkToFit="false"/>
      <protection locked="true" hidden="false"/>
    </xf>
    <xf numFmtId="164" fontId="108" fillId="2" borderId="5" xfId="0" applyFont="true" applyBorder="true" applyAlignment="false" applyProtection="false">
      <alignment horizontal="general" vertical="bottom" textRotation="0" wrapText="false" indent="0" shrinkToFit="false"/>
      <protection locked="true" hidden="false"/>
    </xf>
    <xf numFmtId="247" fontId="61" fillId="0" borderId="10" xfId="15" applyFont="true" applyBorder="true" applyAlignment="true" applyProtection="true">
      <alignment horizontal="general" vertical="bottom" textRotation="0" wrapText="false" indent="0" shrinkToFit="false"/>
      <protection locked="true" hidden="false"/>
    </xf>
    <xf numFmtId="235" fontId="28" fillId="0" borderId="0" xfId="0" applyFont="true" applyBorder="true" applyAlignment="false" applyProtection="false">
      <alignment horizontal="general" vertical="bottom" textRotation="0" wrapText="false" indent="0" shrinkToFit="false"/>
      <protection locked="true" hidden="false"/>
    </xf>
    <xf numFmtId="235" fontId="28" fillId="0" borderId="11" xfId="0" applyFont="true" applyBorder="true" applyAlignment="false" applyProtection="false">
      <alignment horizontal="general" vertical="bottom" textRotation="0" wrapText="false" indent="0" shrinkToFit="false"/>
      <protection locked="true" hidden="false"/>
    </xf>
    <xf numFmtId="185" fontId="118" fillId="0" borderId="0" xfId="0" applyFont="true" applyBorder="true" applyAlignment="false" applyProtection="false">
      <alignment horizontal="general" vertical="bottom" textRotation="0" wrapText="false" indent="0" shrinkToFit="false"/>
      <protection locked="true" hidden="false"/>
    </xf>
    <xf numFmtId="185" fontId="118" fillId="0" borderId="11" xfId="0" applyFont="true" applyBorder="true" applyAlignment="false" applyProtection="false">
      <alignment horizontal="general" vertical="bottom" textRotation="0" wrapText="false" indent="0" shrinkToFit="false"/>
      <protection locked="true" hidden="false"/>
    </xf>
    <xf numFmtId="247" fontId="57" fillId="0" borderId="10" xfId="15" applyFont="true" applyBorder="true" applyAlignment="true" applyProtection="true">
      <alignment horizontal="general" vertical="bottom" textRotation="0" wrapText="false" indent="0" shrinkToFit="false"/>
      <protection locked="true" hidden="false"/>
    </xf>
    <xf numFmtId="169" fontId="118" fillId="0" borderId="0" xfId="0" applyFont="true" applyBorder="true" applyAlignment="false" applyProtection="false">
      <alignment horizontal="general" vertical="bottom" textRotation="0" wrapText="false" indent="0" shrinkToFit="false"/>
      <protection locked="true" hidden="false"/>
    </xf>
    <xf numFmtId="169" fontId="118" fillId="0" borderId="11" xfId="0" applyFont="true" applyBorder="true" applyAlignment="false" applyProtection="false">
      <alignment horizontal="general" vertical="bottom" textRotation="0" wrapText="false" indent="0" shrinkToFit="false"/>
      <protection locked="true" hidden="false"/>
    </xf>
    <xf numFmtId="247" fontId="64" fillId="0" borderId="6" xfId="15" applyFont="true" applyBorder="true" applyAlignment="true" applyProtection="true">
      <alignment horizontal="general" vertical="bottom" textRotation="0" wrapText="false" indent="0" shrinkToFit="false"/>
      <protection locked="true" hidden="false"/>
    </xf>
    <xf numFmtId="247" fontId="61" fillId="0" borderId="4" xfId="15" applyFont="true" applyBorder="true" applyAlignment="true" applyProtection="true">
      <alignment horizontal="general" vertical="bottom" textRotation="0" wrapText="false" indent="0" shrinkToFit="false"/>
      <protection locked="true" hidden="false"/>
    </xf>
    <xf numFmtId="185" fontId="28" fillId="0" borderId="0" xfId="0" applyFont="true" applyBorder="true" applyAlignment="false" applyProtection="false">
      <alignment horizontal="general" vertical="bottom" textRotation="0" wrapText="false" indent="0" shrinkToFit="false"/>
      <protection locked="true" hidden="false"/>
    </xf>
    <xf numFmtId="185" fontId="28" fillId="0" borderId="11" xfId="0" applyFont="true" applyBorder="true" applyAlignment="false" applyProtection="false">
      <alignment horizontal="general" vertical="bottom" textRotation="0" wrapText="false" indent="0" shrinkToFit="false"/>
      <protection locked="true" hidden="false"/>
    </xf>
    <xf numFmtId="247" fontId="64" fillId="0" borderId="10" xfId="15" applyFont="true" applyBorder="true" applyAlignment="true" applyProtection="true">
      <alignment horizontal="general" vertical="bottom" textRotation="0" wrapText="false" indent="0" shrinkToFit="false"/>
      <protection locked="true" hidden="false"/>
    </xf>
    <xf numFmtId="200" fontId="28" fillId="0" borderId="0" xfId="0" applyFont="true" applyBorder="true" applyAlignment="false" applyProtection="false">
      <alignment horizontal="general" vertical="bottom" textRotation="0" wrapText="false" indent="0" shrinkToFit="false"/>
      <protection locked="true" hidden="false"/>
    </xf>
    <xf numFmtId="200" fontId="28" fillId="0" borderId="11" xfId="0" applyFont="true" applyBorder="true" applyAlignment="false" applyProtection="false">
      <alignment horizontal="general" vertical="bottom" textRotation="0" wrapText="false" indent="0" shrinkToFit="false"/>
      <protection locked="true" hidden="false"/>
    </xf>
    <xf numFmtId="247" fontId="57" fillId="0" borderId="6" xfId="15" applyFont="true" applyBorder="true" applyAlignment="true" applyProtection="true">
      <alignment horizontal="general" vertical="bottom" textRotation="0" wrapText="false" indent="0" shrinkToFit="false"/>
      <protection locked="true" hidden="false"/>
    </xf>
    <xf numFmtId="247" fontId="64" fillId="0" borderId="14" xfId="15" applyFont="true" applyBorder="true" applyAlignment="true" applyProtection="true">
      <alignment horizontal="general" vertical="bottom" textRotation="0" wrapText="false" indent="0" shrinkToFit="false"/>
      <protection locked="true" hidden="false"/>
    </xf>
    <xf numFmtId="164" fontId="28" fillId="0" borderId="14" xfId="0" applyFont="true" applyBorder="true" applyAlignment="false" applyProtection="false">
      <alignment horizontal="general" vertical="bottom" textRotation="0" wrapText="false" indent="0" shrinkToFit="false"/>
      <protection locked="true" hidden="false"/>
    </xf>
    <xf numFmtId="169" fontId="28" fillId="0" borderId="14" xfId="0" applyFont="true" applyBorder="true" applyAlignment="false" applyProtection="false">
      <alignment horizontal="general" vertical="bottom" textRotation="0" wrapText="false" indent="0" shrinkToFit="false"/>
      <protection locked="true" hidden="false"/>
    </xf>
    <xf numFmtId="164" fontId="119" fillId="10" borderId="4" xfId="0" applyFont="true" applyBorder="true" applyAlignment="false" applyProtection="false">
      <alignment horizontal="general" vertical="bottom" textRotation="0" wrapText="false" indent="0" shrinkToFit="false"/>
      <protection locked="true" hidden="false"/>
    </xf>
    <xf numFmtId="164" fontId="119" fillId="10" borderId="9" xfId="0" applyFont="true" applyBorder="true" applyAlignment="false" applyProtection="false">
      <alignment horizontal="general" vertical="bottom" textRotation="0" wrapText="false" indent="0" shrinkToFit="false"/>
      <protection locked="true" hidden="false"/>
    </xf>
    <xf numFmtId="164" fontId="130" fillId="10" borderId="9" xfId="0" applyFont="true" applyBorder="true" applyAlignment="false" applyProtection="false">
      <alignment horizontal="general" vertical="bottom" textRotation="0" wrapText="false" indent="0" shrinkToFit="false"/>
      <protection locked="true" hidden="false"/>
    </xf>
    <xf numFmtId="164" fontId="119" fillId="10" borderId="5" xfId="0" applyFont="true" applyBorder="true" applyAlignment="false" applyProtection="false">
      <alignment horizontal="general" vertical="bottom" textRotation="0" wrapText="false" indent="0" shrinkToFit="false"/>
      <protection locked="true" hidden="false"/>
    </xf>
    <xf numFmtId="169" fontId="63" fillId="10" borderId="8" xfId="0" applyFont="true" applyBorder="true" applyAlignment="true" applyProtection="false">
      <alignment horizontal="center" vertical="bottom" textRotation="0" wrapText="false" indent="0" shrinkToFit="false"/>
      <protection locked="true" hidden="false"/>
    </xf>
    <xf numFmtId="164" fontId="119" fillId="10" borderId="0" xfId="0" applyFont="true" applyBorder="true" applyAlignment="false" applyProtection="false">
      <alignment horizontal="general" vertical="bottom" textRotation="0" wrapText="false" indent="0" shrinkToFit="false"/>
      <protection locked="true" hidden="false"/>
    </xf>
    <xf numFmtId="164" fontId="119" fillId="10" borderId="11" xfId="0" applyFont="true" applyBorder="true" applyAlignment="false" applyProtection="false">
      <alignment horizontal="general" vertical="bottom" textRotation="0" wrapText="false" indent="0" shrinkToFit="false"/>
      <protection locked="true" hidden="false"/>
    </xf>
    <xf numFmtId="164" fontId="119" fillId="10" borderId="10" xfId="0" applyFont="true" applyBorder="true" applyAlignment="false" applyProtection="false">
      <alignment horizontal="general" vertical="bottom" textRotation="0" wrapText="false" indent="0" shrinkToFit="false"/>
      <protection locked="true" hidden="false"/>
    </xf>
    <xf numFmtId="169" fontId="119" fillId="10" borderId="0" xfId="0" applyFont="true" applyBorder="true" applyAlignment="false" applyProtection="false">
      <alignment horizontal="general" vertical="bottom" textRotation="0" wrapText="false" indent="0" shrinkToFit="false"/>
      <protection locked="true" hidden="false"/>
    </xf>
    <xf numFmtId="169" fontId="119" fillId="10" borderId="11" xfId="0" applyFont="true" applyBorder="true" applyAlignment="false" applyProtection="false">
      <alignment horizontal="general" vertical="bottom" textRotation="0" wrapText="false" indent="0" shrinkToFit="false"/>
      <protection locked="true" hidden="false"/>
    </xf>
    <xf numFmtId="164" fontId="119" fillId="10" borderId="6" xfId="0" applyFont="true" applyBorder="true" applyAlignment="false" applyProtection="false">
      <alignment horizontal="general" vertical="bottom" textRotation="0" wrapText="false" indent="0" shrinkToFit="false"/>
      <protection locked="true" hidden="false"/>
    </xf>
    <xf numFmtId="164" fontId="119" fillId="10" borderId="3" xfId="0" applyFont="true" applyBorder="true" applyAlignment="false" applyProtection="false">
      <alignment horizontal="general" vertical="bottom" textRotation="0" wrapText="false" indent="0" shrinkToFit="false"/>
      <protection locked="true" hidden="false"/>
    </xf>
    <xf numFmtId="169" fontId="119" fillId="10" borderId="3" xfId="0" applyFont="true" applyBorder="true" applyAlignment="false" applyProtection="false">
      <alignment horizontal="general" vertical="bottom" textRotation="0" wrapText="false" indent="0" shrinkToFit="false"/>
      <protection locked="true" hidden="false"/>
    </xf>
    <xf numFmtId="169" fontId="119" fillId="10" borderId="7" xfId="0" applyFont="true" applyBorder="true" applyAlignment="false" applyProtection="false">
      <alignment horizontal="general" vertical="bottom" textRotation="0" wrapText="false" indent="0" shrinkToFit="false"/>
      <protection locked="true" hidden="false"/>
    </xf>
    <xf numFmtId="244" fontId="93" fillId="2" borderId="9" xfId="19" applyFont="true" applyBorder="true" applyAlignment="true" applyProtection="true">
      <alignment horizontal="left" vertical="bottom" textRotation="0" wrapText="false" indent="0" shrinkToFit="false"/>
      <protection locked="true" hidden="false"/>
    </xf>
    <xf numFmtId="235" fontId="57" fillId="2" borderId="7" xfId="1238" applyFont="true" applyBorder="true" applyAlignment="true" applyProtection="true">
      <alignment horizontal="general" vertical="bottom" textRotation="0" wrapText="false" indent="0" shrinkToFit="false"/>
      <protection locked="true" hidden="false"/>
    </xf>
    <xf numFmtId="164" fontId="108" fillId="0" borderId="10" xfId="0" applyFont="true" applyBorder="true" applyAlignment="true" applyProtection="true">
      <alignment horizontal="left" vertical="bottom" textRotation="0" wrapText="false" indent="0" shrinkToFit="false"/>
      <protection locked="true" hidden="false"/>
    </xf>
    <xf numFmtId="164" fontId="131" fillId="0" borderId="10" xfId="0" applyFont="true" applyBorder="true" applyAlignment="true" applyProtection="true">
      <alignment horizontal="left" vertical="bottom" textRotation="0" wrapText="false" indent="0" shrinkToFit="false"/>
      <protection locked="true" hidden="false"/>
    </xf>
    <xf numFmtId="242" fontId="12" fillId="0" borderId="0" xfId="0" applyFont="true" applyBorder="true" applyAlignment="false" applyProtection="false">
      <alignment horizontal="general" vertical="bottom" textRotation="0" wrapText="false" indent="0" shrinkToFit="false"/>
      <protection locked="true" hidden="false"/>
    </xf>
    <xf numFmtId="243" fontId="109" fillId="0" borderId="0" xfId="0" applyFont="true" applyBorder="true" applyAlignment="false" applyProtection="false">
      <alignment horizontal="general" vertical="bottom" textRotation="0" wrapText="false" indent="0" shrinkToFit="false"/>
      <protection locked="true" hidden="false"/>
    </xf>
    <xf numFmtId="243" fontId="109" fillId="0" borderId="11" xfId="0" applyFont="true" applyBorder="true" applyAlignment="false" applyProtection="false">
      <alignment horizontal="general" vertical="bottom" textRotation="0" wrapText="false" indent="0" shrinkToFit="false"/>
      <protection locked="true" hidden="false"/>
    </xf>
    <xf numFmtId="242"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true">
      <alignment horizontal="left" vertical="bottom" textRotation="0" wrapText="false" indent="0" shrinkToFit="false"/>
      <protection locked="true" hidden="false"/>
    </xf>
    <xf numFmtId="164" fontId="57" fillId="0" borderId="11" xfId="0" applyFont="true" applyBorder="true" applyAlignment="true" applyProtection="true">
      <alignment horizontal="left" vertical="bottom" textRotation="0" wrapText="false" indent="0" shrinkToFit="false"/>
      <protection locked="true" hidden="false"/>
    </xf>
    <xf numFmtId="185" fontId="57" fillId="0" borderId="11" xfId="0" applyFont="true" applyBorder="true" applyAlignment="false" applyProtection="false">
      <alignment horizontal="general" vertical="bottom" textRotation="0" wrapText="false" indent="0" shrinkToFit="false"/>
      <protection locked="true" hidden="false"/>
    </xf>
    <xf numFmtId="243" fontId="109" fillId="0" borderId="0" xfId="19" applyFont="true" applyBorder="true" applyAlignment="true" applyProtection="true">
      <alignment horizontal="general" vertical="bottom" textRotation="0" wrapText="false" indent="0" shrinkToFit="false"/>
      <protection locked="true" hidden="false"/>
    </xf>
    <xf numFmtId="243" fontId="109" fillId="0" borderId="11" xfId="19" applyFont="true" applyBorder="true" applyAlignment="true" applyProtection="true">
      <alignment horizontal="general" vertical="bottom" textRotation="0" wrapText="false" indent="0" shrinkToFit="false"/>
      <protection locked="true" hidden="false"/>
    </xf>
    <xf numFmtId="164" fontId="132" fillId="0" borderId="10" xfId="0" applyFont="true" applyBorder="true" applyAlignment="true" applyProtection="true">
      <alignment horizontal="left" vertical="bottom" textRotation="0" wrapText="false" indent="0" shrinkToFit="false"/>
      <protection locked="true" hidden="false"/>
    </xf>
    <xf numFmtId="185" fontId="109" fillId="0" borderId="0" xfId="0" applyFont="true" applyBorder="true" applyAlignment="false" applyProtection="false">
      <alignment horizontal="general" vertical="bottom" textRotation="0" wrapText="false" indent="0" shrinkToFit="false"/>
      <protection locked="true" hidden="false"/>
    </xf>
    <xf numFmtId="185" fontId="109" fillId="0" borderId="11" xfId="0" applyFont="true" applyBorder="true" applyAlignment="false" applyProtection="false">
      <alignment horizontal="general" vertical="bottom" textRotation="0" wrapText="false" indent="0" shrinkToFit="false"/>
      <protection locked="true" hidden="false"/>
    </xf>
    <xf numFmtId="185" fontId="64" fillId="0" borderId="0" xfId="0" applyFont="true" applyBorder="true" applyAlignment="false" applyProtection="false">
      <alignment horizontal="general" vertical="bottom" textRotation="0" wrapText="false" indent="0" shrinkToFit="false"/>
      <protection locked="true" hidden="false"/>
    </xf>
    <xf numFmtId="185" fontId="64" fillId="0" borderId="11" xfId="0" applyFont="true" applyBorder="true" applyAlignment="false" applyProtection="false">
      <alignment horizontal="general" vertical="bottom" textRotation="0" wrapText="false" indent="0" shrinkToFit="false"/>
      <protection locked="true" hidden="false"/>
    </xf>
    <xf numFmtId="242" fontId="57" fillId="0" borderId="11" xfId="0" applyFont="true" applyBorder="true" applyAlignment="false" applyProtection="false">
      <alignment horizontal="general" vertical="bottom" textRotation="0" wrapText="false" indent="0" shrinkToFit="false"/>
      <protection locked="true" hidden="false"/>
    </xf>
    <xf numFmtId="169" fontId="57" fillId="0" borderId="0" xfId="17" applyFont="true" applyBorder="true" applyAlignment="true" applyProtection="true">
      <alignment horizontal="general" vertical="bottom" textRotation="0" wrapText="false" indent="0" shrinkToFit="false"/>
      <protection locked="true" hidden="false"/>
    </xf>
    <xf numFmtId="169" fontId="57" fillId="0" borderId="11" xfId="17" applyFont="true" applyBorder="true" applyAlignment="true" applyProtection="true">
      <alignment horizontal="general" vertical="bottom" textRotation="0" wrapText="false" indent="0" shrinkToFit="false"/>
      <protection locked="true" hidden="false"/>
    </xf>
    <xf numFmtId="164" fontId="96" fillId="0" borderId="0" xfId="0" applyFont="true" applyBorder="true" applyAlignment="false" applyProtection="false">
      <alignment horizontal="general" vertical="bottom" textRotation="0" wrapText="false" indent="0" shrinkToFit="false"/>
      <protection locked="true" hidden="false"/>
    </xf>
    <xf numFmtId="247" fontId="96" fillId="0" borderId="12" xfId="15" applyFont="true" applyBorder="true" applyAlignment="true" applyProtection="true">
      <alignment horizontal="general" vertical="bottom" textRotation="0" wrapText="false" indent="0" shrinkToFit="false"/>
      <protection locked="true" hidden="false"/>
    </xf>
    <xf numFmtId="247" fontId="96" fillId="0" borderId="14" xfId="15" applyFont="true" applyBorder="true" applyAlignment="true" applyProtection="true">
      <alignment horizontal="general" vertical="bottom" textRotation="0" wrapText="false" indent="0" shrinkToFit="false"/>
      <protection locked="true" hidden="false"/>
    </xf>
    <xf numFmtId="247" fontId="96" fillId="0" borderId="13" xfId="15" applyFont="true" applyBorder="true" applyAlignment="true" applyProtection="true">
      <alignment horizontal="general" vertical="bottom" textRotation="0" wrapText="false" indent="0" shrinkToFit="false"/>
      <protection locked="true" hidden="false"/>
    </xf>
    <xf numFmtId="247" fontId="64" fillId="0" borderId="0" xfId="15" applyFont="true" applyBorder="true" applyAlignment="true" applyProtection="true">
      <alignment horizontal="general" vertical="bottom" textRotation="0" wrapText="false" indent="0" shrinkToFit="false"/>
      <protection locked="true" hidden="false"/>
    </xf>
    <xf numFmtId="247" fontId="64" fillId="0" borderId="11" xfId="15" applyFont="true" applyBorder="true" applyAlignment="true" applyProtection="true">
      <alignment horizontal="general" vertical="bottom" textRotation="0" wrapText="false" indent="0" shrinkToFit="false"/>
      <protection locked="true" hidden="false"/>
    </xf>
    <xf numFmtId="164" fontId="64" fillId="0" borderId="12" xfId="0" applyFont="true" applyBorder="true" applyAlignment="true" applyProtection="true">
      <alignment horizontal="left" vertical="bottom" textRotation="0" wrapText="false" indent="0" shrinkToFit="false"/>
      <protection locked="true" hidden="false"/>
    </xf>
    <xf numFmtId="164" fontId="57" fillId="0" borderId="14" xfId="0" applyFont="true" applyBorder="true" applyAlignment="false" applyProtection="false">
      <alignment horizontal="general" vertical="bottom" textRotation="0" wrapText="false" indent="0" shrinkToFit="false"/>
      <protection locked="true" hidden="false"/>
    </xf>
    <xf numFmtId="185" fontId="64" fillId="0" borderId="14" xfId="0" applyFont="true" applyBorder="true" applyAlignment="false" applyProtection="false">
      <alignment horizontal="general" vertical="bottom" textRotation="0" wrapText="false" indent="0" shrinkToFit="false"/>
      <protection locked="true" hidden="false"/>
    </xf>
    <xf numFmtId="185" fontId="64" fillId="0" borderId="13"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false" applyAlignment="true" applyProtection="true">
      <alignment horizontal="left" vertical="bottom" textRotation="0" wrapText="false" indent="0" shrinkToFit="false"/>
      <protection locked="true" hidden="false"/>
    </xf>
    <xf numFmtId="164" fontId="108" fillId="0" borderId="4" xfId="0" applyFont="true" applyBorder="true" applyAlignment="true" applyProtection="true">
      <alignment horizontal="left" vertical="bottom" textRotation="0" wrapText="false" indent="0" shrinkToFit="false"/>
      <protection locked="true" hidden="false"/>
    </xf>
    <xf numFmtId="249" fontId="57" fillId="0" borderId="0" xfId="0" applyFont="true" applyBorder="true" applyAlignment="false" applyProtection="true">
      <alignment horizontal="general" vertical="bottom" textRotation="0" wrapText="false" indent="0" shrinkToFit="false"/>
      <protection locked="true" hidden="false"/>
    </xf>
    <xf numFmtId="249" fontId="57" fillId="0" borderId="11" xfId="0" applyFont="true" applyBorder="true" applyAlignment="false" applyProtection="true">
      <alignment horizontal="general" vertical="bottom" textRotation="0" wrapText="false" indent="0" shrinkToFit="false"/>
      <protection locked="true" hidden="false"/>
    </xf>
    <xf numFmtId="185" fontId="109" fillId="0" borderId="0" xfId="0" applyFont="true" applyBorder="true" applyAlignment="false" applyProtection="true">
      <alignment horizontal="general" vertical="bottom" textRotation="0" wrapText="false" indent="0" shrinkToFit="false"/>
      <protection locked="true" hidden="false"/>
    </xf>
    <xf numFmtId="185" fontId="109" fillId="0" borderId="11" xfId="0" applyFont="true" applyBorder="true" applyAlignment="false" applyProtection="true">
      <alignment horizontal="general" vertical="bottom" textRotation="0" wrapText="false" indent="0" shrinkToFit="false"/>
      <protection locked="true" hidden="false"/>
    </xf>
    <xf numFmtId="185" fontId="64" fillId="0" borderId="0" xfId="0" applyFont="true" applyBorder="true" applyAlignment="false" applyProtection="true">
      <alignment horizontal="general" vertical="bottom" textRotation="0" wrapText="false" indent="0" shrinkToFit="false"/>
      <protection locked="true" hidden="false"/>
    </xf>
    <xf numFmtId="185" fontId="64" fillId="0" borderId="11" xfId="0" applyFont="true" applyBorder="true" applyAlignment="false" applyProtection="true">
      <alignment horizontal="general" vertical="bottom" textRotation="0" wrapText="false" indent="0" shrinkToFit="false"/>
      <protection locked="true" hidden="false"/>
    </xf>
    <xf numFmtId="164" fontId="96" fillId="0" borderId="0" xfId="0" applyFont="true" applyBorder="true" applyAlignment="false" applyProtection="true">
      <alignment horizontal="general" vertical="bottom" textRotation="0" wrapText="false" indent="0" shrinkToFit="false"/>
      <protection locked="false" hidden="false"/>
    </xf>
    <xf numFmtId="243" fontId="57" fillId="0" borderId="11" xfId="0" applyFont="true" applyBorder="true" applyAlignment="false" applyProtection="false">
      <alignment horizontal="general" vertical="bottom" textRotation="0" wrapText="false" indent="0" shrinkToFit="false"/>
      <protection locked="true" hidden="false"/>
    </xf>
    <xf numFmtId="164" fontId="64" fillId="0" borderId="12" xfId="0" applyFont="true" applyBorder="true" applyAlignment="false" applyProtection="false">
      <alignment horizontal="general" vertical="bottom" textRotation="0" wrapText="false" indent="0" shrinkToFit="false"/>
      <protection locked="true" hidden="false"/>
    </xf>
    <xf numFmtId="235" fontId="64" fillId="0" borderId="14" xfId="1238" applyFont="true" applyBorder="true" applyAlignment="true" applyProtection="true">
      <alignment horizontal="general" vertical="bottom" textRotation="0" wrapText="false" indent="0" shrinkToFit="false"/>
      <protection locked="true" hidden="false"/>
    </xf>
    <xf numFmtId="247" fontId="64" fillId="0" borderId="13" xfId="15" applyFont="true" applyBorder="true" applyAlignment="true" applyProtection="true">
      <alignment horizontal="general" vertical="bottom" textRotation="0" wrapText="false" indent="0" shrinkToFit="false"/>
      <protection locked="true" hidden="false"/>
    </xf>
    <xf numFmtId="164" fontId="81" fillId="0" borderId="4" xfId="0" applyFont="true" applyBorder="true" applyAlignment="false" applyProtection="false">
      <alignment horizontal="general" vertical="bottom" textRotation="0" wrapText="false" indent="0" shrinkToFit="false"/>
      <protection locked="true" hidden="false"/>
    </xf>
    <xf numFmtId="169" fontId="109" fillId="0" borderId="0" xfId="0" applyFont="true" applyBorder="true" applyAlignment="false" applyProtection="false">
      <alignment horizontal="general" vertical="bottom" textRotation="0" wrapText="false" indent="0" shrinkToFit="false"/>
      <protection locked="true" hidden="false"/>
    </xf>
    <xf numFmtId="169" fontId="109" fillId="0" borderId="11" xfId="0" applyFont="true" applyBorder="true" applyAlignment="false" applyProtection="false">
      <alignment horizontal="general" vertical="bottom" textRotation="0" wrapText="false" indent="0" shrinkToFit="false"/>
      <protection locked="true" hidden="false"/>
    </xf>
    <xf numFmtId="169" fontId="57" fillId="0" borderId="3" xfId="0" applyFont="true" applyBorder="true" applyAlignment="false" applyProtection="false">
      <alignment horizontal="general" vertical="bottom" textRotation="0" wrapText="false" indent="0" shrinkToFit="false"/>
      <protection locked="true" hidden="false"/>
    </xf>
    <xf numFmtId="169" fontId="57" fillId="0" borderId="7" xfId="0" applyFont="true" applyBorder="true" applyAlignment="false" applyProtection="false">
      <alignment horizontal="general" vertical="bottom" textRotation="0" wrapText="false" indent="0" shrinkToFit="false"/>
      <protection locked="true" hidden="false"/>
    </xf>
    <xf numFmtId="235" fontId="133" fillId="2" borderId="9" xfId="1238" applyFont="true" applyBorder="true" applyAlignment="true" applyProtection="true">
      <alignment horizontal="right" vertical="bottom" textRotation="0" wrapText="false" indent="0" shrinkToFit="false"/>
      <protection locked="true" hidden="false"/>
    </xf>
    <xf numFmtId="185" fontId="57" fillId="2" borderId="5" xfId="916" applyFont="true" applyBorder="true" applyAlignment="true" applyProtection="true">
      <alignment horizontal="general" vertical="bottom" textRotation="0" wrapText="false" indent="0" shrinkToFit="false"/>
      <protection locked="true" hidden="false"/>
    </xf>
    <xf numFmtId="235" fontId="57" fillId="2" borderId="3" xfId="1238" applyFont="true" applyBorder="true" applyAlignment="true" applyProtection="true">
      <alignment horizontal="general" vertical="bottom" textRotation="0" wrapText="false" indent="0" shrinkToFit="false"/>
      <protection locked="true" hidden="false"/>
    </xf>
    <xf numFmtId="235" fontId="12" fillId="0" borderId="0" xfId="1238" applyFont="true" applyBorder="true" applyAlignment="true" applyProtection="true">
      <alignment horizontal="general" vertical="bottom" textRotation="0" wrapText="false" indent="0" shrinkToFit="false"/>
      <protection locked="true" hidden="false"/>
    </xf>
    <xf numFmtId="235" fontId="57" fillId="0" borderId="0" xfId="1238" applyFont="true" applyBorder="true" applyAlignment="true" applyProtection="true">
      <alignment horizontal="general" vertical="bottom" textRotation="0" wrapText="false" indent="0" shrinkToFit="false"/>
      <protection locked="true" hidden="false"/>
    </xf>
    <xf numFmtId="164" fontId="134" fillId="0" borderId="4" xfId="0" applyFont="true" applyBorder="true" applyAlignment="true" applyProtection="true">
      <alignment horizontal="left" vertical="bottom" textRotation="0" wrapText="false" indent="0" shrinkToFit="false"/>
      <protection locked="false" hidden="false"/>
    </xf>
    <xf numFmtId="259" fontId="109" fillId="0" borderId="9" xfId="0" applyFont="true" applyBorder="true" applyAlignment="false" applyProtection="true">
      <alignment horizontal="general" vertical="bottom" textRotation="0" wrapText="false" indent="0" shrinkToFit="false"/>
      <protection locked="false" hidden="false"/>
    </xf>
    <xf numFmtId="259" fontId="126" fillId="0" borderId="0" xfId="0" applyFont="true" applyBorder="false" applyAlignment="false" applyProtection="true">
      <alignment horizontal="general" vertical="bottom" textRotation="0" wrapText="false" indent="0" shrinkToFit="false"/>
      <protection locked="false" hidden="false"/>
    </xf>
    <xf numFmtId="236" fontId="96" fillId="0" borderId="0" xfId="0" applyFont="true" applyBorder="true" applyAlignment="false" applyProtection="true">
      <alignment horizontal="general" vertical="bottom" textRotation="0" wrapText="false" indent="0" shrinkToFit="false"/>
      <protection locked="false" hidden="false"/>
    </xf>
    <xf numFmtId="236" fontId="57" fillId="0" borderId="0" xfId="0" applyFont="true" applyBorder="true" applyAlignment="false" applyProtection="true">
      <alignment horizontal="general" vertical="bottom" textRotation="0" wrapText="false" indent="0" shrinkToFit="false"/>
      <protection locked="true" hidden="false"/>
    </xf>
    <xf numFmtId="164" fontId="58" fillId="0" borderId="0" xfId="0" applyFont="true" applyBorder="false" applyAlignment="true" applyProtection="true">
      <alignment horizontal="center" vertical="bottom" textRotation="0" wrapText="false" indent="0" shrinkToFit="false"/>
      <protection locked="false" hidden="false"/>
    </xf>
    <xf numFmtId="240" fontId="96" fillId="0" borderId="0" xfId="0" applyFont="true" applyBorder="true" applyAlignment="false" applyProtection="true">
      <alignment horizontal="general" vertical="bottom" textRotation="0" wrapText="false" indent="0" shrinkToFit="false"/>
      <protection locked="false" hidden="false"/>
    </xf>
    <xf numFmtId="243" fontId="12" fillId="0" borderId="0" xfId="19" applyFont="true" applyBorder="true" applyAlignment="true" applyProtection="true">
      <alignment horizontal="general" vertical="bottom" textRotation="0" wrapText="false" indent="0" shrinkToFit="false"/>
      <protection locked="true" hidden="false"/>
    </xf>
    <xf numFmtId="206" fontId="12" fillId="0" borderId="0" xfId="0" applyFont="true" applyBorder="false" applyAlignment="false" applyProtection="true">
      <alignment horizontal="general" vertical="bottom" textRotation="0" wrapText="false" indent="0" shrinkToFit="false"/>
      <protection locked="true" hidden="false"/>
    </xf>
    <xf numFmtId="260" fontId="12" fillId="0" borderId="0" xfId="0" applyFont="true" applyBorder="false" applyAlignment="false" applyProtection="true">
      <alignment horizontal="general" vertical="bottom" textRotation="0" wrapText="false" indent="0" shrinkToFit="false"/>
      <protection locked="true" hidden="false"/>
    </xf>
    <xf numFmtId="240" fontId="57" fillId="0" borderId="0" xfId="0" applyFont="true" applyBorder="true" applyAlignment="false" applyProtection="true">
      <alignment horizontal="general" vertical="bottom" textRotation="0" wrapText="false" indent="0" shrinkToFit="false"/>
      <protection locked="true" hidden="false"/>
    </xf>
    <xf numFmtId="265" fontId="96" fillId="0" borderId="0" xfId="0" applyFont="true" applyBorder="true" applyAlignment="false" applyProtection="true">
      <alignment horizontal="general" vertical="bottom" textRotation="0" wrapText="false" indent="0" shrinkToFit="false"/>
      <protection locked="false" hidden="false"/>
    </xf>
    <xf numFmtId="164" fontId="12" fillId="0" borderId="0" xfId="0" applyFont="true" applyBorder="false" applyAlignment="false" applyProtection="true">
      <alignment horizontal="general" vertical="bottom" textRotation="0" wrapText="false" indent="0" shrinkToFit="false"/>
      <protection locked="true" hidden="false"/>
    </xf>
    <xf numFmtId="235" fontId="12" fillId="0" borderId="0" xfId="0" applyFont="true" applyBorder="false" applyAlignment="false" applyProtection="true">
      <alignment horizontal="general" vertical="bottom" textRotation="0" wrapText="false" indent="0" shrinkToFit="false"/>
      <protection locked="true" hidden="false"/>
    </xf>
    <xf numFmtId="247" fontId="126" fillId="0" borderId="0" xfId="15" applyFont="true" applyBorder="true" applyAlignment="true" applyProtection="true">
      <alignment horizontal="general" vertical="bottom" textRotation="0" wrapText="false" indent="0" shrinkToFit="false"/>
      <protection locked="true" hidden="false"/>
    </xf>
    <xf numFmtId="247" fontId="135" fillId="0" borderId="0" xfId="15" applyFont="true" applyBorder="true" applyAlignment="true" applyProtection="true">
      <alignment horizontal="general" vertical="bottom" textRotation="0" wrapText="false" indent="0" shrinkToFit="false"/>
      <protection locked="true" hidden="false"/>
    </xf>
    <xf numFmtId="247" fontId="135" fillId="0" borderId="11" xfId="15" applyFont="true" applyBorder="true" applyAlignment="true" applyProtection="true">
      <alignment horizontal="general" vertical="bottom" textRotation="0" wrapText="false" indent="0" shrinkToFit="false"/>
      <protection locked="true" hidden="false"/>
    </xf>
    <xf numFmtId="164" fontId="57" fillId="0" borderId="6" xfId="0" applyFont="true" applyBorder="true" applyAlignment="true" applyProtection="true">
      <alignment horizontal="left" vertical="bottom" textRotation="0" wrapText="false" indent="0" shrinkToFit="false"/>
      <protection locked="true" hidden="false"/>
    </xf>
    <xf numFmtId="164" fontId="57" fillId="0" borderId="3" xfId="0" applyFont="true" applyBorder="true" applyAlignment="false" applyProtection="true">
      <alignment horizontal="general" vertical="bottom" textRotation="0" wrapText="false" indent="0" shrinkToFit="false"/>
      <protection locked="true" hidden="false"/>
    </xf>
    <xf numFmtId="164" fontId="57" fillId="0" borderId="0" xfId="0" applyFont="true" applyBorder="false" applyAlignment="false" applyProtection="true">
      <alignment horizontal="general" vertical="bottom" textRotation="0" wrapText="false" indent="0" shrinkToFit="false"/>
      <protection locked="true" hidden="false"/>
    </xf>
    <xf numFmtId="164" fontId="134" fillId="0" borderId="10" xfId="0" applyFont="true" applyBorder="true" applyAlignment="true" applyProtection="true">
      <alignment horizontal="left" vertical="bottom" textRotation="0" wrapText="false" indent="0" shrinkToFit="false"/>
      <protection locked="false" hidden="false"/>
    </xf>
    <xf numFmtId="206" fontId="57" fillId="0" borderId="0" xfId="0" applyFont="true" applyBorder="true" applyAlignment="false" applyProtection="true">
      <alignment horizontal="general" vertical="bottom" textRotation="0" wrapText="false" indent="0" shrinkToFit="false"/>
      <protection locked="true" hidden="false"/>
    </xf>
    <xf numFmtId="243" fontId="96" fillId="0" borderId="0" xfId="19" applyFont="true" applyBorder="true" applyAlignment="true" applyProtection="true">
      <alignment horizontal="general" vertical="bottom" textRotation="0" wrapText="false" indent="0" shrinkToFit="false"/>
      <protection locked="true" hidden="false"/>
    </xf>
    <xf numFmtId="243" fontId="96" fillId="0" borderId="11" xfId="19" applyFont="true" applyBorder="true" applyAlignment="true" applyProtection="true">
      <alignment horizontal="general" vertical="bottom" textRotation="0" wrapText="false" indent="0" shrinkToFit="false"/>
      <protection locked="true" hidden="false"/>
    </xf>
    <xf numFmtId="243" fontId="58" fillId="0" borderId="0" xfId="19" applyFont="true" applyBorder="true" applyAlignment="true" applyProtection="true">
      <alignment horizontal="general" vertical="bottom" textRotation="0" wrapText="false" indent="0" shrinkToFit="false"/>
      <protection locked="true" hidden="false"/>
    </xf>
    <xf numFmtId="247" fontId="115" fillId="0" borderId="0" xfId="15" applyFont="true" applyBorder="true" applyAlignment="true" applyProtection="true">
      <alignment horizontal="general" vertical="bottom" textRotation="0" wrapText="false" indent="0" shrinkToFit="false"/>
      <protection locked="true" hidden="false"/>
    </xf>
    <xf numFmtId="244" fontId="96" fillId="0" borderId="0" xfId="19" applyFont="true" applyBorder="true" applyAlignment="true" applyProtection="true">
      <alignment horizontal="general" vertical="bottom" textRotation="0" wrapText="false" indent="0" shrinkToFit="false"/>
      <protection locked="true" hidden="false"/>
    </xf>
    <xf numFmtId="164" fontId="57" fillId="0" borderId="9" xfId="0" applyFont="true" applyBorder="true" applyAlignment="true" applyProtection="true">
      <alignment horizontal="right" vertical="bottom" textRotation="0" wrapText="false" indent="0" shrinkToFit="false"/>
      <protection locked="true" hidden="false"/>
    </xf>
    <xf numFmtId="235" fontId="57" fillId="0" borderId="9" xfId="1238" applyFont="true" applyBorder="true" applyAlignment="true" applyProtection="true">
      <alignment horizontal="right" vertical="bottom" textRotation="0" wrapText="false" indent="0" shrinkToFit="false"/>
      <protection locked="true" hidden="false"/>
    </xf>
    <xf numFmtId="235" fontId="57" fillId="0" borderId="5" xfId="1238" applyFont="true" applyBorder="true" applyAlignment="true" applyProtection="true">
      <alignment horizontal="right" vertical="bottom" textRotation="0" wrapText="false" indent="0" shrinkToFit="false"/>
      <protection locked="true" hidden="false"/>
    </xf>
    <xf numFmtId="235" fontId="57" fillId="0" borderId="0" xfId="0" applyFont="true" applyBorder="false" applyAlignment="false" applyProtection="true">
      <alignment horizontal="general" vertical="bottom" textRotation="0" wrapText="false" indent="0" shrinkToFit="false"/>
      <protection locked="true" hidden="false"/>
    </xf>
    <xf numFmtId="243" fontId="96" fillId="0" borderId="0" xfId="19" applyFont="true" applyBorder="true" applyAlignment="true" applyProtection="true">
      <alignment horizontal="general" vertical="bottom" textRotation="0" wrapText="false" indent="0" shrinkToFit="false"/>
      <protection locked="false" hidden="false"/>
    </xf>
    <xf numFmtId="244" fontId="96" fillId="0" borderId="3" xfId="19" applyFont="true" applyBorder="true" applyAlignment="true" applyProtection="true">
      <alignment horizontal="general" vertical="bottom" textRotation="0" wrapText="false" indent="0" shrinkToFit="false"/>
      <protection locked="false" hidden="false"/>
    </xf>
    <xf numFmtId="247" fontId="57" fillId="0" borderId="3" xfId="15" applyFont="true" applyBorder="true" applyAlignment="true" applyProtection="true">
      <alignment horizontal="general" vertical="bottom" textRotation="0" wrapText="false" indent="0" shrinkToFit="false"/>
      <protection locked="true" hidden="false"/>
    </xf>
    <xf numFmtId="247" fontId="57" fillId="0" borderId="7" xfId="15" applyFont="true" applyBorder="true" applyAlignment="true" applyProtection="true">
      <alignment horizontal="general" vertical="bottom" textRotation="0" wrapText="false" indent="0" shrinkToFit="false"/>
      <protection locked="true" hidden="false"/>
    </xf>
    <xf numFmtId="247" fontId="96" fillId="0" borderId="0" xfId="15" applyFont="true" applyBorder="true" applyAlignment="true" applyProtection="true">
      <alignment horizontal="general" vertical="bottom" textRotation="0" wrapText="false" indent="0" shrinkToFit="false"/>
      <protection locked="false" hidden="false"/>
    </xf>
    <xf numFmtId="164" fontId="57" fillId="0" borderId="0" xfId="0" applyFont="true" applyBorder="false" applyAlignment="true" applyProtection="true">
      <alignment horizontal="right" vertical="bottom" textRotation="0" wrapText="false" indent="0" shrinkToFit="false"/>
      <protection locked="true" hidden="false"/>
    </xf>
    <xf numFmtId="247" fontId="57" fillId="0" borderId="0" xfId="15" applyFont="true" applyBorder="true" applyAlignment="true" applyProtection="true">
      <alignment horizontal="general" vertical="bottom" textRotation="0" wrapText="false" indent="0" shrinkToFit="false"/>
      <protection locked="false" hidden="false"/>
    </xf>
    <xf numFmtId="244" fontId="57" fillId="0" borderId="0" xfId="19" applyFont="true" applyBorder="true" applyAlignment="true" applyProtection="true">
      <alignment horizontal="general" vertical="bottom" textRotation="0" wrapText="false" indent="0" shrinkToFit="false"/>
      <protection locked="false" hidden="false"/>
    </xf>
    <xf numFmtId="247" fontId="109" fillId="0" borderId="3" xfId="15" applyFont="true" applyBorder="true" applyAlignment="true" applyProtection="true">
      <alignment horizontal="general" vertical="bottom" textRotation="0" wrapText="false" indent="0" shrinkToFit="false"/>
      <protection locked="true" hidden="false"/>
    </xf>
    <xf numFmtId="249" fontId="57" fillId="0" borderId="0" xfId="0" applyFont="true" applyBorder="false" applyAlignment="false" applyProtection="false">
      <alignment horizontal="general" vertical="bottom" textRotation="0" wrapText="false" indent="0" shrinkToFit="false"/>
      <protection locked="true" hidden="false"/>
    </xf>
    <xf numFmtId="240" fontId="96" fillId="0" borderId="0" xfId="0" applyFont="true" applyBorder="false" applyAlignment="false" applyProtection="true">
      <alignment horizontal="general" vertical="bottom" textRotation="0" wrapText="false" indent="0" shrinkToFit="false"/>
      <protection locked="false" hidden="false"/>
    </xf>
    <xf numFmtId="164" fontId="61" fillId="0" borderId="0" xfId="0" applyFont="true" applyBorder="false" applyAlignment="true" applyProtection="false">
      <alignment horizontal="general" vertical="bottom" textRotation="0" wrapText="false" indent="0" shrinkToFit="false"/>
      <protection locked="true" hidden="false"/>
    </xf>
    <xf numFmtId="164" fontId="28" fillId="0" borderId="0" xfId="0" applyFont="true" applyBorder="false" applyAlignment="true" applyProtection="false">
      <alignment horizontal="center" vertical="bottom" textRotation="0" wrapText="false" indent="0" shrinkToFit="false"/>
      <protection locked="true" hidden="false"/>
    </xf>
    <xf numFmtId="251" fontId="119" fillId="0" borderId="0" xfId="19" applyFont="true" applyBorder="true" applyAlignment="true" applyProtection="true">
      <alignment horizontal="general" vertical="bottom" textRotation="0" wrapText="false" indent="0" shrinkToFit="false"/>
      <protection locked="true" hidden="false"/>
    </xf>
    <xf numFmtId="251" fontId="57" fillId="0" borderId="0" xfId="0" applyFont="true" applyBorder="false" applyAlignment="false" applyProtection="false">
      <alignment horizontal="general" vertical="bottom" textRotation="0" wrapText="false" indent="0" shrinkToFit="false"/>
      <protection locked="true" hidden="false"/>
    </xf>
    <xf numFmtId="164" fontId="136" fillId="0" borderId="0" xfId="1294" applyFont="true" applyBorder="false" applyAlignment="false" applyProtection="false">
      <alignment horizontal="general" vertical="bottom" textRotation="0" wrapText="false" indent="0" shrinkToFit="false"/>
      <protection locked="true" hidden="false"/>
    </xf>
    <xf numFmtId="244" fontId="137" fillId="2" borderId="4" xfId="19" applyFont="true" applyBorder="true" applyAlignment="true" applyProtection="true">
      <alignment horizontal="left" vertical="bottom" textRotation="0" wrapText="false" indent="0" shrinkToFit="false"/>
      <protection locked="true" hidden="false"/>
    </xf>
    <xf numFmtId="244" fontId="137" fillId="2" borderId="9" xfId="19" applyFont="true" applyBorder="true" applyAlignment="true" applyProtection="true">
      <alignment horizontal="left"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138" fillId="2" borderId="5" xfId="1294" applyFont="true" applyBorder="true" applyAlignment="false" applyProtection="false">
      <alignment horizontal="general" vertical="bottom" textRotation="0" wrapText="false" indent="0" shrinkToFit="false"/>
      <protection locked="true" hidden="false"/>
    </xf>
    <xf numFmtId="164" fontId="138" fillId="0" borderId="0" xfId="1294" applyFont="true" applyBorder="false" applyAlignment="false" applyProtection="false">
      <alignment horizontal="general" vertical="bottom" textRotation="0" wrapText="false" indent="0" shrinkToFit="false"/>
      <protection locked="true" hidden="false"/>
    </xf>
    <xf numFmtId="164" fontId="138" fillId="0" borderId="0" xfId="1294" applyFont="true" applyBorder="false" applyAlignment="true" applyProtection="false">
      <alignment horizontal="center" vertical="bottom" textRotation="0" wrapText="false" indent="0" shrinkToFit="false"/>
      <protection locked="true" hidden="false"/>
    </xf>
    <xf numFmtId="164" fontId="139" fillId="0" borderId="0" xfId="1294" applyFont="true" applyBorder="false" applyAlignment="false" applyProtection="false">
      <alignment horizontal="general" vertical="bottom" textRotation="0" wrapText="false" indent="0" shrinkToFit="false"/>
      <protection locked="true" hidden="false"/>
    </xf>
    <xf numFmtId="164" fontId="66" fillId="2" borderId="6" xfId="0" applyFont="true" applyBorder="true" applyAlignment="false" applyProtection="false">
      <alignment horizontal="general" vertical="bottom" textRotation="0" wrapText="false" indent="0" shrinkToFit="false"/>
      <protection locked="true" hidden="false"/>
    </xf>
    <xf numFmtId="164" fontId="66" fillId="2" borderId="3" xfId="0" applyFont="true" applyBorder="true" applyAlignment="false" applyProtection="false">
      <alignment horizontal="general" vertical="bottom" textRotation="0" wrapText="false" indent="0" shrinkToFit="false"/>
      <protection locked="true" hidden="false"/>
    </xf>
    <xf numFmtId="164" fontId="138" fillId="2" borderId="3" xfId="1294" applyFont="true" applyBorder="true" applyAlignment="false" applyProtection="false">
      <alignment horizontal="general" vertical="bottom" textRotation="0" wrapText="false" indent="0" shrinkToFit="false"/>
      <protection locked="true" hidden="false"/>
    </xf>
    <xf numFmtId="164" fontId="138" fillId="2" borderId="7" xfId="1294" applyFont="true" applyBorder="true" applyAlignment="false" applyProtection="false">
      <alignment horizontal="general" vertical="bottom" textRotation="0" wrapText="false" indent="0" shrinkToFit="false"/>
      <protection locked="true" hidden="false"/>
    </xf>
    <xf numFmtId="164" fontId="140" fillId="0" borderId="0" xfId="1294" applyFont="true" applyBorder="true" applyAlignment="false" applyProtection="false">
      <alignment horizontal="general" vertical="bottom" textRotation="0" wrapText="false" indent="0" shrinkToFit="false"/>
      <protection locked="true" hidden="false"/>
    </xf>
    <xf numFmtId="164" fontId="138" fillId="0" borderId="0" xfId="1294" applyFont="true" applyBorder="true" applyAlignment="false" applyProtection="false">
      <alignment horizontal="general" vertical="bottom" textRotation="0" wrapText="false" indent="0" shrinkToFit="false"/>
      <protection locked="true" hidden="false"/>
    </xf>
    <xf numFmtId="164" fontId="141" fillId="0" borderId="0" xfId="1294" applyFont="true" applyBorder="false" applyAlignment="true" applyProtection="false">
      <alignment horizontal="center" vertical="bottom" textRotation="0" wrapText="false" indent="0" shrinkToFit="false"/>
      <protection locked="true" hidden="false"/>
    </xf>
    <xf numFmtId="164" fontId="141" fillId="0" borderId="4" xfId="1294" applyFont="true" applyBorder="true" applyAlignment="false" applyProtection="false">
      <alignment horizontal="general" vertical="bottom" textRotation="0" wrapText="false" indent="0" shrinkToFit="false"/>
      <protection locked="true" hidden="false"/>
    </xf>
    <xf numFmtId="164" fontId="141" fillId="0" borderId="9" xfId="1294" applyFont="true" applyBorder="true" applyAlignment="false" applyProtection="false">
      <alignment horizontal="general" vertical="bottom" textRotation="0" wrapText="false" indent="0" shrinkToFit="false"/>
      <protection locked="true" hidden="false"/>
    </xf>
    <xf numFmtId="164" fontId="136" fillId="0" borderId="9" xfId="1294" applyFont="true" applyBorder="true" applyAlignment="false" applyProtection="false">
      <alignment horizontal="general" vertical="bottom" textRotation="0" wrapText="false" indent="0" shrinkToFit="false"/>
      <protection locked="true" hidden="false"/>
    </xf>
    <xf numFmtId="246" fontId="142" fillId="0" borderId="5" xfId="1294" applyFont="true" applyBorder="true" applyAlignment="false" applyProtection="false">
      <alignment horizontal="general" vertical="bottom" textRotation="0" wrapText="false" indent="0" shrinkToFit="false"/>
      <protection locked="true" hidden="false"/>
    </xf>
    <xf numFmtId="246" fontId="143" fillId="0" borderId="0" xfId="1294" applyFont="true" applyBorder="true" applyAlignment="false" applyProtection="false">
      <alignment horizontal="general" vertical="bottom" textRotation="0" wrapText="false" indent="0" shrinkToFit="false"/>
      <protection locked="true" hidden="false"/>
    </xf>
    <xf numFmtId="164" fontId="141" fillId="0" borderId="10" xfId="1294" applyFont="true" applyBorder="true" applyAlignment="false" applyProtection="false">
      <alignment horizontal="general" vertical="bottom" textRotation="0" wrapText="false" indent="0" shrinkToFit="false"/>
      <protection locked="true" hidden="false"/>
    </xf>
    <xf numFmtId="164" fontId="141" fillId="0" borderId="0" xfId="1294" applyFont="true" applyBorder="true" applyAlignment="false" applyProtection="false">
      <alignment horizontal="general" vertical="bottom" textRotation="0" wrapText="false" indent="0" shrinkToFit="false"/>
      <protection locked="true" hidden="false"/>
    </xf>
    <xf numFmtId="164" fontId="136" fillId="0" borderId="0" xfId="1294" applyFont="true" applyBorder="true" applyAlignment="false" applyProtection="false">
      <alignment horizontal="general" vertical="bottom" textRotation="0" wrapText="false" indent="0" shrinkToFit="false"/>
      <protection locked="true" hidden="false"/>
    </xf>
    <xf numFmtId="246" fontId="142" fillId="0" borderId="11" xfId="1294" applyFont="true" applyBorder="true" applyAlignment="false" applyProtection="false">
      <alignment horizontal="general" vertical="bottom" textRotation="0" wrapText="false" indent="0" shrinkToFit="false"/>
      <protection locked="true" hidden="false"/>
    </xf>
    <xf numFmtId="243" fontId="141" fillId="0" borderId="11" xfId="1294" applyFont="true" applyBorder="true" applyAlignment="false" applyProtection="false">
      <alignment horizontal="general" vertical="bottom" textRotation="0" wrapText="false" indent="0" shrinkToFit="false"/>
      <protection locked="true" hidden="false"/>
    </xf>
    <xf numFmtId="243" fontId="141" fillId="0" borderId="0" xfId="1294" applyFont="true" applyBorder="true" applyAlignment="false" applyProtection="false">
      <alignment horizontal="general" vertical="bottom" textRotation="0" wrapText="false" indent="0" shrinkToFit="false"/>
      <protection locked="true" hidden="false"/>
    </xf>
    <xf numFmtId="170" fontId="141" fillId="0" borderId="0" xfId="1081" applyFont="true" applyBorder="true" applyAlignment="true" applyProtection="true">
      <alignment horizontal="general" vertical="bottom" textRotation="0" wrapText="false" indent="0" shrinkToFit="false"/>
      <protection locked="true" hidden="false"/>
    </xf>
    <xf numFmtId="235" fontId="142" fillId="0" borderId="11" xfId="1294" applyFont="true" applyBorder="true" applyAlignment="false" applyProtection="false">
      <alignment horizontal="general" vertical="bottom" textRotation="0" wrapText="false" indent="0" shrinkToFit="false"/>
      <protection locked="true" hidden="false"/>
    </xf>
    <xf numFmtId="235" fontId="142" fillId="0" borderId="0" xfId="1294" applyFont="true" applyBorder="true" applyAlignment="false" applyProtection="false">
      <alignment horizontal="general" vertical="bottom" textRotation="0" wrapText="false" indent="0" shrinkToFit="false"/>
      <protection locked="true" hidden="false"/>
    </xf>
    <xf numFmtId="164" fontId="136" fillId="0" borderId="10" xfId="1294" applyFont="true" applyBorder="true" applyAlignment="false" applyProtection="false">
      <alignment horizontal="general" vertical="bottom" textRotation="0" wrapText="false" indent="0" shrinkToFit="false"/>
      <protection locked="true" hidden="false"/>
    </xf>
    <xf numFmtId="164" fontId="136" fillId="0" borderId="11" xfId="1294" applyFont="true" applyBorder="true" applyAlignment="false" applyProtection="false">
      <alignment horizontal="general" vertical="bottom" textRotation="0" wrapText="false" indent="0" shrinkToFit="false"/>
      <protection locked="true" hidden="false"/>
    </xf>
    <xf numFmtId="243" fontId="142" fillId="0" borderId="11" xfId="1294" applyFont="true" applyBorder="true" applyAlignment="false" applyProtection="false">
      <alignment horizontal="general" vertical="bottom" textRotation="0" wrapText="false" indent="0" shrinkToFit="false"/>
      <protection locked="true" hidden="false"/>
    </xf>
    <xf numFmtId="243" fontId="142" fillId="0" borderId="0" xfId="1294" applyFont="true" applyBorder="true" applyAlignment="false" applyProtection="false">
      <alignment horizontal="general" vertical="bottom" textRotation="0" wrapText="false" indent="0" shrinkToFit="false"/>
      <protection locked="true" hidden="false"/>
    </xf>
    <xf numFmtId="170" fontId="141" fillId="0" borderId="0" xfId="1294" applyFont="true" applyBorder="false" applyAlignment="false" applyProtection="false">
      <alignment horizontal="general" vertical="bottom" textRotation="0" wrapText="false" indent="0" shrinkToFit="false"/>
      <protection locked="true" hidden="false"/>
    </xf>
    <xf numFmtId="235" fontId="141" fillId="0" borderId="11" xfId="1294" applyFont="true" applyBorder="true" applyAlignment="false" applyProtection="false">
      <alignment horizontal="general" vertical="bottom" textRotation="0" wrapText="false" indent="0" shrinkToFit="false"/>
      <protection locked="true" hidden="false"/>
    </xf>
    <xf numFmtId="235" fontId="141" fillId="0" borderId="0" xfId="1294" applyFont="true" applyBorder="true" applyAlignment="false" applyProtection="false">
      <alignment horizontal="general" vertical="bottom" textRotation="0" wrapText="false" indent="0" shrinkToFit="false"/>
      <protection locked="true" hidden="false"/>
    </xf>
    <xf numFmtId="243" fontId="136" fillId="0" borderId="0" xfId="1294" applyFont="true" applyBorder="false" applyAlignment="false" applyProtection="false">
      <alignment horizontal="general" vertical="bottom" textRotation="0" wrapText="false" indent="0" shrinkToFit="false"/>
      <protection locked="true" hidden="false"/>
    </xf>
    <xf numFmtId="164" fontId="139" fillId="0" borderId="6" xfId="1294" applyFont="true" applyBorder="true" applyAlignment="false" applyProtection="false">
      <alignment horizontal="general" vertical="bottom" textRotation="0" wrapText="false" indent="0" shrinkToFit="false"/>
      <protection locked="true" hidden="false"/>
    </xf>
    <xf numFmtId="164" fontId="139" fillId="0" borderId="3" xfId="1294" applyFont="true" applyBorder="true" applyAlignment="false" applyProtection="false">
      <alignment horizontal="general" vertical="bottom" textRotation="0" wrapText="false" indent="0" shrinkToFit="false"/>
      <protection locked="true" hidden="false"/>
    </xf>
    <xf numFmtId="164" fontId="136" fillId="0" borderId="3" xfId="1294" applyFont="true" applyBorder="true" applyAlignment="false" applyProtection="false">
      <alignment horizontal="general" vertical="bottom" textRotation="0" wrapText="false" indent="0" shrinkToFit="false"/>
      <protection locked="true" hidden="false"/>
    </xf>
    <xf numFmtId="164" fontId="141" fillId="0" borderId="7" xfId="1294" applyFont="true" applyBorder="true" applyAlignment="false" applyProtection="false">
      <alignment horizontal="general" vertical="bottom" textRotation="0" wrapText="false" indent="0" shrinkToFit="false"/>
      <protection locked="true" hidden="false"/>
    </xf>
    <xf numFmtId="246" fontId="136" fillId="0" borderId="0" xfId="1294" applyFont="true" applyBorder="false" applyAlignment="false" applyProtection="false">
      <alignment horizontal="general" vertical="bottom" textRotation="0" wrapText="false" indent="0" shrinkToFit="false"/>
      <protection locked="true" hidden="false"/>
    </xf>
    <xf numFmtId="164" fontId="141" fillId="0" borderId="0" xfId="1294" applyFont="true" applyBorder="false" applyAlignment="false" applyProtection="false">
      <alignment horizontal="general" vertical="bottom" textRotation="0" wrapText="false" indent="0" shrinkToFit="false"/>
      <protection locked="true" hidden="false"/>
    </xf>
    <xf numFmtId="164" fontId="141" fillId="0" borderId="6" xfId="1294" applyFont="true" applyBorder="true" applyAlignment="false" applyProtection="false">
      <alignment horizontal="general" vertical="bottom" textRotation="0" wrapText="false" indent="0" shrinkToFit="false"/>
      <protection locked="true" hidden="false"/>
    </xf>
    <xf numFmtId="164" fontId="141" fillId="0" borderId="3" xfId="1294" applyFont="true" applyBorder="true" applyAlignment="false" applyProtection="false">
      <alignment horizontal="general" vertical="bottom" textRotation="0" wrapText="false" indent="0" shrinkToFit="false"/>
      <protection locked="true" hidden="false"/>
    </xf>
    <xf numFmtId="246" fontId="141" fillId="0" borderId="7" xfId="1294" applyFont="true" applyBorder="true" applyAlignment="false" applyProtection="false">
      <alignment horizontal="general" vertical="bottom" textRotation="0" wrapText="false" indent="0" shrinkToFit="false"/>
      <protection locked="true" hidden="false"/>
    </xf>
    <xf numFmtId="246" fontId="141" fillId="0" borderId="0" xfId="1294" applyFont="true" applyBorder="true" applyAlignment="false" applyProtection="false">
      <alignment horizontal="general" vertical="bottom" textRotation="0" wrapText="false" indent="0" shrinkToFit="false"/>
      <protection locked="true" hidden="false"/>
    </xf>
    <xf numFmtId="231" fontId="136" fillId="0" borderId="0" xfId="1294" applyFont="true" applyBorder="false" applyAlignment="false" applyProtection="false">
      <alignment horizontal="general" vertical="bottom" textRotation="0" wrapText="false" indent="0" shrinkToFit="false"/>
      <protection locked="true" hidden="false"/>
    </xf>
    <xf numFmtId="164" fontId="141" fillId="0" borderId="8" xfId="1294" applyFont="true" applyBorder="true" applyAlignment="true" applyProtection="false">
      <alignment horizontal="center" vertical="bottom" textRotation="0" wrapText="false" indent="0" shrinkToFit="false"/>
      <protection locked="true" hidden="false"/>
    </xf>
    <xf numFmtId="164" fontId="141" fillId="0" borderId="8" xfId="1294" applyFont="true" applyBorder="true" applyAlignment="true" applyProtection="false">
      <alignment horizontal="center" vertical="bottom" textRotation="0" wrapText="true" indent="0" shrinkToFit="false"/>
      <protection locked="true" hidden="false"/>
    </xf>
    <xf numFmtId="164" fontId="141" fillId="0" borderId="13" xfId="1294" applyFont="true" applyBorder="true" applyAlignment="true" applyProtection="false">
      <alignment horizontal="center" vertical="bottom" textRotation="0" wrapText="false" indent="0" shrinkToFit="false"/>
      <protection locked="true" hidden="false"/>
    </xf>
    <xf numFmtId="164" fontId="136" fillId="0" borderId="22" xfId="1294" applyFont="true" applyBorder="true" applyAlignment="false" applyProtection="false">
      <alignment horizontal="general" vertical="bottom" textRotation="0" wrapText="false" indent="0" shrinkToFit="false"/>
      <protection locked="true" hidden="false"/>
    </xf>
    <xf numFmtId="164" fontId="141" fillId="0" borderId="22" xfId="1294" applyFont="true" applyBorder="true" applyAlignment="false" applyProtection="false">
      <alignment horizontal="general" vertical="bottom" textRotation="0" wrapText="false" indent="0" shrinkToFit="false"/>
      <protection locked="true" hidden="false"/>
    </xf>
    <xf numFmtId="164" fontId="141" fillId="0" borderId="11" xfId="1294" applyFont="true" applyBorder="true" applyAlignment="false" applyProtection="false">
      <alignment horizontal="general" vertical="bottom" textRotation="0" wrapText="false" indent="0" shrinkToFit="false"/>
      <protection locked="true" hidden="false"/>
    </xf>
    <xf numFmtId="164" fontId="139" fillId="0" borderId="22" xfId="1294" applyFont="true" applyBorder="true" applyAlignment="true" applyProtection="false">
      <alignment horizontal="center" vertical="bottom" textRotation="0" wrapText="false" indent="0" shrinkToFit="false"/>
      <protection locked="true" hidden="false"/>
    </xf>
    <xf numFmtId="164" fontId="144" fillId="0" borderId="22" xfId="1294" applyFont="true" applyBorder="true" applyAlignment="false" applyProtection="false">
      <alignment horizontal="general" vertical="bottom" textRotation="0" wrapText="false" indent="0" shrinkToFit="false"/>
      <protection locked="true" hidden="false"/>
    </xf>
    <xf numFmtId="164" fontId="139" fillId="0" borderId="22" xfId="1294" applyFont="true" applyBorder="true" applyAlignment="false" applyProtection="false">
      <alignment horizontal="general" vertical="bottom" textRotation="0" wrapText="false" indent="0" shrinkToFit="false"/>
      <protection locked="true" hidden="false"/>
    </xf>
    <xf numFmtId="164" fontId="139" fillId="0" borderId="11" xfId="1294" applyFont="true" applyBorder="true" applyAlignment="false" applyProtection="false">
      <alignment horizontal="general" vertical="bottom" textRotation="0" wrapText="false" indent="0" shrinkToFit="false"/>
      <protection locked="true" hidden="false"/>
    </xf>
    <xf numFmtId="248" fontId="139" fillId="0" borderId="22" xfId="19" applyFont="true" applyBorder="true" applyAlignment="true" applyProtection="true">
      <alignment horizontal="center" vertical="bottom" textRotation="0" wrapText="false" indent="0" shrinkToFit="false"/>
      <protection locked="true" hidden="false"/>
    </xf>
    <xf numFmtId="246" fontId="144" fillId="0" borderId="22" xfId="1294" applyFont="true" applyBorder="true" applyAlignment="false" applyProtection="false">
      <alignment horizontal="general" vertical="bottom" textRotation="0" wrapText="false" indent="0" shrinkToFit="false"/>
      <protection locked="true" hidden="false"/>
    </xf>
    <xf numFmtId="246" fontId="139" fillId="0" borderId="22" xfId="1294" applyFont="true" applyBorder="true" applyAlignment="false" applyProtection="false">
      <alignment horizontal="general" vertical="bottom" textRotation="0" wrapText="false" indent="0" shrinkToFit="false"/>
      <protection locked="true" hidden="false"/>
    </xf>
    <xf numFmtId="246" fontId="139" fillId="0" borderId="11" xfId="1294" applyFont="true" applyBorder="true" applyAlignment="false" applyProtection="false">
      <alignment horizontal="general" vertical="bottom" textRotation="0" wrapText="false" indent="0" shrinkToFit="false"/>
      <protection locked="true" hidden="false"/>
    </xf>
    <xf numFmtId="164" fontId="139" fillId="0" borderId="23" xfId="1294" applyFont="true" applyBorder="true" applyAlignment="true" applyProtection="false">
      <alignment horizontal="center" vertical="bottom" textRotation="0" wrapText="false" indent="0" shrinkToFit="false"/>
      <protection locked="true" hidden="false"/>
    </xf>
    <xf numFmtId="246" fontId="139" fillId="0" borderId="23" xfId="1294" applyFont="true" applyBorder="true" applyAlignment="false" applyProtection="false">
      <alignment horizontal="general" vertical="bottom" textRotation="0" wrapText="false" indent="0" shrinkToFit="false"/>
      <protection locked="true" hidden="false"/>
    </xf>
    <xf numFmtId="246" fontId="139" fillId="0" borderId="7" xfId="1294" applyFont="true" applyBorder="true" applyAlignment="false" applyProtection="false">
      <alignment horizontal="general" vertical="bottom" textRotation="0" wrapText="false" indent="0" shrinkToFit="false"/>
      <protection locked="true" hidden="false"/>
    </xf>
    <xf numFmtId="248" fontId="0" fillId="0" borderId="0" xfId="0" applyFont="false" applyBorder="false" applyAlignment="false" applyProtection="false">
      <alignment horizontal="general" vertical="bottom" textRotation="0" wrapText="false" indent="0" shrinkToFit="false"/>
      <protection locked="true" hidden="false"/>
    </xf>
    <xf numFmtId="248" fontId="139" fillId="0" borderId="0" xfId="1294" applyFont="true" applyBorder="true" applyAlignment="false" applyProtection="false">
      <alignment horizontal="general" vertical="bottom" textRotation="0" wrapText="false" indent="0" shrinkToFit="false"/>
      <protection locked="true" hidden="false"/>
    </xf>
    <xf numFmtId="248" fontId="144" fillId="0" borderId="0" xfId="1294" applyFont="true" applyBorder="true" applyAlignment="false" applyProtection="false">
      <alignment horizontal="general" vertical="bottom" textRotation="0" wrapText="false" indent="0" shrinkToFit="false"/>
      <protection locked="true" hidden="false"/>
    </xf>
    <xf numFmtId="164" fontId="139" fillId="0" borderId="0" xfId="1294" applyFont="true" applyBorder="true" applyAlignment="false" applyProtection="false">
      <alignment horizontal="general" vertical="bottom" textRotation="0" wrapText="false" indent="0" shrinkToFit="false"/>
      <protection locked="true" hidden="false"/>
    </xf>
    <xf numFmtId="246" fontId="139" fillId="0" borderId="0" xfId="1294" applyFont="true" applyBorder="true" applyAlignment="false" applyProtection="false">
      <alignment horizontal="general" vertical="bottom" textRotation="0" wrapText="false" indent="0" shrinkToFit="false"/>
      <protection locked="true" hidden="false"/>
    </xf>
    <xf numFmtId="246" fontId="139" fillId="0" borderId="0" xfId="1294"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8" fillId="2" borderId="6" xfId="0" applyFont="true" applyBorder="true" applyAlignment="false" applyProtection="false">
      <alignment horizontal="general" vertical="bottom" textRotation="0" wrapText="false" indent="0" shrinkToFit="false"/>
      <protection locked="true" hidden="false"/>
    </xf>
    <xf numFmtId="259" fontId="83" fillId="0" borderId="0" xfId="0" applyFont="true" applyBorder="false" applyAlignment="false" applyProtection="true">
      <alignment horizontal="general" vertical="bottom" textRotation="0" wrapText="false" indent="0" shrinkToFit="false"/>
      <protection locked="true" hidden="false"/>
    </xf>
    <xf numFmtId="164" fontId="53" fillId="0" borderId="0" xfId="0" applyFont="true" applyBorder="false" applyAlignment="false" applyProtection="false">
      <alignment horizontal="general" vertical="bottom" textRotation="0" wrapText="false" indent="0" shrinkToFit="false"/>
      <protection locked="true" hidden="false"/>
    </xf>
    <xf numFmtId="164" fontId="57" fillId="0" borderId="11" xfId="0" applyFont="true" applyBorder="true" applyAlignment="false" applyProtection="false">
      <alignment horizontal="general" vertical="bottom" textRotation="0" wrapText="false" indent="0" shrinkToFit="false"/>
      <protection locked="true" hidden="false"/>
    </xf>
    <xf numFmtId="185" fontId="57" fillId="0" borderId="0" xfId="0" applyFont="true" applyBorder="false" applyAlignment="false" applyProtection="false">
      <alignment horizontal="general" vertical="bottom" textRotation="0" wrapText="false" indent="0" shrinkToFit="false"/>
      <protection locked="true" hidden="false"/>
    </xf>
    <xf numFmtId="164" fontId="25" fillId="0" borderId="10" xfId="0" applyFont="true" applyBorder="true" applyAlignment="false" applyProtection="false">
      <alignment horizontal="general" vertical="bottom" textRotation="0" wrapText="false" indent="0" shrinkToFit="false"/>
      <protection locked="true" hidden="false"/>
    </xf>
    <xf numFmtId="169" fontId="25" fillId="0" borderId="0" xfId="0" applyFont="true" applyBorder="true" applyAlignment="false" applyProtection="false">
      <alignment horizontal="general" vertical="bottom" textRotation="0" wrapText="false" indent="0" shrinkToFit="false"/>
      <protection locked="true" hidden="false"/>
    </xf>
    <xf numFmtId="252" fontId="57" fillId="0" borderId="0" xfId="0" applyFont="true" applyBorder="false" applyAlignment="false" applyProtection="false">
      <alignment horizontal="general" vertical="bottom" textRotation="0" wrapText="false" indent="0" shrinkToFit="false"/>
      <protection locked="true" hidden="false"/>
    </xf>
    <xf numFmtId="170" fontId="57" fillId="0" borderId="0" xfId="0" applyFont="true" applyBorder="false" applyAlignment="false" applyProtection="false">
      <alignment horizontal="general" vertical="bottom" textRotation="0" wrapText="false" indent="0" shrinkToFit="false"/>
      <protection locked="true" hidden="false"/>
    </xf>
    <xf numFmtId="242" fontId="57" fillId="0" borderId="0" xfId="0" applyFont="true" applyBorder="false" applyAlignment="false" applyProtection="false">
      <alignment horizontal="general" vertical="bottom" textRotation="0" wrapText="false" indent="0" shrinkToFit="false"/>
      <protection locked="true" hidden="false"/>
    </xf>
    <xf numFmtId="248" fontId="0" fillId="0" borderId="0" xfId="19" applyFont="true" applyBorder="true" applyAlignment="true" applyProtection="true">
      <alignment horizontal="general" vertical="bottom" textRotation="0" wrapText="false" indent="0" shrinkToFit="false"/>
      <protection locked="true" hidden="false"/>
    </xf>
    <xf numFmtId="164" fontId="66" fillId="0" borderId="4" xfId="0" applyFont="true" applyBorder="true" applyAlignment="true" applyProtection="false">
      <alignment horizontal="general" vertical="bottom" textRotation="0" wrapText="true" indent="0" shrinkToFit="false"/>
      <protection locked="true" hidden="false"/>
    </xf>
    <xf numFmtId="164" fontId="25" fillId="0" borderId="9" xfId="0" applyFont="true" applyBorder="true" applyAlignment="false" applyProtection="false">
      <alignment horizontal="general" vertical="bottom" textRotation="0" wrapText="false" indent="0" shrinkToFit="false"/>
      <protection locked="true" hidden="false"/>
    </xf>
    <xf numFmtId="243" fontId="0" fillId="0" borderId="5" xfId="19" applyFont="true" applyBorder="true" applyAlignment="true" applyProtection="true">
      <alignment horizontal="general" vertical="bottom" textRotation="0" wrapText="false" indent="0" shrinkToFit="false"/>
      <protection locked="true" hidden="false"/>
    </xf>
    <xf numFmtId="164" fontId="66" fillId="0" borderId="9" xfId="0" applyFont="true" applyBorder="true" applyAlignment="true" applyProtection="false">
      <alignment horizontal="general" vertical="bottom" textRotation="0" wrapText="true" indent="0" shrinkToFit="false"/>
      <protection locked="true" hidden="false"/>
    </xf>
    <xf numFmtId="164" fontId="66" fillId="0" borderId="9" xfId="0" applyFont="true" applyBorder="true" applyAlignment="false" applyProtection="false">
      <alignment horizontal="general" vertical="bottom" textRotation="0" wrapText="false" indent="0" shrinkToFit="false"/>
      <protection locked="true" hidden="false"/>
    </xf>
    <xf numFmtId="164" fontId="66" fillId="0" borderId="5" xfId="0" applyFont="true" applyBorder="true" applyAlignment="false" applyProtection="false">
      <alignment horizontal="general" vertical="bottom" textRotation="0" wrapText="false" indent="0" shrinkToFit="false"/>
      <protection locked="true" hidden="false"/>
    </xf>
    <xf numFmtId="164" fontId="66" fillId="0" borderId="10" xfId="0" applyFont="true" applyBorder="true" applyAlignment="true" applyProtection="false">
      <alignment horizontal="general" vertical="bottom" textRotation="0" wrapText="tru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80" fontId="0" fillId="0" borderId="11" xfId="19" applyFont="true" applyBorder="true" applyAlignment="true" applyProtection="true">
      <alignment horizontal="general" vertical="bottom" textRotation="0" wrapText="false" indent="0" shrinkToFit="false"/>
      <protection locked="true" hidden="false"/>
    </xf>
    <xf numFmtId="243" fontId="0" fillId="0" borderId="0" xfId="19" applyFont="true" applyBorder="true" applyAlignment="true" applyProtection="true">
      <alignment horizontal="general" vertical="bottom" textRotation="0" wrapText="false" indent="0" shrinkToFit="false"/>
      <protection locked="true" hidden="false"/>
    </xf>
    <xf numFmtId="243" fontId="0" fillId="0" borderId="11" xfId="19" applyFont="true" applyBorder="true" applyAlignment="true" applyProtection="true">
      <alignment horizontal="general" vertical="bottom" textRotation="0" wrapText="false" indent="0" shrinkToFit="false"/>
      <protection locked="true" hidden="false"/>
    </xf>
    <xf numFmtId="164" fontId="66" fillId="0" borderId="10" xfId="0" applyFont="true" applyBorder="true" applyAlignment="false" applyProtection="false">
      <alignment horizontal="general" vertical="bottom" textRotation="0" wrapText="false" indent="0" shrinkToFit="false"/>
      <protection locked="true" hidden="false"/>
    </xf>
    <xf numFmtId="164" fontId="25" fillId="0" borderId="3"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9" fontId="0" fillId="0" borderId="3" xfId="0" applyFont="false" applyBorder="true" applyAlignment="false" applyProtection="false">
      <alignment horizontal="general" vertical="bottom" textRotation="0" wrapText="false" indent="0" shrinkToFit="false"/>
      <protection locked="true" hidden="false"/>
    </xf>
    <xf numFmtId="243" fontId="0" fillId="0" borderId="3" xfId="19" applyFont="true" applyBorder="true" applyAlignment="true" applyProtection="true">
      <alignment horizontal="general" vertical="bottom" textRotation="0" wrapText="false" indent="0" shrinkToFit="false"/>
      <protection locked="true" hidden="false"/>
    </xf>
    <xf numFmtId="243" fontId="0" fillId="0" borderId="7" xfId="19" applyFont="true" applyBorder="true" applyAlignment="true" applyProtection="true">
      <alignment horizontal="general" vertical="bottom" textRotation="0" wrapText="false" indent="0" shrinkToFit="false"/>
      <protection locked="true" hidden="false"/>
    </xf>
  </cellXfs>
  <cellStyles count="1659">
    <cellStyle name="Normal" xfId="0" builtinId="0"/>
    <cellStyle name="Comma" xfId="15" builtinId="3"/>
    <cellStyle name="Comma [0]" xfId="16" builtinId="6"/>
    <cellStyle name="Currency" xfId="17" builtinId="4"/>
    <cellStyle name="Currency [0]" xfId="18" builtinId="7"/>
    <cellStyle name="Percent" xfId="19" builtinId="5"/>
    <cellStyle name="?? [0]_94???" xfId="21"/>
    <cellStyle name="?? [0]_94???_demand analysisrevised" xfId="22"/>
    <cellStyle name="?? [0]_??" xfId="23"/>
    <cellStyle name="?? [0]_???" xfId="24"/>
    <cellStyle name="?? [0]_?????" xfId="25"/>
    <cellStyle name="?? [0]_?????_???" xfId="26"/>
    <cellStyle name="?? [0]_?????_???_demand analysisrevised" xfId="27"/>
    <cellStyle name="?? [0]_?????_demand analysisrevised" xfId="28"/>
    <cellStyle name="?? [0]_???_demand analysisrevised" xfId="29"/>
    <cellStyle name="?? [0]_??_demand analysisrevised" xfId="30"/>
    <cellStyle name="?? [0]_dimon" xfId="31"/>
    <cellStyle name="?? [0]_form" xfId="32"/>
    <cellStyle name="?? [0]_form_demand analysisrevised" xfId="33"/>
    <cellStyle name="?? [0]_laroux" xfId="34"/>
    <cellStyle name="?? [0]_laroux_1" xfId="35"/>
    <cellStyle name="?? [0]_laroux_1_demand analysisrevised" xfId="36"/>
    <cellStyle name="?? [0]_laroux_2" xfId="37"/>
    <cellStyle name="?? [0]_laroux_demand analysisrevised" xfId="38"/>
    <cellStyle name="?? [0]_PERSONAL" xfId="39"/>
    <cellStyle name="?? [0]_PERSONAL_1" xfId="40"/>
    <cellStyle name="?? [0]_PERSONAL_1_demand analysisrevised" xfId="41"/>
    <cellStyle name="?? [0]_PERSONAL_2" xfId="42"/>
    <cellStyle name="?? [0]_PERSONAL_2_demand analysisrevised" xfId="43"/>
    <cellStyle name="?? [0]_PERSONAL_3" xfId="44"/>
    <cellStyle name="?? [0]_PERSONAL_demand analysisrevised" xfId="45"/>
    <cellStyle name="?? [0]_Sheet2" xfId="46"/>
    <cellStyle name="??_94???" xfId="47"/>
    <cellStyle name="??_94???_demand analysisrevised" xfId="48"/>
    <cellStyle name="??_970120" xfId="49"/>
    <cellStyle name="??_97???" xfId="50"/>
    <cellStyle name="??_?.????" xfId="51"/>
    <cellStyle name="??_??" xfId="52"/>
    <cellStyle name="??_???" xfId="53"/>
    <cellStyle name="??_????" xfId="54"/>
    <cellStyle name="??_?????" xfId="55"/>
    <cellStyle name="??_?????_1" xfId="56"/>
    <cellStyle name="??_?????_2" xfId="57"/>
    <cellStyle name="??_?????_???" xfId="58"/>
    <cellStyle name="??_?????_???_demand analysisrevised" xfId="59"/>
    <cellStyle name="??_?????_???_demand analysisrevised_1" xfId="60"/>
    <cellStyle name="??_?????_demand analysisrevised" xfId="61"/>
    <cellStyle name="??_?????_demand analysisrevised_1" xfId="62"/>
    <cellStyle name="??_????_1" xfId="63"/>
    <cellStyle name="??_???_demand analysisrevised" xfId="64"/>
    <cellStyle name="??_???_demand analysisrevised_1" xfId="65"/>
    <cellStyle name="??_??_1" xfId="66"/>
    <cellStyle name="??_??_????" xfId="67"/>
    <cellStyle name="??_??_????_demand analysisrevised" xfId="68"/>
    <cellStyle name="??_??_demand analysisrevised" xfId="69"/>
    <cellStyle name="??_??_demand analysisrevised_1" xfId="70"/>
    <cellStyle name="??_??_demand analysisrevised_2" xfId="71"/>
    <cellStyle name="??_BEBU_GI" xfId="72"/>
    <cellStyle name="??_dimon" xfId="73"/>
    <cellStyle name="??_dimon_demand analysisrevised" xfId="74"/>
    <cellStyle name="??_form" xfId="75"/>
    <cellStyle name="??_form_demand analysisrevised" xfId="76"/>
    <cellStyle name="??_form_demand analysisrevised_1" xfId="77"/>
    <cellStyle name="??_ga_PB" xfId="78"/>
    <cellStyle name="??_laroux" xfId="79"/>
    <cellStyle name="??_laroux_1" xfId="80"/>
    <cellStyle name="??_laroux_1_demand analysisrevised" xfId="81"/>
    <cellStyle name="??_laroux_1_demand analysisrevised_1" xfId="82"/>
    <cellStyle name="??_laroux_2" xfId="83"/>
    <cellStyle name="??_laroux_2_demand analysisrevised" xfId="84"/>
    <cellStyle name="??_laroux_3" xfId="85"/>
    <cellStyle name="??_laroux_4" xfId="86"/>
    <cellStyle name="??_laroux_5" xfId="87"/>
    <cellStyle name="??_laroux_6" xfId="88"/>
    <cellStyle name="??_laroux_7" xfId="89"/>
    <cellStyle name="??_laroux_8" xfId="90"/>
    <cellStyle name="??_laroux_demand analysisrevised" xfId="91"/>
    <cellStyle name="??_laroux_demand analysisrevised_1" xfId="92"/>
    <cellStyle name="??_PERSONAL" xfId="93"/>
    <cellStyle name="??_PERSONAL_1" xfId="94"/>
    <cellStyle name="??_PERSONAL_1_demand analysisrevised" xfId="95"/>
    <cellStyle name="??_PERSONAL_1_demand analysisrevised_1" xfId="96"/>
    <cellStyle name="??_PERSONAL_2" xfId="97"/>
    <cellStyle name="??_PERSONAL_2_demand analysisrevised" xfId="98"/>
    <cellStyle name="??_PERSONAL_2_demand analysisrevised_1" xfId="99"/>
    <cellStyle name="??_PERSONAL_3" xfId="100"/>
    <cellStyle name="??_PERSONAL_3_demand analysisrevised" xfId="101"/>
    <cellStyle name="??_PERSONAL_4" xfId="102"/>
    <cellStyle name="??_PERSONAL_demand analysisrevised" xfId="103"/>
    <cellStyle name="??_PERSONAL_demand analysisrevised_1" xfId="104"/>
    <cellStyle name="??_Query11" xfId="105"/>
    <cellStyle name="??_Sheet1" xfId="106"/>
    <cellStyle name="??_Sheet1 (2)" xfId="107"/>
    <cellStyle name="??_Sheet2" xfId="108"/>
    <cellStyle name="??_Sheet2_demand analysisrevised" xfId="109"/>
    <cellStyle name="Actual Date" xfId="110"/>
    <cellStyle name="Comma [0]_12matrix" xfId="111"/>
    <cellStyle name="Comma [0]_1995" xfId="112"/>
    <cellStyle name="Comma [0]_A" xfId="113"/>
    <cellStyle name="Comma [0]_A_dimon" xfId="114"/>
    <cellStyle name="Comma [0]_A_dimon_1" xfId="115"/>
    <cellStyle name="Comma [0]_ACTUAL" xfId="116"/>
    <cellStyle name="Comma [0]_ACTUAL NA -OBU" xfId="117"/>
    <cellStyle name="Comma [0]_Actual vs." xfId="118"/>
    <cellStyle name="Comma [0]_algasdefault" xfId="119"/>
    <cellStyle name="Comma [0]_Alternative1" xfId="120"/>
    <cellStyle name="Comma [0]_Alternative1_1" xfId="121"/>
    <cellStyle name="Comma [0]_App E" xfId="122"/>
    <cellStyle name="Comma [0]_Apr" xfId="123"/>
    <cellStyle name="Comma [0]_Arapahoe" xfId="124"/>
    <cellStyle name="Comma [0]_Assumptions" xfId="125"/>
    <cellStyle name="Comma [0]_Assumptions_dimon" xfId="126"/>
    <cellStyle name="Comma [0]_Assumptions_summary" xfId="127"/>
    <cellStyle name="Comma [0]_B" xfId="128"/>
    <cellStyle name="Comma [0]_bahiadefault" xfId="129"/>
    <cellStyle name="Comma [0]_Book3" xfId="130"/>
    <cellStyle name="Comma [0]_BOP" xfId="131"/>
    <cellStyle name="Comma [0]_BOPBAL1" xfId="132"/>
    <cellStyle name="Comma [0]_BOPCBU" xfId="133"/>
    <cellStyle name="Comma [0]_BOPCBU (2)" xfId="134"/>
    <cellStyle name="Comma [0]_BOPCBU96" xfId="135"/>
    <cellStyle name="Comma [0]_BSAPPE.XLS" xfId="136"/>
    <cellStyle name="Comma [0]_Calculations" xfId="137"/>
    <cellStyle name="Comma [0]_Calculations (2)" xfId="138"/>
    <cellStyle name="Comma [0]_Calculations II" xfId="139"/>
    <cellStyle name="Comma [0]_Calculations III" xfId="140"/>
    <cellStyle name="Comma [0]_Calculations_1" xfId="141"/>
    <cellStyle name="Comma [0]_CAPEX" xfId="142"/>
    <cellStyle name="Comma [0]_CAPEX94" xfId="143"/>
    <cellStyle name="Comma [0]_CapInt" xfId="144"/>
    <cellStyle name="Comma [0]_Cashflow" xfId="145"/>
    <cellStyle name="Comma [0]_CBU BOX CHART V PLAN" xfId="146"/>
    <cellStyle name="Comma [0]_CCA" xfId="147"/>
    <cellStyle name="Comma [0]_CCOCPX" xfId="148"/>
    <cellStyle name="Comma [0]_CFMODEL" xfId="149"/>
    <cellStyle name="Comma [0]_CFTEST49" xfId="150"/>
    <cellStyle name="Comma [0]_CHANGES.XLS" xfId="151"/>
    <cellStyle name="Comma [0]_Charts" xfId="152"/>
    <cellStyle name="Comma [0]_Comm File" xfId="153"/>
    <cellStyle name="Comma [0]_coperdefault" xfId="154"/>
    <cellStyle name="Comma [0]_Corp method" xfId="155"/>
    <cellStyle name="Comma [0]_CTCUR" xfId="156"/>
    <cellStyle name="Comma [0]_CUMPLTCH" xfId="157"/>
    <cellStyle name="Comma [0]_Curve_Economics" xfId="158"/>
    <cellStyle name="Comma [0]_DEFAULT" xfId="159"/>
    <cellStyle name="Comma [0]_DeskCurves" xfId="160"/>
    <cellStyle name="Comma [0]_dimon" xfId="161"/>
    <cellStyle name="Comma [0]_Dowell C1b" xfId="162"/>
    <cellStyle name="Comma [0]_Dowell-C1a" xfId="163"/>
    <cellStyle name="Comma [0]_E&amp;ONW1" xfId="164"/>
    <cellStyle name="Comma [0]_E&amp;ONW2" xfId="165"/>
    <cellStyle name="Comma [0]_E&amp;OOCPX" xfId="166"/>
    <cellStyle name="Comma [0]_emserdefault" xfId="167"/>
    <cellStyle name="Comma [0]_EVER1" xfId="168"/>
    <cellStyle name="Comma [0]_F&amp;COCPX" xfId="169"/>
    <cellStyle name="Comma [0]_FEBRUARY" xfId="170"/>
    <cellStyle name="Comma [0]_FF" xfId="171"/>
    <cellStyle name="Comma [0]_FP 20 A (1)" xfId="172"/>
    <cellStyle name="Comma [0]_FP 20 A (2)" xfId="173"/>
    <cellStyle name="Comma [0]_FP-20 (App. E)" xfId="174"/>
    <cellStyle name="Comma [0]_FP-20 (App.A) " xfId="175"/>
    <cellStyle name="Comma [0]_FP-20 (App.D)" xfId="176"/>
    <cellStyle name="Comma [0]_FP-20(App.B)" xfId="177"/>
    <cellStyle name="Comma [0]_FP-20(C1) (a)" xfId="178"/>
    <cellStyle name="Comma [0]_FP-20(C1) (a) (2)" xfId="179"/>
    <cellStyle name="Comma [0]_FP-20(C1) (b)" xfId="180"/>
    <cellStyle name="Comma [0]_FP-20(C1) (b) " xfId="181"/>
    <cellStyle name="Comma [0]_FP-20(C1) (b) (2)" xfId="182"/>
    <cellStyle name="Comma [0]_GASDATA1" xfId="183"/>
    <cellStyle name="Comma [0]_GASDATA1 (2)" xfId="184"/>
    <cellStyle name="Comma [0]_GCM" xfId="185"/>
    <cellStyle name="Comma [0]_GenAssum" xfId="186"/>
    <cellStyle name="Comma [0]_GenMod" xfId="187"/>
    <cellStyle name="Comma [0]_GP C1a" xfId="188"/>
    <cellStyle name="Comma [0]_GP C1b" xfId="189"/>
    <cellStyle name="Comma [0]_GP_EI_3" xfId="190"/>
    <cellStyle name="Comma [0]_GQ C1A" xfId="191"/>
    <cellStyle name="Comma [0]_GQ C1B" xfId="192"/>
    <cellStyle name="Comma [0]_H" xfId="193"/>
    <cellStyle name="Comma [0]_Inputs" xfId="194"/>
    <cellStyle name="Comma [0]_Int. Data Table" xfId="195"/>
    <cellStyle name="Comma [0]_IPM C1b" xfId="196"/>
    <cellStyle name="Comma [0]_IPMC1a" xfId="197"/>
    <cellStyle name="Comma [0]_IPP" xfId="198"/>
    <cellStyle name="Comma [0]_IS-Hold" xfId="199"/>
    <cellStyle name="Comma [0]_ITOCPX" xfId="200"/>
    <cellStyle name="Comma [0]_jancf" xfId="201"/>
    <cellStyle name="Comma [0]_JUNMTH55" xfId="202"/>
    <cellStyle name="Comma [0]_JUNMTH57" xfId="203"/>
    <cellStyle name="Comma [0]_JUNYTD55" xfId="204"/>
    <cellStyle name="Comma [0]_JUNYTD57" xfId="205"/>
    <cellStyle name="Comma [0]_laroux" xfId="206"/>
    <cellStyle name="Comma [0]_laroux_1" xfId="207"/>
    <cellStyle name="Comma [0]_laroux_1995" xfId="208"/>
    <cellStyle name="Comma [0]_laroux_1_dimon" xfId="209"/>
    <cellStyle name="Comma [0]_laroux_1_dimon_1" xfId="210"/>
    <cellStyle name="Comma [0]_laroux_1_laroux" xfId="211"/>
    <cellStyle name="Comma [0]_laroux_1_pldt" xfId="212"/>
    <cellStyle name="Comma [0]_laroux_1_PLDT_dimon" xfId="213"/>
    <cellStyle name="Comma [0]_laroux_1_VERA" xfId="214"/>
    <cellStyle name="Comma [0]_laroux_1_VIRUS-EDY" xfId="215"/>
    <cellStyle name="Comma [0]_laroux_2" xfId="216"/>
    <cellStyle name="Comma [0]_laroux_2_dimon" xfId="217"/>
    <cellStyle name="Comma [0]_laroux_2_dimon_1" xfId="218"/>
    <cellStyle name="Comma [0]_laroux_2_dimon_2" xfId="219"/>
    <cellStyle name="Comma [0]_laroux_2_laroux" xfId="220"/>
    <cellStyle name="Comma [0]_laroux_2_laroux_dimon" xfId="221"/>
    <cellStyle name="Comma [0]_laroux_2_pldt" xfId="222"/>
    <cellStyle name="Comma [0]_laroux_2_VERA" xfId="223"/>
    <cellStyle name="Comma [0]_laroux_3" xfId="224"/>
    <cellStyle name="Comma [0]_laroux_3_dimon" xfId="225"/>
    <cellStyle name="Comma [0]_laroux_dimon" xfId="226"/>
    <cellStyle name="Comma [0]_laroux_dimon_1" xfId="227"/>
    <cellStyle name="Comma [0]_laroux_laroux" xfId="228"/>
    <cellStyle name="Comma [0]_laroux_laroux_1" xfId="229"/>
    <cellStyle name="Comma [0]_laroux_laroux_dimon" xfId="230"/>
    <cellStyle name="Comma [0]_laroux_MATERAL2" xfId="231"/>
    <cellStyle name="Comma [0]_laroux_MATERAL2_dimon" xfId="232"/>
    <cellStyle name="Comma [0]_laroux_MATERAL2_laroux" xfId="233"/>
    <cellStyle name="Comma [0]_laroux_MATERAL2_laroux_dimon" xfId="234"/>
    <cellStyle name="Comma [0]_laroux_MATERAL2_pldt" xfId="235"/>
    <cellStyle name="Comma [0]_laroux_MATERAL2_VERA" xfId="236"/>
    <cellStyle name="Comma [0]_laroux_MATERAL2_VIRUS-EDY" xfId="237"/>
    <cellStyle name="Comma [0]_laroux_mud plant bolted" xfId="238"/>
    <cellStyle name="Comma [0]_laroux_mud plant bolted_dimon" xfId="239"/>
    <cellStyle name="Comma [0]_laroux_mud plant bolted_dimon_1" xfId="240"/>
    <cellStyle name="Comma [0]_laroux_pldt" xfId="241"/>
    <cellStyle name="Comma [0]_laroux_VERA" xfId="242"/>
    <cellStyle name="Comma [0]_laroux_VERA_1" xfId="243"/>
    <cellStyle name="Comma [0]_laroux_VIRUS-EDY" xfId="244"/>
    <cellStyle name="Comma [0]_MATERAL2" xfId="245"/>
    <cellStyle name="Comma [0]_MATERAL2_dimon" xfId="246"/>
    <cellStyle name="Comma [0]_MATERAL2_dimon_1" xfId="247"/>
    <cellStyle name="Comma [0]_MKGOCPX" xfId="248"/>
    <cellStyle name="Comma [0]_MOBCPX" xfId="249"/>
    <cellStyle name="Comma [0]_Module1" xfId="250"/>
    <cellStyle name="Comma [0]_mud plant bolted" xfId="251"/>
    <cellStyle name="Comma [0]_mud plant bolted_dimon" xfId="252"/>
    <cellStyle name="Comma [0]_mud plant bolted_laroux" xfId="253"/>
    <cellStyle name="Comma [0]_mud plant bolted_laroux_dimon" xfId="254"/>
    <cellStyle name="Comma [0]_mud plant bolted_pldt" xfId="255"/>
    <cellStyle name="Comma [0]_mud plant bolted_VERA" xfId="256"/>
    <cellStyle name="Comma [0]_mud plant bolted_VIRUS-EDY" xfId="257"/>
    <cellStyle name="Comma [0]_NA WITHOUT GOV'T &amp; PNX" xfId="258"/>
    <cellStyle name="Comma [0]_NAOBU10" xfId="259"/>
    <cellStyle name="Comma [0]_NAT ACCT" xfId="260"/>
    <cellStyle name="Comma [0]_NSACTUAL.XLS" xfId="261"/>
    <cellStyle name="Comma [0]_NX00" xfId="262"/>
    <cellStyle name="Comma [0]_Odner" xfId="263"/>
    <cellStyle name="Comma [0]_Odner (2)" xfId="264"/>
    <cellStyle name="Comma [0]_Odner (3)" xfId="265"/>
    <cellStyle name="Comma [0]_OFFDATA1" xfId="266"/>
    <cellStyle name="Comma [0]_OFFDATA1 (2)" xfId="267"/>
    <cellStyle name="Comma [0]_Operations" xfId="268"/>
    <cellStyle name="Comma [0]_opsmacro" xfId="269"/>
    <cellStyle name="Comma [0]_OSMOCPX" xfId="270"/>
    <cellStyle name="Comma [0]_Other Months" xfId="271"/>
    <cellStyle name="Comma [0]_Outlook" xfId="272"/>
    <cellStyle name="Comma [0]_pbdefault" xfId="273"/>
    <cellStyle name="Comma [0]_percentages" xfId="274"/>
    <cellStyle name="Comma [0]_PERSONAL" xfId="275"/>
    <cellStyle name="Comma [0]_PGMKOCPX" xfId="276"/>
    <cellStyle name="Comma [0]_PGNW1" xfId="277"/>
    <cellStyle name="Comma [0]_PGNW2" xfId="278"/>
    <cellStyle name="Comma [0]_PGNWOCPX" xfId="279"/>
    <cellStyle name="Comma [0]_Pink" xfId="280"/>
    <cellStyle name="Comma [0]_PKDATA1" xfId="281"/>
    <cellStyle name="Comma [0]_PKDATA1 (2)" xfId="282"/>
    <cellStyle name="Comma [0]_Plan" xfId="283"/>
    <cellStyle name="Comma [0]_PLANT" xfId="284"/>
    <cellStyle name="Comma [0]_PLDT" xfId="285"/>
    <cellStyle name="Comma [0]_pldt_1" xfId="286"/>
    <cellStyle name="Comma [0]_PLDT_1_dimon" xfId="287"/>
    <cellStyle name="Comma [0]_pldt_Calculations" xfId="288"/>
    <cellStyle name="Comma [0]_PLDT_dimon" xfId="289"/>
    <cellStyle name="Comma [0]_priccurv" xfId="290"/>
    <cellStyle name="Comma [0]_PriceCurve" xfId="291"/>
    <cellStyle name="Comma [0]_PriceCurve_1" xfId="292"/>
    <cellStyle name="Comma [0]_PROCDS&amp;G" xfId="293"/>
    <cellStyle name="Comma [0]_PROFILE4" xfId="294"/>
    <cellStyle name="Comma [0]_Projects" xfId="295"/>
    <cellStyle name="Comma [0]_Quarter End Months" xfId="296"/>
    <cellStyle name="Comma [0]_r1" xfId="297"/>
    <cellStyle name="Comma [0]_RFI" xfId="298"/>
    <cellStyle name="Comma [0]_RFI_1" xfId="299"/>
    <cellStyle name="Comma [0]_Sales Order" xfId="300"/>
    <cellStyle name="Comma [0]_SATOCPX" xfId="301"/>
    <cellStyle name="Comma [0]_ScreeningModel" xfId="302"/>
    <cellStyle name="Comma [0]_SELECT" xfId="303"/>
    <cellStyle name="Comma [0]_Sheet1" xfId="304"/>
    <cellStyle name="Comma [0]_Sheet1_dimon" xfId="305"/>
    <cellStyle name="Comma [0]_SHENREPT" xfId="306"/>
    <cellStyle name="Comma [0]_Snr. CO" xfId="307"/>
    <cellStyle name="Comma [0]_sprint contr" xfId="308"/>
    <cellStyle name="Comma [0]_Subcont File" xfId="309"/>
    <cellStyle name="Comma [0]_SUMMARY" xfId="310"/>
    <cellStyle name="Comma [0]_Summary Info" xfId="311"/>
    <cellStyle name="Comma [0]_SUMPAGE" xfId="312"/>
    <cellStyle name="Comma [0]_Template" xfId="313"/>
    <cellStyle name="Comma [0]_TMSNW1" xfId="314"/>
    <cellStyle name="Comma [0]_TMSNW2" xfId="315"/>
    <cellStyle name="Comma [0]_TMSOCPX" xfId="316"/>
    <cellStyle name="Comma [0]_TOTAL MTH" xfId="317"/>
    <cellStyle name="Comma [0]_TOTAL YTD" xfId="318"/>
    <cellStyle name="Comma [0]_TRANSDSC.XLS" xfId="319"/>
    <cellStyle name="Comma [0]_TRANSFXA.XLS" xfId="320"/>
    <cellStyle name="Comma [0]_TRANSFXA.XLS_1" xfId="321"/>
    <cellStyle name="Comma [0]_TRANSIME.XLS" xfId="322"/>
    <cellStyle name="Comma [0]_TRANSIME.XLS_TRANSDSC.XLS" xfId="323"/>
    <cellStyle name="Comma [0]_TRANSIME.XLS_TRANSFXA.XLS" xfId="324"/>
    <cellStyle name="Comma [0]_VIRUS-EDY" xfId="325"/>
    <cellStyle name="Comma [0]_White" xfId="326"/>
    <cellStyle name="Comma [0]_WO Var. &amp; Tot. Exp." xfId="327"/>
    <cellStyle name="Comma [0]_WSP" xfId="328"/>
    <cellStyle name="Comma [0]_yrcao" xfId="329"/>
    <cellStyle name="Comma [0]_YREND55" xfId="330"/>
    <cellStyle name="Comma [0]_YREND57" xfId="331"/>
    <cellStyle name="Comma [0]_YTDCUR" xfId="332"/>
    <cellStyle name="Comma_12matrix" xfId="333"/>
    <cellStyle name="Comma_1995" xfId="334"/>
    <cellStyle name="Comma_A" xfId="335"/>
    <cellStyle name="Comma_A_dimon" xfId="336"/>
    <cellStyle name="Comma_A_dimon_1" xfId="337"/>
    <cellStyle name="Comma_ACTUAL" xfId="338"/>
    <cellStyle name="Comma_ACTUAL NA -OBU" xfId="339"/>
    <cellStyle name="Comma_Actual vs." xfId="340"/>
    <cellStyle name="Comma_algasdefault" xfId="341"/>
    <cellStyle name="Comma_algasdefault_1" xfId="342"/>
    <cellStyle name="Comma_Alternative1" xfId="343"/>
    <cellStyle name="Comma_Alternative1_1" xfId="344"/>
    <cellStyle name="Comma_App E" xfId="345"/>
    <cellStyle name="Comma_Apr" xfId="346"/>
    <cellStyle name="Comma_Arapahoe" xfId="347"/>
    <cellStyle name="Comma_Assumptions" xfId="348"/>
    <cellStyle name="Comma_Assumptions_dimon" xfId="349"/>
    <cellStyle name="Comma_Assumptions_summary" xfId="350"/>
    <cellStyle name="Comma_B" xfId="351"/>
    <cellStyle name="Comma_bahiadefault" xfId="352"/>
    <cellStyle name="Comma_bahiadefault_1" xfId="353"/>
    <cellStyle name="Comma_Book3" xfId="354"/>
    <cellStyle name="Comma_BOP" xfId="355"/>
    <cellStyle name="Comma_BOPBAL1" xfId="356"/>
    <cellStyle name="Comma_BOPCBU" xfId="357"/>
    <cellStyle name="Comma_BOPCBU (2)" xfId="358"/>
    <cellStyle name="Comma_BOPCBU96" xfId="359"/>
    <cellStyle name="Comma_BSAPPE.XLS" xfId="360"/>
    <cellStyle name="Comma_C-Cap intensity" xfId="361"/>
    <cellStyle name="Comma_C-Capex%rev" xfId="362"/>
    <cellStyle name="Comma_C-Line per Staff" xfId="363"/>
    <cellStyle name="Comma_C-lines distribution" xfId="364"/>
    <cellStyle name="Comma_C-Orig PLDT lines" xfId="365"/>
    <cellStyle name="Comma_C-Ret on Rev" xfId="366"/>
    <cellStyle name="Comma_C-ROACE" xfId="367"/>
    <cellStyle name="Comma_Calculations" xfId="368"/>
    <cellStyle name="Comma_Calculations (2)" xfId="369"/>
    <cellStyle name="Comma_Calculations II" xfId="370"/>
    <cellStyle name="Comma_Calculations III" xfId="371"/>
    <cellStyle name="Comma_Calculations_1" xfId="372"/>
    <cellStyle name="Comma_Capex" xfId="373"/>
    <cellStyle name="Comma_Capex per line" xfId="374"/>
    <cellStyle name="Comma_Capex%rev" xfId="375"/>
    <cellStyle name="Comma_CAPEX94" xfId="376"/>
    <cellStyle name="Comma_CAPEX_dimon" xfId="377"/>
    <cellStyle name="Comma_CapInt" xfId="378"/>
    <cellStyle name="Comma_Cashflow" xfId="379"/>
    <cellStyle name="Comma_CBU BOX CHART V PLAN" xfId="380"/>
    <cellStyle name="Comma_CCA" xfId="381"/>
    <cellStyle name="Comma_CCOCPX" xfId="382"/>
    <cellStyle name="Comma_CFMODEL" xfId="383"/>
    <cellStyle name="Comma_CFMODEL_summary" xfId="384"/>
    <cellStyle name="Comma_CFtest3" xfId="385"/>
    <cellStyle name="Comma_CFTEST49" xfId="386"/>
    <cellStyle name="Comma_CHANGES.XLS" xfId="387"/>
    <cellStyle name="Comma_Charts" xfId="388"/>
    <cellStyle name="Comma_Cht-Capex per line" xfId="389"/>
    <cellStyle name="Comma_Cht-Cum Real Opr Cf" xfId="390"/>
    <cellStyle name="Comma_Cht-Dep%Rev" xfId="391"/>
    <cellStyle name="Comma_Cht-Real Opr Cf" xfId="392"/>
    <cellStyle name="Comma_Cht-Rev dist" xfId="393"/>
    <cellStyle name="Comma_Cht-Rev p line" xfId="394"/>
    <cellStyle name="Comma_Cht-Rev per Staff" xfId="395"/>
    <cellStyle name="Comma_Cht-Staff cost%revenue" xfId="396"/>
    <cellStyle name="Comma_Comm File" xfId="397"/>
    <cellStyle name="Comma_coperdefault" xfId="398"/>
    <cellStyle name="Comma_coperdefault_1" xfId="399"/>
    <cellStyle name="Comma_Corp method" xfId="400"/>
    <cellStyle name="Comma_CROCF" xfId="401"/>
    <cellStyle name="Comma_CTCUR" xfId="402"/>
    <cellStyle name="Comma_Cum Real Opr Cf" xfId="403"/>
    <cellStyle name="Comma_CUMPLTCH" xfId="404"/>
    <cellStyle name="Comma_Curve_Economics" xfId="405"/>
    <cellStyle name="Comma_DEFAULT" xfId="406"/>
    <cellStyle name="Comma_Demand Fcst." xfId="407"/>
    <cellStyle name="Comma_Dep%Rev" xfId="408"/>
    <cellStyle name="Comma_DeskCurves" xfId="409"/>
    <cellStyle name="Comma_dimon" xfId="410"/>
    <cellStyle name="Comma_dimon_1" xfId="411"/>
    <cellStyle name="Comma_Dowell C1b" xfId="412"/>
    <cellStyle name="Comma_Dowell-C1a" xfId="413"/>
    <cellStyle name="Comma_E&amp;ONW1" xfId="414"/>
    <cellStyle name="Comma_E&amp;ONW2" xfId="415"/>
    <cellStyle name="Comma_E&amp;OOCPX" xfId="416"/>
    <cellStyle name="Comma_emserdefault" xfId="417"/>
    <cellStyle name="Comma_emserdefault_1" xfId="418"/>
    <cellStyle name="Comma_EPS" xfId="419"/>
    <cellStyle name="Comma_EVER1" xfId="420"/>
    <cellStyle name="Comma_F&amp;COCPX" xfId="421"/>
    <cellStyle name="Comma_FEBRUARY" xfId="422"/>
    <cellStyle name="Comma_FF" xfId="423"/>
    <cellStyle name="Comma_FP 20 A (1)" xfId="424"/>
    <cellStyle name="Comma_FP 20 A (2)" xfId="425"/>
    <cellStyle name="Comma_FP-20 (App. E)" xfId="426"/>
    <cellStyle name="Comma_FP-20 (App.A) " xfId="427"/>
    <cellStyle name="Comma_FP-20 (App.D)" xfId="428"/>
    <cellStyle name="Comma_FP-20(App.B)" xfId="429"/>
    <cellStyle name="Comma_FP-20(C1) (a)" xfId="430"/>
    <cellStyle name="Comma_FP-20(C1) (a) (2)" xfId="431"/>
    <cellStyle name="Comma_FP-20(C1) (b)" xfId="432"/>
    <cellStyle name="Comma_FP-20(C1) (b) " xfId="433"/>
    <cellStyle name="Comma_FP-20(C1) (b) (2)" xfId="434"/>
    <cellStyle name="Comma_GASDATA1" xfId="435"/>
    <cellStyle name="Comma_GASDATA1 (2)" xfId="436"/>
    <cellStyle name="Comma_GASDATA1_1" xfId="437"/>
    <cellStyle name="Comma_GCM" xfId="438"/>
    <cellStyle name="Comma_GenAssum" xfId="439"/>
    <cellStyle name="Comma_GenMod" xfId="440"/>
    <cellStyle name="Comma_GP C1a" xfId="441"/>
    <cellStyle name="Comma_GP C1b" xfId="442"/>
    <cellStyle name="Comma_GP_EI_3" xfId="443"/>
    <cellStyle name="Comma_GQ C1A" xfId="444"/>
    <cellStyle name="Comma_GQ C1B" xfId="445"/>
    <cellStyle name="Comma_H" xfId="446"/>
    <cellStyle name="Comma_Inputs" xfId="447"/>
    <cellStyle name="Comma_Int. Data Table" xfId="448"/>
    <cellStyle name="Comma_IPM C1b" xfId="449"/>
    <cellStyle name="Comma_IPMC1a" xfId="450"/>
    <cellStyle name="Comma_IPP" xfId="451"/>
    <cellStyle name="Comma_IRR" xfId="452"/>
    <cellStyle name="Comma_IS-Hold" xfId="453"/>
    <cellStyle name="Comma_ITOCPX" xfId="454"/>
    <cellStyle name="Comma_jancf" xfId="455"/>
    <cellStyle name="Comma_JUNMTH55" xfId="456"/>
    <cellStyle name="Comma_JUNMTH57" xfId="457"/>
    <cellStyle name="Comma_JUNYTD55" xfId="458"/>
    <cellStyle name="Comma_JUNYTD57" xfId="459"/>
    <cellStyle name="Comma_laroux" xfId="460"/>
    <cellStyle name="Comma_laroux_1" xfId="461"/>
    <cellStyle name="Comma_laroux_1995" xfId="462"/>
    <cellStyle name="Comma_laroux_1_dimon" xfId="463"/>
    <cellStyle name="Comma_laroux_1_dimon_1" xfId="464"/>
    <cellStyle name="Comma_laroux_1_laroux" xfId="465"/>
    <cellStyle name="Comma_laroux_1_pldt" xfId="466"/>
    <cellStyle name="Comma_laroux_1_pldt_1" xfId="467"/>
    <cellStyle name="Comma_laroux_1_PLDT_dimon" xfId="468"/>
    <cellStyle name="Comma_laroux_1_VERA" xfId="469"/>
    <cellStyle name="Comma_laroux_1_VERA_1" xfId="470"/>
    <cellStyle name="Comma_laroux_1_VIRUS-EDY" xfId="471"/>
    <cellStyle name="Comma_laroux_2" xfId="472"/>
    <cellStyle name="Comma_laroux_2_dimon" xfId="473"/>
    <cellStyle name="Comma_laroux_2_dimon_1" xfId="474"/>
    <cellStyle name="Comma_laroux_2_dimon_2" xfId="475"/>
    <cellStyle name="Comma_laroux_2_laroux" xfId="476"/>
    <cellStyle name="Comma_laroux_2_laroux_dimon" xfId="477"/>
    <cellStyle name="Comma_laroux_2_pldt" xfId="478"/>
    <cellStyle name="Comma_laroux_2_pldt_1" xfId="479"/>
    <cellStyle name="Comma_laroux_2_PLDT_dimon" xfId="480"/>
    <cellStyle name="Comma_laroux_2_VERA" xfId="481"/>
    <cellStyle name="Comma_laroux_2_VERA_1" xfId="482"/>
    <cellStyle name="Comma_laroux_3" xfId="483"/>
    <cellStyle name="Comma_laroux_3_dimon" xfId="484"/>
    <cellStyle name="Comma_laroux_3_dimon_1" xfId="485"/>
    <cellStyle name="Comma_laroux_3_dimon_2" xfId="486"/>
    <cellStyle name="Comma_laroux_dimon" xfId="487"/>
    <cellStyle name="Comma_laroux_dimon_1" xfId="488"/>
    <cellStyle name="Comma_laroux_laroux" xfId="489"/>
    <cellStyle name="Comma_laroux_laroux_1" xfId="490"/>
    <cellStyle name="Comma_laroux_laroux_dimon" xfId="491"/>
    <cellStyle name="Comma_laroux_pldt" xfId="492"/>
    <cellStyle name="Comma_laroux_pldt_1" xfId="493"/>
    <cellStyle name="Comma_laroux_VERA" xfId="494"/>
    <cellStyle name="Comma_laroux_VERA_1" xfId="495"/>
    <cellStyle name="Comma_laroux_VIRUS-EDY" xfId="496"/>
    <cellStyle name="Comma_Line Inst." xfId="497"/>
    <cellStyle name="Comma_MATERAL2" xfId="498"/>
    <cellStyle name="Comma_MATERAL2_dimon" xfId="499"/>
    <cellStyle name="Comma_MATERAL2_dimon_1" xfId="500"/>
    <cellStyle name="Comma_MKGOCPX" xfId="501"/>
    <cellStyle name="Comma_Mkt Shr" xfId="502"/>
    <cellStyle name="Comma_MOBCPX" xfId="503"/>
    <cellStyle name="Comma_Module1" xfId="504"/>
    <cellStyle name="Comma_mud plant bolted" xfId="505"/>
    <cellStyle name="Comma_NA WITHOUT GOV'T &amp; PNX" xfId="506"/>
    <cellStyle name="Comma_NAOBU10" xfId="507"/>
    <cellStyle name="Comma_NAT ACCT" xfId="508"/>
    <cellStyle name="Comma_NCR-C&amp;W Val" xfId="509"/>
    <cellStyle name="Comma_NCR-Cap intensity" xfId="510"/>
    <cellStyle name="Comma_NCR-Line per Staff" xfId="511"/>
    <cellStyle name="Comma_NCR-Rev dist" xfId="512"/>
    <cellStyle name="Comma_NSACTUAL.XLS" xfId="513"/>
    <cellStyle name="Comma_NX00" xfId="514"/>
    <cellStyle name="Comma_Odner" xfId="515"/>
    <cellStyle name="Comma_Odner (2)" xfId="516"/>
    <cellStyle name="Comma_Odner (3)" xfId="517"/>
    <cellStyle name="Comma_OFFDATA1" xfId="518"/>
    <cellStyle name="Comma_OFFDATA1 (2)" xfId="519"/>
    <cellStyle name="Comma_OFFDATA1_1" xfId="520"/>
    <cellStyle name="Comma_Op Cost Break" xfId="521"/>
    <cellStyle name="Comma_Operations" xfId="522"/>
    <cellStyle name="Comma_opsmacro" xfId="523"/>
    <cellStyle name="Comma_OSMOCPX" xfId="524"/>
    <cellStyle name="Comma_Other Months" xfId="525"/>
    <cellStyle name="Comma_Outlook" xfId="526"/>
    <cellStyle name="Comma_pbdefault" xfId="527"/>
    <cellStyle name="Comma_pbdefault_1" xfId="528"/>
    <cellStyle name="Comma_percentages" xfId="529"/>
    <cellStyle name="Comma_PERSONAL" xfId="530"/>
    <cellStyle name="Comma_PGMKOCPX" xfId="531"/>
    <cellStyle name="Comma_PGNW1" xfId="532"/>
    <cellStyle name="Comma_PGNW2" xfId="533"/>
    <cellStyle name="Comma_PGNWOCPX" xfId="534"/>
    <cellStyle name="Comma_Pink" xfId="535"/>
    <cellStyle name="Comma_PKDATA1" xfId="536"/>
    <cellStyle name="Comma_PKDATA1 (2)" xfId="537"/>
    <cellStyle name="Comma_PKDATA1_1" xfId="538"/>
    <cellStyle name="Comma_Plan" xfId="539"/>
    <cellStyle name="Comma_PLANT" xfId="540"/>
    <cellStyle name="Comma_PLDT" xfId="541"/>
    <cellStyle name="Comma_pldt_1" xfId="542"/>
    <cellStyle name="Comma_PLDT_1_dimon" xfId="543"/>
    <cellStyle name="Comma_pldt_2" xfId="544"/>
    <cellStyle name="Comma_pldt_Calculations" xfId="545"/>
    <cellStyle name="Comma_PLDT_dimon" xfId="546"/>
    <cellStyle name="Comma_priccurv" xfId="547"/>
    <cellStyle name="Comma_PriceCurve" xfId="548"/>
    <cellStyle name="Comma_PriceCurve_1" xfId="549"/>
    <cellStyle name="Comma_PROCDS&amp;G" xfId="550"/>
    <cellStyle name="Comma_PROFILE4" xfId="551"/>
    <cellStyle name="Comma_Projects" xfId="552"/>
    <cellStyle name="Comma_Quarter End Months" xfId="553"/>
    <cellStyle name="Comma_r1" xfId="554"/>
    <cellStyle name="Comma_Real Opr Cf" xfId="555"/>
    <cellStyle name="Comma_Real Rev per Staff (1)" xfId="556"/>
    <cellStyle name="Comma_Real Rev per Staff (2)" xfId="557"/>
    <cellStyle name="Comma_Region 2-C&amp;W" xfId="558"/>
    <cellStyle name="Comma_Return on Rev" xfId="559"/>
    <cellStyle name="Comma_Rev p line" xfId="560"/>
    <cellStyle name="Comma_RFI" xfId="561"/>
    <cellStyle name="Comma_RFI_1" xfId="562"/>
    <cellStyle name="Comma_ROACE" xfId="563"/>
    <cellStyle name="Comma_ROCF (Tot)" xfId="564"/>
    <cellStyle name="Comma_Sales Order" xfId="565"/>
    <cellStyle name="Comma_SATOCPX" xfId="566"/>
    <cellStyle name="Comma_ScreeningModel" xfId="567"/>
    <cellStyle name="Comma_SELECT" xfId="568"/>
    <cellStyle name="Comma_Sheet1" xfId="569"/>
    <cellStyle name="Comma_Sheet1_dimon" xfId="570"/>
    <cellStyle name="Comma_SHENREPT" xfId="571"/>
    <cellStyle name="Comma_Snr. CO" xfId="572"/>
    <cellStyle name="Comma_SPC99-03" xfId="573"/>
    <cellStyle name="Comma_sprint contr" xfId="574"/>
    <cellStyle name="Comma_Staff cost%rev" xfId="575"/>
    <cellStyle name="Comma_Subcont File" xfId="576"/>
    <cellStyle name="Comma_SUMMARY" xfId="577"/>
    <cellStyle name="Comma_Summary Info" xfId="578"/>
    <cellStyle name="Comma_SUMPAGE" xfId="579"/>
    <cellStyle name="Comma_Template" xfId="580"/>
    <cellStyle name="Comma_TESTDATA" xfId="581"/>
    <cellStyle name="Comma_TMSNW1" xfId="582"/>
    <cellStyle name="Comma_TMSNW2" xfId="583"/>
    <cellStyle name="Comma_TMSOCPX" xfId="584"/>
    <cellStyle name="Comma_TOTAL MTH" xfId="585"/>
    <cellStyle name="Comma_TOTAL YTD" xfId="586"/>
    <cellStyle name="Comma_Total-Rev dist." xfId="587"/>
    <cellStyle name="Comma_TRANSDSC.XLS" xfId="588"/>
    <cellStyle name="Comma_TRANSFXA.XLS" xfId="589"/>
    <cellStyle name="Comma_TRANSFXA.XLS_1" xfId="590"/>
    <cellStyle name="Comma_TRANSIME.XLS" xfId="591"/>
    <cellStyle name="Comma_TRANSIME.XLS_TRANSDSC.XLS" xfId="592"/>
    <cellStyle name="Comma_TRANSIME.XLS_TRANSFXA.XLS" xfId="593"/>
    <cellStyle name="Comma_VIRUS-EDY" xfId="594"/>
    <cellStyle name="Comma_White" xfId="595"/>
    <cellStyle name="Comma_WO Var. &amp; Tot. Exp." xfId="596"/>
    <cellStyle name="Comma_WSP" xfId="597"/>
    <cellStyle name="Comma_yrcao" xfId="598"/>
    <cellStyle name="Comma_YREND55" xfId="599"/>
    <cellStyle name="Comma_YREND57" xfId="600"/>
    <cellStyle name="Comma_YTDCUR" xfId="601"/>
    <cellStyle name="Currency [0]_12matrix" xfId="602"/>
    <cellStyle name="Currency [0]_1995" xfId="603"/>
    <cellStyle name="Currency [0]_A" xfId="604"/>
    <cellStyle name="Currency [0]_A_dimon" xfId="605"/>
    <cellStyle name="Currency [0]_A_dimon_1" xfId="606"/>
    <cellStyle name="Currency [0]_ACTUAL" xfId="607"/>
    <cellStyle name="Currency [0]_ACTUAL NA -OBU" xfId="608"/>
    <cellStyle name="Currency [0]_Actual vs." xfId="609"/>
    <cellStyle name="Currency [0]_algasdefault" xfId="610"/>
    <cellStyle name="Currency [0]_Alternative1" xfId="611"/>
    <cellStyle name="Currency [0]_Alternative1_1" xfId="612"/>
    <cellStyle name="Currency [0]_App E" xfId="613"/>
    <cellStyle name="Currency [0]_Apr" xfId="614"/>
    <cellStyle name="Currency [0]_Arapahoe" xfId="615"/>
    <cellStyle name="Currency [0]_Assumptions" xfId="616"/>
    <cellStyle name="Currency [0]_Assumptions_dimon" xfId="617"/>
    <cellStyle name="Currency [0]_Assumptions_summary" xfId="618"/>
    <cellStyle name="Currency [0]_B" xfId="619"/>
    <cellStyle name="Currency [0]_bahiadefault" xfId="620"/>
    <cellStyle name="Currency [0]_Book3" xfId="621"/>
    <cellStyle name="Currency [0]_BOP" xfId="622"/>
    <cellStyle name="Currency [0]_BOPBAL1" xfId="623"/>
    <cellStyle name="Currency [0]_BOPCBU" xfId="624"/>
    <cellStyle name="Currency [0]_BOPCBU (2)" xfId="625"/>
    <cellStyle name="Currency [0]_BOPCBU96" xfId="626"/>
    <cellStyle name="Currency [0]_BSAPPE.XLS" xfId="627"/>
    <cellStyle name="Currency [0]_Calculations" xfId="628"/>
    <cellStyle name="Currency [0]_Calculations (2)" xfId="629"/>
    <cellStyle name="Currency [0]_Calculations II" xfId="630"/>
    <cellStyle name="Currency [0]_Calculations III" xfId="631"/>
    <cellStyle name="Currency [0]_Calculations_1" xfId="632"/>
    <cellStyle name="Currency [0]_CAPEX" xfId="633"/>
    <cellStyle name="Currency [0]_CAPEX94" xfId="634"/>
    <cellStyle name="Currency [0]_CapInt" xfId="635"/>
    <cellStyle name="Currency [0]_Cardig GHS" xfId="636"/>
    <cellStyle name="Currency [0]_Cash Flows" xfId="637"/>
    <cellStyle name="Currency [0]_Cashflow" xfId="638"/>
    <cellStyle name="Currency [0]_CBU BOX CHART V PLAN" xfId="639"/>
    <cellStyle name="Currency [0]_CCA" xfId="640"/>
    <cellStyle name="Currency [0]_CCOCPX" xfId="641"/>
    <cellStyle name="Currency [0]_CFMODEL" xfId="642"/>
    <cellStyle name="Currency [0]_CFTEST49" xfId="643"/>
    <cellStyle name="Currency [0]_CHANGES.XLS" xfId="644"/>
    <cellStyle name="Currency [0]_Charts" xfId="645"/>
    <cellStyle name="Currency [0]_Comm File" xfId="646"/>
    <cellStyle name="Currency [0]_coperdefault" xfId="647"/>
    <cellStyle name="Currency [0]_Corp method" xfId="648"/>
    <cellStyle name="Currency [0]_Cost Code" xfId="649"/>
    <cellStyle name="Currency [0]_CTCUR" xfId="650"/>
    <cellStyle name="Currency [0]_CUMPLTCH" xfId="651"/>
    <cellStyle name="Currency [0]_Curve_Economics" xfId="652"/>
    <cellStyle name="Currency [0]_DEFAULT" xfId="653"/>
    <cellStyle name="Currency [0]_DeskCurves" xfId="654"/>
    <cellStyle name="Currency [0]_dimon" xfId="655"/>
    <cellStyle name="Currency [0]_dimon_1" xfId="656"/>
    <cellStyle name="Currency [0]_dimon_2" xfId="657"/>
    <cellStyle name="Currency [0]_Dowell C1b" xfId="658"/>
    <cellStyle name="Currency [0]_Dowell-C1a" xfId="659"/>
    <cellStyle name="Currency [0]_E&amp;ONW1" xfId="660"/>
    <cellStyle name="Currency [0]_E&amp;ONW2" xfId="661"/>
    <cellStyle name="Currency [0]_E&amp;OOCPX" xfId="662"/>
    <cellStyle name="Currency [0]_emserdefault" xfId="663"/>
    <cellStyle name="Currency [0]_EVER1" xfId="664"/>
    <cellStyle name="Currency [0]_F&amp;COCPX" xfId="665"/>
    <cellStyle name="Currency [0]_FEBRUARY" xfId="666"/>
    <cellStyle name="Currency [0]_FF" xfId="667"/>
    <cellStyle name="Currency [0]_FP 20 A (1)" xfId="668"/>
    <cellStyle name="Currency [0]_FP 20 A (2)" xfId="669"/>
    <cellStyle name="Currency [0]_FP-20 (App. E)" xfId="670"/>
    <cellStyle name="Currency [0]_FP-20 (App.A) " xfId="671"/>
    <cellStyle name="Currency [0]_FP-20 (App.D)" xfId="672"/>
    <cellStyle name="Currency [0]_FP-20(App.B)" xfId="673"/>
    <cellStyle name="Currency [0]_FP-20(C1) (a)" xfId="674"/>
    <cellStyle name="Currency [0]_FP-20(C1) (a) (2)" xfId="675"/>
    <cellStyle name="Currency [0]_FP-20(C1) (b)" xfId="676"/>
    <cellStyle name="Currency [0]_FP-20(C1) (b) " xfId="677"/>
    <cellStyle name="Currency [0]_FP-20(C1) (b) (2)" xfId="678"/>
    <cellStyle name="Currency [0]_GASDATA1" xfId="679"/>
    <cellStyle name="Currency [0]_GASDATA1 (2)" xfId="680"/>
    <cellStyle name="Currency [0]_GCM" xfId="681"/>
    <cellStyle name="Currency [0]_GenAssum" xfId="682"/>
    <cellStyle name="Currency [0]_GenMod" xfId="683"/>
    <cellStyle name="Currency [0]_GP C1a" xfId="684"/>
    <cellStyle name="Currency [0]_GP C1b" xfId="685"/>
    <cellStyle name="Currency [0]_GP_EI_3" xfId="686"/>
    <cellStyle name="Currency [0]_GQ C1A" xfId="687"/>
    <cellStyle name="Currency [0]_GQ C1B" xfId="688"/>
    <cellStyle name="Currency [0]_H" xfId="689"/>
    <cellStyle name="Currency [0]_Inputs" xfId="690"/>
    <cellStyle name="Currency [0]_Int. Data Table" xfId="691"/>
    <cellStyle name="Currency [0]_IPM C1b" xfId="692"/>
    <cellStyle name="Currency [0]_IPMC1a" xfId="693"/>
    <cellStyle name="Currency [0]_IPP" xfId="694"/>
    <cellStyle name="Currency [0]_IS-Hold" xfId="695"/>
    <cellStyle name="Currency [0]_ITOCPX" xfId="696"/>
    <cellStyle name="Currency [0]_jancf" xfId="697"/>
    <cellStyle name="Currency [0]_JUNMTH55" xfId="698"/>
    <cellStyle name="Currency [0]_JUNMTH57" xfId="699"/>
    <cellStyle name="Currency [0]_JUNYTD55" xfId="700"/>
    <cellStyle name="Currency [0]_JUNYTD57" xfId="701"/>
    <cellStyle name="Currency [0]_laroux" xfId="702"/>
    <cellStyle name="Currency [0]_laroux_1" xfId="703"/>
    <cellStyle name="Currency [0]_laroux_1995" xfId="704"/>
    <cellStyle name="Currency [0]_laroux_1_dimon" xfId="705"/>
    <cellStyle name="Currency [0]_laroux_1_dimon_1" xfId="706"/>
    <cellStyle name="Currency [0]_laroux_1_dimon_2" xfId="707"/>
    <cellStyle name="Currency [0]_laroux_1_dimon_3" xfId="708"/>
    <cellStyle name="Currency [0]_laroux_1_laroux" xfId="709"/>
    <cellStyle name="Currency [0]_laroux_1_laroux_1" xfId="710"/>
    <cellStyle name="Currency [0]_laroux_1_laroux_dimon" xfId="711"/>
    <cellStyle name="Currency [0]_laroux_1_Locas" xfId="712"/>
    <cellStyle name="Currency [0]_laroux_1_pldt" xfId="713"/>
    <cellStyle name="Currency [0]_laroux_1_PLDT_dimon" xfId="714"/>
    <cellStyle name="Currency [0]_laroux_1_VERA" xfId="715"/>
    <cellStyle name="Currency [0]_laroux_1_VERA_1" xfId="716"/>
    <cellStyle name="Currency [0]_laroux_1_VIRUS-EDY" xfId="717"/>
    <cellStyle name="Currency [0]_laroux_2" xfId="718"/>
    <cellStyle name="Currency [0]_laroux_2_dimon" xfId="719"/>
    <cellStyle name="Currency [0]_laroux_2_dimon_1" xfId="720"/>
    <cellStyle name="Currency [0]_laroux_2_dimon_2" xfId="721"/>
    <cellStyle name="Currency [0]_laroux_2_dimon_3" xfId="722"/>
    <cellStyle name="Currency [0]_laroux_2_laroux" xfId="723"/>
    <cellStyle name="Currency [0]_laroux_2_laroux_dimon" xfId="724"/>
    <cellStyle name="Currency [0]_laroux_2_Locas" xfId="725"/>
    <cellStyle name="Currency [0]_laroux_2_pldt" xfId="726"/>
    <cellStyle name="Currency [0]_laroux_2_PLDT_dimon" xfId="727"/>
    <cellStyle name="Currency [0]_laroux_2_VIRUS-EDY" xfId="728"/>
    <cellStyle name="Currency [0]_laroux_3" xfId="729"/>
    <cellStyle name="Currency [0]_laroux_3_dimon" xfId="730"/>
    <cellStyle name="Currency [0]_laroux_3_dimon_1" xfId="731"/>
    <cellStyle name="Currency [0]_laroux_3_dimon_2" xfId="732"/>
    <cellStyle name="Currency [0]_laroux_3_dimon_3" xfId="733"/>
    <cellStyle name="Currency [0]_laroux_4" xfId="734"/>
    <cellStyle name="Currency [0]_laroux_4_dimon" xfId="735"/>
    <cellStyle name="Currency [0]_laroux_4_dimon_1" xfId="736"/>
    <cellStyle name="Currency [0]_laroux_5" xfId="737"/>
    <cellStyle name="Currency [0]_laroux_6" xfId="738"/>
    <cellStyle name="Currency [0]_laroux_7" xfId="739"/>
    <cellStyle name="Currency [0]_laroux_dimon" xfId="740"/>
    <cellStyle name="Currency [0]_laroux_dimon_1" xfId="741"/>
    <cellStyle name="Currency [0]_laroux_dimon_2" xfId="742"/>
    <cellStyle name="Currency [0]_laroux_dimon_3" xfId="743"/>
    <cellStyle name="Currency [0]_laroux_laroux" xfId="744"/>
    <cellStyle name="Currency [0]_laroux_laroux_1" xfId="745"/>
    <cellStyle name="Currency [0]_laroux_laroux_1_dimon" xfId="746"/>
    <cellStyle name="Currency [0]_laroux_laroux_dimon" xfId="747"/>
    <cellStyle name="Currency [0]_laroux_Locas" xfId="748"/>
    <cellStyle name="Currency [0]_laroux_MATERAL2" xfId="749"/>
    <cellStyle name="Currency [0]_laroux_MATERAL2_dimon" xfId="750"/>
    <cellStyle name="Currency [0]_laroux_MATERAL2_dimon_1" xfId="751"/>
    <cellStyle name="Currency [0]_laroux_MATERAL2_laroux" xfId="752"/>
    <cellStyle name="Currency [0]_laroux_MATERAL2_laroux_dimon" xfId="753"/>
    <cellStyle name="Currency [0]_laroux_MATERAL2_pldt" xfId="754"/>
    <cellStyle name="Currency [0]_laroux_MATERAL2_VERA" xfId="755"/>
    <cellStyle name="Currency [0]_laroux_MATERAL2_VIRUS-EDY" xfId="756"/>
    <cellStyle name="Currency [0]_laroux_mud plant bolted" xfId="757"/>
    <cellStyle name="Currency [0]_laroux_mud plant bolted_dimon" xfId="758"/>
    <cellStyle name="Currency [0]_laroux_mud plant bolted_dimon_1" xfId="759"/>
    <cellStyle name="Currency [0]_laroux_pldt" xfId="760"/>
    <cellStyle name="Currency [0]_laroux_pldt_1" xfId="761"/>
    <cellStyle name="Currency [0]_laroux_VERA" xfId="762"/>
    <cellStyle name="Currency [0]_laroux_VERA_1" xfId="763"/>
    <cellStyle name="Currency [0]_laroux_VIRUS-EDY" xfId="764"/>
    <cellStyle name="Currency [0]_List" xfId="765"/>
    <cellStyle name="Currency [0]_MATERAL2" xfId="766"/>
    <cellStyle name="Currency [0]_MATERAL2_dimon" xfId="767"/>
    <cellStyle name="Currency [0]_MATERAL2_dimon_1" xfId="768"/>
    <cellStyle name="Currency [0]_MKGOCPX" xfId="769"/>
    <cellStyle name="Currency [0]_MOBCPX" xfId="770"/>
    <cellStyle name="Currency [0]_Module1" xfId="771"/>
    <cellStyle name="Currency [0]_mud plant bolted" xfId="772"/>
    <cellStyle name="Currency [0]_mud plant bolted_dimon" xfId="773"/>
    <cellStyle name="Currency [0]_mud plant bolted_dimon_1" xfId="774"/>
    <cellStyle name="Currency [0]_mud plant bolted_laroux" xfId="775"/>
    <cellStyle name="Currency [0]_mud plant bolted_laroux_dimon" xfId="776"/>
    <cellStyle name="Currency [0]_mud plant bolted_pldt" xfId="777"/>
    <cellStyle name="Currency [0]_mud plant bolted_VERA" xfId="778"/>
    <cellStyle name="Currency [0]_mud plant bolted_VIRUS-EDY" xfId="779"/>
    <cellStyle name="Currency [0]_NA WITHOUT GOV'T &amp; PNX" xfId="780"/>
    <cellStyle name="Currency [0]_NAOBU10" xfId="781"/>
    <cellStyle name="Currency [0]_NAT ACCT" xfId="782"/>
    <cellStyle name="Currency [0]_NSACTUAL.XLS" xfId="783"/>
    <cellStyle name="Currency [0]_NX00" xfId="784"/>
    <cellStyle name="Currency [0]_Odner" xfId="785"/>
    <cellStyle name="Currency [0]_Odner (2)" xfId="786"/>
    <cellStyle name="Currency [0]_Odner (3)" xfId="787"/>
    <cellStyle name="Currency [0]_OFFDATA1" xfId="788"/>
    <cellStyle name="Currency [0]_OFFDATA1 (2)" xfId="789"/>
    <cellStyle name="Currency [0]_Operations" xfId="790"/>
    <cellStyle name="Currency [0]_opsmacro" xfId="791"/>
    <cellStyle name="Currency [0]_OSMOCPX" xfId="792"/>
    <cellStyle name="Currency [0]_Other Months" xfId="793"/>
    <cellStyle name="Currency [0]_Outlook" xfId="794"/>
    <cellStyle name="Currency [0]_pbdefault" xfId="795"/>
    <cellStyle name="Currency [0]_percentages" xfId="796"/>
    <cellStyle name="Currency [0]_PERSONAL" xfId="797"/>
    <cellStyle name="Currency [0]_PGMKOCPX" xfId="798"/>
    <cellStyle name="Currency [0]_PGNW1" xfId="799"/>
    <cellStyle name="Currency [0]_PGNW2" xfId="800"/>
    <cellStyle name="Currency [0]_PGNWOCPX" xfId="801"/>
    <cellStyle name="Currency [0]_Pink" xfId="802"/>
    <cellStyle name="Currency [0]_PKDATA1" xfId="803"/>
    <cellStyle name="Currency [0]_PKDATA1 (2)" xfId="804"/>
    <cellStyle name="Currency [0]_Plan" xfId="805"/>
    <cellStyle name="Currency [0]_PLANT" xfId="806"/>
    <cellStyle name="Currency [0]_PLDT" xfId="807"/>
    <cellStyle name="Currency [0]_pldt_1" xfId="808"/>
    <cellStyle name="Currency [0]_PLDT_1_dimon" xfId="809"/>
    <cellStyle name="Currency [0]_pldt_1_dimon_1" xfId="810"/>
    <cellStyle name="Currency [0]_pldt_2" xfId="811"/>
    <cellStyle name="Currency [0]_pldt_Calculations" xfId="812"/>
    <cellStyle name="Currency [0]_PLDT_dimon" xfId="813"/>
    <cellStyle name="Currency [0]_pldt_dimon_1" xfId="814"/>
    <cellStyle name="Currency [0]_priccurv" xfId="815"/>
    <cellStyle name="Currency [0]_PriceCurve" xfId="816"/>
    <cellStyle name="Currency [0]_PriceCurve_1" xfId="817"/>
    <cellStyle name="Currency [0]_PROCDS&amp;G" xfId="818"/>
    <cellStyle name="Currency [0]_PROFILE4" xfId="819"/>
    <cellStyle name="Currency [0]_Projects" xfId="820"/>
    <cellStyle name="Currency [0]_Quarter End Months" xfId="821"/>
    <cellStyle name="Currency [0]_r1" xfId="822"/>
    <cellStyle name="Currency [0]_RFI" xfId="823"/>
    <cellStyle name="Currency [0]_RFI_1" xfId="824"/>
    <cellStyle name="Currency [0]_Sales Order" xfId="825"/>
    <cellStyle name="Currency [0]_SATOCPX" xfId="826"/>
    <cellStyle name="Currency [0]_ScreeningModel" xfId="827"/>
    <cellStyle name="Currency [0]_SELECT" xfId="828"/>
    <cellStyle name="Currency [0]_Sheet1" xfId="829"/>
    <cellStyle name="Currency [0]_Sheet1 (2)" xfId="830"/>
    <cellStyle name="Currency [0]_Sheet1_dimon" xfId="831"/>
    <cellStyle name="Currency [0]_SHENREPT" xfId="832"/>
    <cellStyle name="Currency [0]_Snr. CO" xfId="833"/>
    <cellStyle name="Currency [0]_sprint contr" xfId="834"/>
    <cellStyle name="Currency [0]_Subcont File" xfId="835"/>
    <cellStyle name="Currency [0]_SUMMARY" xfId="836"/>
    <cellStyle name="Currency [0]_Summary Info" xfId="837"/>
    <cellStyle name="Currency [0]_SUMPAGE" xfId="838"/>
    <cellStyle name="Currency [0]_Template" xfId="839"/>
    <cellStyle name="Currency [0]_TMSNW1" xfId="840"/>
    <cellStyle name="Currency [0]_TMSNW2" xfId="841"/>
    <cellStyle name="Currency [0]_TMSOCPX" xfId="842"/>
    <cellStyle name="Currency [0]_TOTAL MTH" xfId="843"/>
    <cellStyle name="Currency [0]_TOTAL YTD" xfId="844"/>
    <cellStyle name="Currency [0]_TRANSDSC.XLS" xfId="845"/>
    <cellStyle name="Currency [0]_TRANSFXA.XLS" xfId="846"/>
    <cellStyle name="Currency [0]_TRANSFXA.XLS_1" xfId="847"/>
    <cellStyle name="Currency [0]_TRANSIME.XLS" xfId="848"/>
    <cellStyle name="Currency [0]_TRANSIME.XLS_TRANSDSC.XLS" xfId="849"/>
    <cellStyle name="Currency [0]_TRANSIME.XLS_TRANSFXA.XLS" xfId="850"/>
    <cellStyle name="Currency [0]_VERA" xfId="851"/>
    <cellStyle name="Currency [0]_VIRUS-EDY" xfId="852"/>
    <cellStyle name="Currency [0]_VIRUS-EDY_1" xfId="853"/>
    <cellStyle name="Currency [0]_White" xfId="854"/>
    <cellStyle name="Currency [0]_WO Var. &amp; Tot. Exp." xfId="855"/>
    <cellStyle name="Currency [0]_WSP" xfId="856"/>
    <cellStyle name="Currency [0]_yrcao" xfId="857"/>
    <cellStyle name="Currency [0]_YREND55" xfId="858"/>
    <cellStyle name="Currency [0]_YREND57" xfId="859"/>
    <cellStyle name="Currency [0]_YTDCUR" xfId="860"/>
    <cellStyle name="Currency_12matrix" xfId="861"/>
    <cellStyle name="Currency_1995" xfId="862"/>
    <cellStyle name="Currency_A" xfId="863"/>
    <cellStyle name="Currency_A_dimon" xfId="864"/>
    <cellStyle name="Currency_A_dimon_1" xfId="865"/>
    <cellStyle name="Currency_ACTUAL" xfId="866"/>
    <cellStyle name="Currency_ACTUAL NA -OBU" xfId="867"/>
    <cellStyle name="Currency_Actual vs." xfId="868"/>
    <cellStyle name="Currency_algasdefault" xfId="869"/>
    <cellStyle name="Currency_algasdefault_1" xfId="870"/>
    <cellStyle name="Currency_Alternative1" xfId="871"/>
    <cellStyle name="Currency_Alternative1_1" xfId="872"/>
    <cellStyle name="Currency_App E" xfId="873"/>
    <cellStyle name="Currency_Apr" xfId="874"/>
    <cellStyle name="Currency_Arapahoe" xfId="875"/>
    <cellStyle name="Currency_Assumptions" xfId="876"/>
    <cellStyle name="Currency_Assumptions_dimon" xfId="877"/>
    <cellStyle name="Currency_Assumptions_summary" xfId="878"/>
    <cellStyle name="Currency_B" xfId="879"/>
    <cellStyle name="Currency_bahiadefault" xfId="880"/>
    <cellStyle name="Currency_bahiadefault_1" xfId="881"/>
    <cellStyle name="Currency_BIGOUT" xfId="882"/>
    <cellStyle name="Currency_Book3" xfId="883"/>
    <cellStyle name="Currency_BOP" xfId="884"/>
    <cellStyle name="Currency_BOPBAL1" xfId="885"/>
    <cellStyle name="Currency_BOPCBU" xfId="886"/>
    <cellStyle name="Currency_BOPCBU (2)" xfId="887"/>
    <cellStyle name="Currency_BOPCBU96" xfId="888"/>
    <cellStyle name="Currency_BSAPPE.XLS" xfId="889"/>
    <cellStyle name="Currency_Calculations" xfId="890"/>
    <cellStyle name="Currency_Calculations (2)" xfId="891"/>
    <cellStyle name="Currency_Calculations II" xfId="892"/>
    <cellStyle name="Currency_Calculations III" xfId="893"/>
    <cellStyle name="Currency_Calculations_1" xfId="894"/>
    <cellStyle name="Currency_CAPEX" xfId="895"/>
    <cellStyle name="Currency_CAPEX94" xfId="896"/>
    <cellStyle name="Currency_CapInt" xfId="897"/>
    <cellStyle name="Currency_Cardig GHS" xfId="898"/>
    <cellStyle name="Currency_Cash Flows" xfId="899"/>
    <cellStyle name="Currency_Cashflow" xfId="900"/>
    <cellStyle name="Currency_CBU BOX CHART V PLAN" xfId="901"/>
    <cellStyle name="Currency_CCA" xfId="902"/>
    <cellStyle name="Currency_CCOCPX" xfId="903"/>
    <cellStyle name="Currency_CFMODEL" xfId="904"/>
    <cellStyle name="Currency_CFtest3" xfId="905"/>
    <cellStyle name="Currency_CFTEST49" xfId="906"/>
    <cellStyle name="Currency_CHANGES.XLS" xfId="907"/>
    <cellStyle name="Currency_Charts" xfId="908"/>
    <cellStyle name="Currency_Comm File" xfId="909"/>
    <cellStyle name="Currency_coperdefault" xfId="910"/>
    <cellStyle name="Currency_coperdefault_1" xfId="911"/>
    <cellStyle name="Currency_Corp method" xfId="912"/>
    <cellStyle name="Currency_Cost Code" xfId="913"/>
    <cellStyle name="Currency_CTCUR" xfId="914"/>
    <cellStyle name="Currency_CUMPLTCH" xfId="915"/>
    <cellStyle name="Currency_Curve_Economics" xfId="916"/>
    <cellStyle name="Currency_DEFAULT" xfId="917"/>
    <cellStyle name="Currency_DeskCurves" xfId="918"/>
    <cellStyle name="Currency_dimon" xfId="919"/>
    <cellStyle name="Currency_dimon_1" xfId="920"/>
    <cellStyle name="Currency_dimon_2" xfId="921"/>
    <cellStyle name="Currency_Dowell C1b" xfId="922"/>
    <cellStyle name="Currency_Dowell-C1a" xfId="923"/>
    <cellStyle name="Currency_E&amp;ONW1" xfId="924"/>
    <cellStyle name="Currency_E&amp;ONW2" xfId="925"/>
    <cellStyle name="Currency_E&amp;OOCPX" xfId="926"/>
    <cellStyle name="Currency_emserdefault" xfId="927"/>
    <cellStyle name="Currency_emserdefault_1" xfId="928"/>
    <cellStyle name="Currency_EVER1" xfId="929"/>
    <cellStyle name="Currency_F&amp;COCPX" xfId="930"/>
    <cellStyle name="Currency_FEBRUARY" xfId="931"/>
    <cellStyle name="Currency_FF" xfId="932"/>
    <cellStyle name="Currency_FP 20 A (1)" xfId="933"/>
    <cellStyle name="Currency_FP 20 A (2)" xfId="934"/>
    <cellStyle name="Currency_FP-20 (App. E)" xfId="935"/>
    <cellStyle name="Currency_FP-20 (App.A) " xfId="936"/>
    <cellStyle name="Currency_FP-20 (App.D)" xfId="937"/>
    <cellStyle name="Currency_FP-20(App.B)" xfId="938"/>
    <cellStyle name="Currency_FP-20(C1) (a)" xfId="939"/>
    <cellStyle name="Currency_FP-20(C1) (a) (2)" xfId="940"/>
    <cellStyle name="Currency_FP-20(C1) (b)" xfId="941"/>
    <cellStyle name="Currency_FP-20(C1) (b) " xfId="942"/>
    <cellStyle name="Currency_FP-20(C1) (b) (2)" xfId="943"/>
    <cellStyle name="Currency_GASDATA1" xfId="944"/>
    <cellStyle name="Currency_GASDATA1 (2)" xfId="945"/>
    <cellStyle name="Currency_GCM" xfId="946"/>
    <cellStyle name="Currency_GenAssum" xfId="947"/>
    <cellStyle name="Currency_GenMod" xfId="948"/>
    <cellStyle name="Currency_GP C1a" xfId="949"/>
    <cellStyle name="Currency_GP C1b" xfId="950"/>
    <cellStyle name="Currency_GP_EI_3" xfId="951"/>
    <cellStyle name="Currency_GQ C1A" xfId="952"/>
    <cellStyle name="Currency_GQ C1B" xfId="953"/>
    <cellStyle name="Currency_H" xfId="954"/>
    <cellStyle name="Currency_Inputs" xfId="955"/>
    <cellStyle name="Currency_Int. Data Table" xfId="956"/>
    <cellStyle name="Currency_IPM C1b" xfId="957"/>
    <cellStyle name="Currency_IPMC1a" xfId="958"/>
    <cellStyle name="Currency_IPP" xfId="959"/>
    <cellStyle name="Currency_IS-Hold" xfId="960"/>
    <cellStyle name="Currency_ITOCPX" xfId="961"/>
    <cellStyle name="Currency_jancf" xfId="962"/>
    <cellStyle name="Currency_JUNMTH55" xfId="963"/>
    <cellStyle name="Currency_JUNMTH57" xfId="964"/>
    <cellStyle name="Currency_JUNYTD55" xfId="965"/>
    <cellStyle name="Currency_JUNYTD57" xfId="966"/>
    <cellStyle name="Currency_laroux" xfId="967"/>
    <cellStyle name="Currency_laroux_1" xfId="968"/>
    <cellStyle name="Currency_laroux_1995" xfId="969"/>
    <cellStyle name="Currency_laroux_1_dimon" xfId="970"/>
    <cellStyle name="Currency_laroux_1_dimon_1" xfId="971"/>
    <cellStyle name="Currency_laroux_1_dimon_2" xfId="972"/>
    <cellStyle name="Currency_laroux_1_dimon_3" xfId="973"/>
    <cellStyle name="Currency_laroux_1_laroux" xfId="974"/>
    <cellStyle name="Currency_laroux_1_laroux_1" xfId="975"/>
    <cellStyle name="Currency_laroux_1_laroux_dimon" xfId="976"/>
    <cellStyle name="Currency_laroux_1_Locas" xfId="977"/>
    <cellStyle name="Currency_laroux_1_pldt" xfId="978"/>
    <cellStyle name="Currency_laroux_1_PLDT_dimon" xfId="979"/>
    <cellStyle name="Currency_laroux_1_VERA" xfId="980"/>
    <cellStyle name="Currency_laroux_1_VERA_1" xfId="981"/>
    <cellStyle name="Currency_laroux_1_VIRUS-EDY" xfId="982"/>
    <cellStyle name="Currency_laroux_2" xfId="983"/>
    <cellStyle name="Currency_laroux_2_dimon" xfId="984"/>
    <cellStyle name="Currency_laroux_2_dimon_1" xfId="985"/>
    <cellStyle name="Currency_laroux_2_dimon_2" xfId="986"/>
    <cellStyle name="Currency_laroux_2_dimon_3" xfId="987"/>
    <cellStyle name="Currency_laroux_2_laroux" xfId="988"/>
    <cellStyle name="Currency_laroux_2_laroux_dimon" xfId="989"/>
    <cellStyle name="Currency_laroux_2_Locas" xfId="990"/>
    <cellStyle name="Currency_laroux_2_pldt" xfId="991"/>
    <cellStyle name="Currency_laroux_2_PLDT_dimon" xfId="992"/>
    <cellStyle name="Currency_laroux_2_VIRUS-EDY" xfId="993"/>
    <cellStyle name="Currency_laroux_3" xfId="994"/>
    <cellStyle name="Currency_laroux_3_dimon" xfId="995"/>
    <cellStyle name="Currency_laroux_3_dimon_1" xfId="996"/>
    <cellStyle name="Currency_laroux_3_dimon_2" xfId="997"/>
    <cellStyle name="Currency_laroux_3_dimon_3" xfId="998"/>
    <cellStyle name="Currency_laroux_4" xfId="999"/>
    <cellStyle name="Currency_laroux_4_dimon" xfId="1000"/>
    <cellStyle name="Currency_laroux_4_dimon_1" xfId="1001"/>
    <cellStyle name="Currency_laroux_5" xfId="1002"/>
    <cellStyle name="Currency_laroux_6" xfId="1003"/>
    <cellStyle name="Currency_laroux_7" xfId="1004"/>
    <cellStyle name="Currency_laroux_8" xfId="1005"/>
    <cellStyle name="Currency_laroux_dimon" xfId="1006"/>
    <cellStyle name="Currency_laroux_dimon_1" xfId="1007"/>
    <cellStyle name="Currency_laroux_dimon_2" xfId="1008"/>
    <cellStyle name="Currency_laroux_dimon_3" xfId="1009"/>
    <cellStyle name="Currency_laroux_laroux" xfId="1010"/>
    <cellStyle name="Currency_laroux_laroux_1" xfId="1011"/>
    <cellStyle name="Currency_laroux_laroux_1_dimon" xfId="1012"/>
    <cellStyle name="Currency_laroux_laroux_dimon" xfId="1013"/>
    <cellStyle name="Currency_laroux_Locas" xfId="1014"/>
    <cellStyle name="Currency_laroux_pldt" xfId="1015"/>
    <cellStyle name="Currency_laroux_pldt_1" xfId="1016"/>
    <cellStyle name="Currency_laroux_VERA" xfId="1017"/>
    <cellStyle name="Currency_laroux_VERA_1" xfId="1018"/>
    <cellStyle name="Currency_laroux_VIRUS-EDY" xfId="1019"/>
    <cellStyle name="Currency_List" xfId="1020"/>
    <cellStyle name="Currency_MATERAL2" xfId="1021"/>
    <cellStyle name="Currency_MATERAL2_dimon" xfId="1022"/>
    <cellStyle name="Currency_MATERAL2_dimon_1" xfId="1023"/>
    <cellStyle name="Currency_MKGOCPX" xfId="1024"/>
    <cellStyle name="Currency_MOBCPX" xfId="1025"/>
    <cellStyle name="Currency_Module1" xfId="1026"/>
    <cellStyle name="Currency_mud plant bolted" xfId="1027"/>
    <cellStyle name="Currency_mud plant bolted_dimon" xfId="1028"/>
    <cellStyle name="Currency_mud plant bolted_dimon_1" xfId="1029"/>
    <cellStyle name="Currency_mud plant bolted_PLDT" xfId="1030"/>
    <cellStyle name="Currency_mud plant bolted_VERA" xfId="1031"/>
    <cellStyle name="Currency_mud plant bolted_VERA_1" xfId="1032"/>
    <cellStyle name="Currency_NA WITHOUT GOV'T &amp; PNX" xfId="1033"/>
    <cellStyle name="Currency_NAOBU10" xfId="1034"/>
    <cellStyle name="Currency_NAT ACCT" xfId="1035"/>
    <cellStyle name="Currency_NSACTUAL.XLS" xfId="1036"/>
    <cellStyle name="Currency_NX00" xfId="1037"/>
    <cellStyle name="Currency_Odner" xfId="1038"/>
    <cellStyle name="Currency_Odner (2)" xfId="1039"/>
    <cellStyle name="Currency_Odner (3)" xfId="1040"/>
    <cellStyle name="Currency_OFFDATA1" xfId="1041"/>
    <cellStyle name="Currency_OFFDATA1 (2)" xfId="1042"/>
    <cellStyle name="Currency_Operations" xfId="1043"/>
    <cellStyle name="Currency_opsmacro" xfId="1044"/>
    <cellStyle name="Currency_OSMOCPX" xfId="1045"/>
    <cellStyle name="Currency_Other Months" xfId="1046"/>
    <cellStyle name="Currency_Outlook" xfId="1047"/>
    <cellStyle name="Currency_pbdefault" xfId="1048"/>
    <cellStyle name="Currency_pbdefault_1" xfId="1049"/>
    <cellStyle name="Currency_percentages" xfId="1050"/>
    <cellStyle name="Currency_PERSONAL" xfId="1051"/>
    <cellStyle name="Currency_PGMKOCPX" xfId="1052"/>
    <cellStyle name="Currency_PGNW1" xfId="1053"/>
    <cellStyle name="Currency_PGNW2" xfId="1054"/>
    <cellStyle name="Currency_PGNWOCPX" xfId="1055"/>
    <cellStyle name="Currency_Pink" xfId="1056"/>
    <cellStyle name="Currency_PKDATA1" xfId="1057"/>
    <cellStyle name="Currency_PKDATA1 (2)" xfId="1058"/>
    <cellStyle name="Currency_Plan" xfId="1059"/>
    <cellStyle name="Currency_PLANT" xfId="1060"/>
    <cellStyle name="Currency_PLDT" xfId="1061"/>
    <cellStyle name="Currency_pldt_1" xfId="1062"/>
    <cellStyle name="Currency_PLDT_1_dimon" xfId="1063"/>
    <cellStyle name="Currency_pldt_1_dimon_1" xfId="1064"/>
    <cellStyle name="Currency_pldt_2" xfId="1065"/>
    <cellStyle name="Currency_pldt_Calculations" xfId="1066"/>
    <cellStyle name="Currency_PLDT_dimon" xfId="1067"/>
    <cellStyle name="Currency_pldt_dimon_1" xfId="1068"/>
    <cellStyle name="Currency_priccurv" xfId="1069"/>
    <cellStyle name="Currency_PriceCurve" xfId="1070"/>
    <cellStyle name="Currency_PriceCurve_1" xfId="1071"/>
    <cellStyle name="Currency_PROCDS&amp;G" xfId="1072"/>
    <cellStyle name="Currency_PROFILE4" xfId="1073"/>
    <cellStyle name="Currency_Projects" xfId="1074"/>
    <cellStyle name="Currency_Quarter End Months" xfId="1075"/>
    <cellStyle name="Currency_r1" xfId="1076"/>
    <cellStyle name="Currency_RFI" xfId="1077"/>
    <cellStyle name="Currency_RFI_1" xfId="1078"/>
    <cellStyle name="Currency_Sales Order" xfId="1079"/>
    <cellStyle name="Currency_SATOCPX" xfId="1080"/>
    <cellStyle name="Currency_ScreeningModel" xfId="1081"/>
    <cellStyle name="Currency_SELECT" xfId="1082"/>
    <cellStyle name="Currency_Sheet1" xfId="1083"/>
    <cellStyle name="Currency_Sheet1 (2)" xfId="1084"/>
    <cellStyle name="Currency_Sheet1_dimon" xfId="1085"/>
    <cellStyle name="Currency_SHENREPT" xfId="1086"/>
    <cellStyle name="Currency_Snr. CO" xfId="1087"/>
    <cellStyle name="Currency_sprint contr" xfId="1088"/>
    <cellStyle name="Currency_Subcont File" xfId="1089"/>
    <cellStyle name="Currency_SUMMARY" xfId="1090"/>
    <cellStyle name="Currency_Summary Info" xfId="1091"/>
    <cellStyle name="Currency_SUMPAGE" xfId="1092"/>
    <cellStyle name="Currency_Template" xfId="1093"/>
    <cellStyle name="Currency_TMSNW1" xfId="1094"/>
    <cellStyle name="Currency_TMSNW2" xfId="1095"/>
    <cellStyle name="Currency_TMSOCPX" xfId="1096"/>
    <cellStyle name="Currency_TOTAL MTH" xfId="1097"/>
    <cellStyle name="Currency_TOTAL YTD" xfId="1098"/>
    <cellStyle name="Currency_TRANSDSC.XLS" xfId="1099"/>
    <cellStyle name="Currency_TRANSFXA.XLS" xfId="1100"/>
    <cellStyle name="Currency_TRANSFXA.XLS_1" xfId="1101"/>
    <cellStyle name="Currency_TRANSIME.XLS" xfId="1102"/>
    <cellStyle name="Currency_TRANSIME.XLS_TRANSDSC.XLS" xfId="1103"/>
    <cellStyle name="Currency_TRANSIME.XLS_TRANSFXA.XLS" xfId="1104"/>
    <cellStyle name="Currency_VERA" xfId="1105"/>
    <cellStyle name="Currency_VIRUS-EDY" xfId="1106"/>
    <cellStyle name="Currency_VIRUS-EDY_1" xfId="1107"/>
    <cellStyle name="Currency_White" xfId="1108"/>
    <cellStyle name="Currency_WO Var. &amp; Tot. Exp." xfId="1109"/>
    <cellStyle name="Currency_WSP" xfId="1110"/>
    <cellStyle name="Currency_yrcao" xfId="1111"/>
    <cellStyle name="Currency_YREND55" xfId="1112"/>
    <cellStyle name="Currency_YREND57" xfId="1113"/>
    <cellStyle name="Currency_YTDCUR" xfId="1114"/>
    <cellStyle name="Date" xfId="1115"/>
    <cellStyle name="Dezimal [0]_Compiling Utility Macros" xfId="1116"/>
    <cellStyle name="Dezimal [0]_FixerSetupDlg" xfId="1117"/>
    <cellStyle name="Dezimal [0]_TemplateInformation" xfId="1118"/>
    <cellStyle name="Dezimal_Compiling Utility Macros" xfId="1119"/>
    <cellStyle name="Dezimal_FixerSetupDlg" xfId="1120"/>
    <cellStyle name="Dezimal_TemplateInformation" xfId="1121"/>
    <cellStyle name="Fixed" xfId="1122"/>
    <cellStyle name="Grey" xfId="1123"/>
    <cellStyle name="HEADER" xfId="1124"/>
    <cellStyle name="Heading 1" xfId="1125"/>
    <cellStyle name="Heading2" xfId="1126"/>
    <cellStyle name="HIGHLIGHT" xfId="1127"/>
    <cellStyle name="Hyperlink_dimon" xfId="1128"/>
    <cellStyle name="Input [yellow]" xfId="1129"/>
    <cellStyle name="no dec" xfId="1130"/>
    <cellStyle name="Normal - Style1" xfId="1131"/>
    <cellStyle name="Normal - Style1_dimon" xfId="1132"/>
    <cellStyle name="Normal_03_06_98 list _ecm deals 030998 excel95" xfId="1133"/>
    <cellStyle name="Normal_12matrix" xfId="1134"/>
    <cellStyle name="Normal_20196" xfId="1135"/>
    <cellStyle name="Normal_4018fin" xfId="1136"/>
    <cellStyle name="Normal_4021fin" xfId="1137"/>
    <cellStyle name="Normal_95CHART" xfId="1138"/>
    <cellStyle name="Normal_A" xfId="1139"/>
    <cellStyle name="Normal_A (2)" xfId="1140"/>
    <cellStyle name="Normal_A_dimon" xfId="1141"/>
    <cellStyle name="Normal_A_dimon_1" xfId="1142"/>
    <cellStyle name="Normal_A_PriceCurve" xfId="1143"/>
    <cellStyle name="Normal_A_VERA" xfId="1144"/>
    <cellStyle name="Normal_ACTUAL" xfId="1145"/>
    <cellStyle name="Normal_ACTUAL NA -OBU" xfId="1146"/>
    <cellStyle name="Normal_Actual vs." xfId="1147"/>
    <cellStyle name="Normal_ACTUAL_1" xfId="1148"/>
    <cellStyle name="Normal_ACTUAL_NA WITHOUT GOV'T &amp; PNX" xfId="1149"/>
    <cellStyle name="Normal_algasdefault" xfId="1150"/>
    <cellStyle name="Normal_algasdefault_1" xfId="1151"/>
    <cellStyle name="Normal_Alternative1" xfId="1152"/>
    <cellStyle name="Normal_Alternative1_1" xfId="1153"/>
    <cellStyle name="Normal_AOPS" xfId="1154"/>
    <cellStyle name="Normal_App E" xfId="1155"/>
    <cellStyle name="Normal_APR" xfId="1156"/>
    <cellStyle name="Normal_APR_laroux" xfId="1157"/>
    <cellStyle name="Normal_Apr_pldt" xfId="1158"/>
    <cellStyle name="Normal_Arapahoe" xfId="1159"/>
    <cellStyle name="Normal_Assumptions" xfId="1160"/>
    <cellStyle name="Normal_Assumptions_dimon" xfId="1161"/>
    <cellStyle name="Normal_Assumptions_summary" xfId="1162"/>
    <cellStyle name="Normal_B" xfId="1163"/>
    <cellStyle name="Normal_bahiadefault" xfId="1164"/>
    <cellStyle name="Normal_bahiadefault_1" xfId="1165"/>
    <cellStyle name="Normal_BIGOUT" xfId="1166"/>
    <cellStyle name="Normal_Book3" xfId="1167"/>
    <cellStyle name="Normal_Book3_dimon" xfId="1168"/>
    <cellStyle name="Normal_BOP" xfId="1169"/>
    <cellStyle name="Normal_BOPBAL1" xfId="1170"/>
    <cellStyle name="Normal_BOPCBU" xfId="1171"/>
    <cellStyle name="Normal_BOPCBU (2)" xfId="1172"/>
    <cellStyle name="Normal_BOPCBU96" xfId="1173"/>
    <cellStyle name="Normal_BREPAIR" xfId="1174"/>
    <cellStyle name="Normal_BSAPPE.XLS" xfId="1175"/>
    <cellStyle name="Normal_BUDGET" xfId="1176"/>
    <cellStyle name="Normal_C-Cap intensity" xfId="1177"/>
    <cellStyle name="Normal_C-Capex%rev" xfId="1178"/>
    <cellStyle name="Normal_C-Line per Staff" xfId="1179"/>
    <cellStyle name="Normal_C-lines distribution" xfId="1180"/>
    <cellStyle name="Normal_C-Orig PLDT lines" xfId="1181"/>
    <cellStyle name="Normal_C-Ret on Rev" xfId="1182"/>
    <cellStyle name="Normal_C-ROACE" xfId="1183"/>
    <cellStyle name="Normal_Calculations" xfId="1184"/>
    <cellStyle name="Normal_Calculations (2)" xfId="1185"/>
    <cellStyle name="Normal_Calculations II" xfId="1186"/>
    <cellStyle name="Normal_Calculations II_1" xfId="1187"/>
    <cellStyle name="Normal_Calculations III" xfId="1188"/>
    <cellStyle name="Normal_Calculations_1" xfId="1189"/>
    <cellStyle name="Normal_Calculations_2" xfId="1190"/>
    <cellStyle name="Normal_Capex" xfId="1191"/>
    <cellStyle name="Normal_Capex per line" xfId="1192"/>
    <cellStyle name="Normal_Capex%rev" xfId="1193"/>
    <cellStyle name="Normal_CAPEX2" xfId="1194"/>
    <cellStyle name="Normal_CAPEX94" xfId="1195"/>
    <cellStyle name="Normal_CAPEX_dimon" xfId="1196"/>
    <cellStyle name="Normal_CAPEX_VERA" xfId="1197"/>
    <cellStyle name="Normal_CAPEXPWI.XLS" xfId="1198"/>
    <cellStyle name="Normal_CAPEXPWO.XLS" xfId="1199"/>
    <cellStyle name="Normal_CapInt" xfId="1200"/>
    <cellStyle name="Normal_Cardig GHS" xfId="1201"/>
    <cellStyle name="Normal_Cash Flows" xfId="1202"/>
    <cellStyle name="Normal_Cashflow" xfId="1203"/>
    <cellStyle name="Normal_CBU BOX CHART V PLAN" xfId="1204"/>
    <cellStyle name="Normal_CBU BOX CHART V PLAN_1" xfId="1205"/>
    <cellStyle name="Normal_CCOCPX" xfId="1206"/>
    <cellStyle name="Normal_CEL-C-CO.XLS" xfId="1207"/>
    <cellStyle name="Normal_Certs Q2" xfId="1208"/>
    <cellStyle name="Normal_Certs Q2 (2)" xfId="1209"/>
    <cellStyle name="Normal_CFMACROS.XLM" xfId="1210"/>
    <cellStyle name="Normal_CFMODEL" xfId="1211"/>
    <cellStyle name="Normal_CFMODEL.XLS" xfId="1212"/>
    <cellStyle name="Normal_CFTEST49" xfId="1213"/>
    <cellStyle name="Normal_CHANGES.XLS" xfId="1214"/>
    <cellStyle name="Normal_CHANGES.XLS_1" xfId="1215"/>
    <cellStyle name="Normal_ChgLoan" xfId="1216"/>
    <cellStyle name="Normal_Cht-Capex per line" xfId="1217"/>
    <cellStyle name="Normal_Cht-Cum Real Opr Cf" xfId="1218"/>
    <cellStyle name="Normal_Cht-Dep%Rev" xfId="1219"/>
    <cellStyle name="Normal_Cht-Real Opr Cf" xfId="1220"/>
    <cellStyle name="Normal_Cht-Rev dist" xfId="1221"/>
    <cellStyle name="Normal_Cht-Rev p line" xfId="1222"/>
    <cellStyle name="Normal_Cht-Rev per Staff" xfId="1223"/>
    <cellStyle name="Normal_Cht-Staff cost%revenue" xfId="1224"/>
    <cellStyle name="Normal_Co-wide Monthly" xfId="1225"/>
    <cellStyle name="Normal_Co-wide Monthly_dimon" xfId="1226"/>
    <cellStyle name="Normal_Code" xfId="1227"/>
    <cellStyle name="Normal_COMOTH" xfId="1228"/>
    <cellStyle name="Normal_coperdefault" xfId="1229"/>
    <cellStyle name="Normal_coperdefault_1" xfId="1230"/>
    <cellStyle name="Normal_Corp method" xfId="1231"/>
    <cellStyle name="Normal_Cost Code" xfId="1232"/>
    <cellStyle name="Normal_CROCF" xfId="1233"/>
    <cellStyle name="Normal_CTCUR" xfId="1234"/>
    <cellStyle name="Normal_Cum Real Opr Cf" xfId="1235"/>
    <cellStyle name="Normal_CUMPLTCH" xfId="1236"/>
    <cellStyle name="Normal_CurrencySKorea" xfId="1237"/>
    <cellStyle name="Normal_Curve_Economics" xfId="1238"/>
    <cellStyle name="Normal_Curve_Economics_1" xfId="1239"/>
    <cellStyle name="Normal_DEFAULT" xfId="1240"/>
    <cellStyle name="Normal_Demand Fcst." xfId="1241"/>
    <cellStyle name="Normal_Dep%Rev" xfId="1242"/>
    <cellStyle name="Normal_DeskCurves" xfId="1243"/>
    <cellStyle name="Normal_dimon" xfId="1244"/>
    <cellStyle name="Normal_dimon_1" xfId="1245"/>
    <cellStyle name="Normal_dimon_2" xfId="1246"/>
    <cellStyle name="Normal_dimon_3" xfId="1247"/>
    <cellStyle name="Normal_dimon_4" xfId="1248"/>
    <cellStyle name="Normal_DIV" xfId="1249"/>
    <cellStyle name="Normal_Dowell C1b" xfId="1250"/>
    <cellStyle name="Normal_Dowell-C1a" xfId="1251"/>
    <cellStyle name="Normal_DRAFT Order Summary" xfId="1252"/>
    <cellStyle name="Normal_E&amp;ONW1" xfId="1253"/>
    <cellStyle name="Normal_E&amp;ONW2" xfId="1254"/>
    <cellStyle name="Normal_E&amp;OOCPX" xfId="1255"/>
    <cellStyle name="Normal_emserdefault" xfId="1256"/>
    <cellStyle name="Normal_emserdefault_1" xfId="1257"/>
    <cellStyle name="Normal_EPS" xfId="1258"/>
    <cellStyle name="Normal_EQCON" xfId="1259"/>
    <cellStyle name="Normal_EVER1" xfId="1260"/>
    <cellStyle name="Normal_export 61898" xfId="1261"/>
    <cellStyle name="Normal_export deals 050898" xfId="1262"/>
    <cellStyle name="Normal_EXTEMP1" xfId="1263"/>
    <cellStyle name="Normal_F&amp;COCPX" xfId="1264"/>
    <cellStyle name="Normal_FEBRUARY" xfId="1265"/>
    <cellStyle name="Normal_FF" xfId="1266"/>
    <cellStyle name="Normal_FP 20 A (1)" xfId="1267"/>
    <cellStyle name="Normal_FP 20 A (2)" xfId="1268"/>
    <cellStyle name="Normal_FP-20 (App. E)" xfId="1269"/>
    <cellStyle name="Normal_FP-20 (App.A) " xfId="1270"/>
    <cellStyle name="Normal_FP-20 (App.A) _1" xfId="1271"/>
    <cellStyle name="Normal_FP-20(C1) (a)" xfId="1272"/>
    <cellStyle name="Normal_FP-20(C1) (a) (2)" xfId="1273"/>
    <cellStyle name="Normal_FP-20(C1) (a)_1" xfId="1274"/>
    <cellStyle name="Normal_FP-20(C1) (b)" xfId="1275"/>
    <cellStyle name="Normal_FP-20(C1) (b) " xfId="1276"/>
    <cellStyle name="Normal_FP-20(C1) (b) (2)" xfId="1277"/>
    <cellStyle name="Normal_FP-20(C1) (e)" xfId="1278"/>
    <cellStyle name="Normal_FP20_C1A" xfId="1279"/>
    <cellStyle name="Normal_FP20_C1B" xfId="1280"/>
    <cellStyle name="Normal_GASDATA1" xfId="1281"/>
    <cellStyle name="Normal_GASDATA1 (2)" xfId="1282"/>
    <cellStyle name="Normal_GASDATA1_1" xfId="1283"/>
    <cellStyle name="Normal_GCM" xfId="1284"/>
    <cellStyle name="Normal_GE03" xfId="1285"/>
    <cellStyle name="Normal_GE04" xfId="1286"/>
    <cellStyle name="Normal_GenAssum" xfId="1287"/>
    <cellStyle name="Normal_GenMod" xfId="1288"/>
    <cellStyle name="Normal_GP C1a" xfId="1289"/>
    <cellStyle name="Normal_GP C1b" xfId="1290"/>
    <cellStyle name="Normal_GP_EI_3" xfId="1291"/>
    <cellStyle name="Normal_GQ C1A" xfId="1292"/>
    <cellStyle name="Normal_GQ C1B" xfId="1293"/>
    <cellStyle name="Normal_H" xfId="1294"/>
    <cellStyle name="Normal_HC" xfId="1295"/>
    <cellStyle name="Normal_Igobox" xfId="1296"/>
    <cellStyle name="Normal_Igobox_1" xfId="1297"/>
    <cellStyle name="Normal_Igobox_2" xfId="1298"/>
    <cellStyle name="Normal_Igobox_Imacros" xfId="1299"/>
    <cellStyle name="Normal_Igobox_IPP" xfId="1300"/>
    <cellStyle name="Normal_Igobox_Iprintbox" xfId="1301"/>
    <cellStyle name="Normal_Imacros" xfId="1302"/>
    <cellStyle name="Normal_Imacros_1" xfId="1303"/>
    <cellStyle name="Normal_Imacros_2" xfId="1304"/>
    <cellStyle name="Normal_Input" xfId="1305"/>
    <cellStyle name="Normal_INPUT_1" xfId="1306"/>
    <cellStyle name="Normal_INPUT_GenAssum" xfId="1307"/>
    <cellStyle name="Normal_Inputs" xfId="1308"/>
    <cellStyle name="Normal_Inputs_dimon" xfId="1309"/>
    <cellStyle name="Normal_Int. Data Table" xfId="1310"/>
    <cellStyle name="Normal_Int. Data Table_1" xfId="1311"/>
    <cellStyle name="Normal_INVREV" xfId="1312"/>
    <cellStyle name="Normal_IPM C1b" xfId="1313"/>
    <cellStyle name="Normal_IPMC1a" xfId="1314"/>
    <cellStyle name="Normal_IPP" xfId="1315"/>
    <cellStyle name="Normal_IPP_1" xfId="1316"/>
    <cellStyle name="Normal_IPP_1_Igobox" xfId="1317"/>
    <cellStyle name="Normal_IPP_1_Imacros" xfId="1318"/>
    <cellStyle name="Normal_IPP_1_Iprintbox" xfId="1319"/>
    <cellStyle name="Normal_IPP_2" xfId="1320"/>
    <cellStyle name="Normal_IPP_dimon" xfId="1321"/>
    <cellStyle name="Normal_Iprintbox" xfId="1322"/>
    <cellStyle name="Normal_Iprintbox_1" xfId="1323"/>
    <cellStyle name="Normal_Iprintbox_2" xfId="1324"/>
    <cellStyle name="Normal_IRR" xfId="1325"/>
    <cellStyle name="Normal_IS-Hold" xfId="1326"/>
    <cellStyle name="Normal_Iterbox" xfId="1327"/>
    <cellStyle name="Normal_ITOCPX" xfId="1328"/>
    <cellStyle name="Normal_jancf" xfId="1329"/>
    <cellStyle name="Normal_JUNMTH55" xfId="1330"/>
    <cellStyle name="Normal_JUNMTH57" xfId="1331"/>
    <cellStyle name="Normal_JUNYTD55" xfId="1332"/>
    <cellStyle name="Normal_JUNYTD57" xfId="1333"/>
    <cellStyle name="Normal_laroux" xfId="1334"/>
    <cellStyle name="Normal_laroux_1" xfId="1335"/>
    <cellStyle name="Normal_laroux_1_dimon" xfId="1336"/>
    <cellStyle name="Normal_laroux_1_dimon_1" xfId="1337"/>
    <cellStyle name="Normal_laroux_1_dimon_2" xfId="1338"/>
    <cellStyle name="Normal_laroux_1_laroux" xfId="1339"/>
    <cellStyle name="Normal_laroux_1_laroux_1" xfId="1340"/>
    <cellStyle name="Normal_laroux_1_laroux_2" xfId="1341"/>
    <cellStyle name="Normal_laroux_1_Locas" xfId="1342"/>
    <cellStyle name="Normal_laroux_1_Locas_1" xfId="1343"/>
    <cellStyle name="Normal_laroux_1_pldt" xfId="1344"/>
    <cellStyle name="Normal_laroux_1_pldt_1" xfId="1345"/>
    <cellStyle name="Normal_laroux_1_pldt_2" xfId="1346"/>
    <cellStyle name="Normal_laroux_1_pldt_3" xfId="1347"/>
    <cellStyle name="Normal_laroux_1_PLDT_dimon" xfId="1348"/>
    <cellStyle name="Normal_laroux_1_VERA" xfId="1349"/>
    <cellStyle name="Normal_laroux_1_VERA_1" xfId="1350"/>
    <cellStyle name="Normal_laroux_1_VIRUS-EDY" xfId="1351"/>
    <cellStyle name="Normal_laroux_2" xfId="1352"/>
    <cellStyle name="Normal_laroux_2_dimon" xfId="1353"/>
    <cellStyle name="Normal_laroux_2_dimon_1" xfId="1354"/>
    <cellStyle name="Normal_laroux_2_dimon_2" xfId="1355"/>
    <cellStyle name="Normal_laroux_2_dimon_3" xfId="1356"/>
    <cellStyle name="Normal_laroux_2_laroux" xfId="1357"/>
    <cellStyle name="Normal_laroux_2_laroux_1" xfId="1358"/>
    <cellStyle name="Normal_laroux_2_laroux_2" xfId="1359"/>
    <cellStyle name="Normal_laroux_2_Locas" xfId="1360"/>
    <cellStyle name="Normal_laroux_2_Locas_1" xfId="1361"/>
    <cellStyle name="Normal_laroux_2_pldt" xfId="1362"/>
    <cellStyle name="Normal_laroux_2_pldt_1" xfId="1363"/>
    <cellStyle name="Normal_laroux_2_pldt_2" xfId="1364"/>
    <cellStyle name="Normal_laroux_2_VIRUS-EDY" xfId="1365"/>
    <cellStyle name="Normal_laroux_3" xfId="1366"/>
    <cellStyle name="Normal_laroux_3_dimon" xfId="1367"/>
    <cellStyle name="Normal_laroux_3_dimon_1" xfId="1368"/>
    <cellStyle name="Normal_laroux_3_dimon_2" xfId="1369"/>
    <cellStyle name="Normal_laroux_3_dimon_3" xfId="1370"/>
    <cellStyle name="Normal_laroux_3_dimon_4" xfId="1371"/>
    <cellStyle name="Normal_laroux_3_laroux" xfId="1372"/>
    <cellStyle name="Normal_laroux_3_laroux_1" xfId="1373"/>
    <cellStyle name="Normal_laroux_3_laroux_2" xfId="1374"/>
    <cellStyle name="Normal_laroux_3_laroux_dimon" xfId="1375"/>
    <cellStyle name="Normal_laroux_3_Locas" xfId="1376"/>
    <cellStyle name="Normal_laroux_3_pldt" xfId="1377"/>
    <cellStyle name="Normal_laroux_3_pldt_1" xfId="1378"/>
    <cellStyle name="Normal_laroux_3_PLDT_dimon" xfId="1379"/>
    <cellStyle name="Normal_laroux_3_VERA" xfId="1380"/>
    <cellStyle name="Normal_laroux_3_VERA_1" xfId="1381"/>
    <cellStyle name="Normal_laroux_3_VIRUS-EDY" xfId="1382"/>
    <cellStyle name="Normal_laroux_4" xfId="1383"/>
    <cellStyle name="Normal_laroux_4_dimon" xfId="1384"/>
    <cellStyle name="Normal_laroux_4_dimon_1" xfId="1385"/>
    <cellStyle name="Normal_laroux_4_dimon_2" xfId="1386"/>
    <cellStyle name="Normal_laroux_4_dimon_3" xfId="1387"/>
    <cellStyle name="Normal_laroux_4_laroux" xfId="1388"/>
    <cellStyle name="Normal_laroux_4_laroux_1" xfId="1389"/>
    <cellStyle name="Normal_laroux_4_laroux_2" xfId="1390"/>
    <cellStyle name="Normal_laroux_4_pldt" xfId="1391"/>
    <cellStyle name="Normal_laroux_4_pldt_1" xfId="1392"/>
    <cellStyle name="Normal_laroux_4_pldt_2" xfId="1393"/>
    <cellStyle name="Normal_laroux_4_PLDT_dimon" xfId="1394"/>
    <cellStyle name="Normal_laroux_4_VERA" xfId="1395"/>
    <cellStyle name="Normal_laroux_4_VIRUS-EDY" xfId="1396"/>
    <cellStyle name="Normal_laroux_5" xfId="1397"/>
    <cellStyle name="Normal_laroux_5_dimon" xfId="1398"/>
    <cellStyle name="Normal_laroux_5_dimon_1" xfId="1399"/>
    <cellStyle name="Normal_laroux_5_dimon_2" xfId="1400"/>
    <cellStyle name="Normal_laroux_5_dimon_3" xfId="1401"/>
    <cellStyle name="Normal_laroux_5_laroux" xfId="1402"/>
    <cellStyle name="Normal_laroux_5_laroux_1" xfId="1403"/>
    <cellStyle name="Normal_laroux_5_laroux_2" xfId="1404"/>
    <cellStyle name="Normal_laroux_5_pldt" xfId="1405"/>
    <cellStyle name="Normal_laroux_5_pldt_1" xfId="1406"/>
    <cellStyle name="Normal_laroux_5_pldt_2" xfId="1407"/>
    <cellStyle name="Normal_laroux_5_pldt_3" xfId="1408"/>
    <cellStyle name="Normal_laroux_5_PLDT_dimon" xfId="1409"/>
    <cellStyle name="Normal_laroux_5_VERA" xfId="1410"/>
    <cellStyle name="Normal_laroux_5_VIRUS-EDY" xfId="1411"/>
    <cellStyle name="Normal_laroux_6" xfId="1412"/>
    <cellStyle name="Normal_laroux_6_dimon" xfId="1413"/>
    <cellStyle name="Normal_laroux_6_dimon_1" xfId="1414"/>
    <cellStyle name="Normal_laroux_6_dimon_2" xfId="1415"/>
    <cellStyle name="Normal_laroux_6_dimon_3" xfId="1416"/>
    <cellStyle name="Normal_laroux_6_laroux" xfId="1417"/>
    <cellStyle name="Normal_laroux_6_laroux_1" xfId="1418"/>
    <cellStyle name="Normal_laroux_6_laroux_dimon" xfId="1419"/>
    <cellStyle name="Normal_laroux_6_pldt" xfId="1420"/>
    <cellStyle name="Normal_laroux_6_pldt_1" xfId="1421"/>
    <cellStyle name="Normal_laroux_6_pldt_2" xfId="1422"/>
    <cellStyle name="Normal_laroux_6_PLDT_dimon" xfId="1423"/>
    <cellStyle name="Normal_laroux_6_VERA" xfId="1424"/>
    <cellStyle name="Normal_laroux_6_VIRUS-EDY" xfId="1425"/>
    <cellStyle name="Normal_laroux_7" xfId="1426"/>
    <cellStyle name="Normal_laroux_7_dimon" xfId="1427"/>
    <cellStyle name="Normal_laroux_7_dimon_1" xfId="1428"/>
    <cellStyle name="Normal_laroux_7_dimon_2" xfId="1429"/>
    <cellStyle name="Normal_laroux_7_laroux" xfId="1430"/>
    <cellStyle name="Normal_laroux_7_pldt" xfId="1431"/>
    <cellStyle name="Normal_laroux_7_pldt_1" xfId="1432"/>
    <cellStyle name="Normal_laroux_7_VERA" xfId="1433"/>
    <cellStyle name="Normal_laroux_7_VIRUS-EDY" xfId="1434"/>
    <cellStyle name="Normal_laroux_8" xfId="1435"/>
    <cellStyle name="Normal_laroux_8_dimon" xfId="1436"/>
    <cellStyle name="Normal_laroux_8_dimon_1" xfId="1437"/>
    <cellStyle name="Normal_laroux_8_pldt" xfId="1438"/>
    <cellStyle name="Normal_laroux_8_pldt_1" xfId="1439"/>
    <cellStyle name="Normal_laroux_8_VERA" xfId="1440"/>
    <cellStyle name="Normal_laroux_9" xfId="1441"/>
    <cellStyle name="Normal_laroux_9_dimon" xfId="1442"/>
    <cellStyle name="Normal_laroux_9_dimon_1" xfId="1443"/>
    <cellStyle name="Normal_laroux_A" xfId="1444"/>
    <cellStyle name="Normal_laroux_B" xfId="1445"/>
    <cellStyle name="Normal_laroux_C" xfId="1446"/>
    <cellStyle name="Normal_laroux_D" xfId="1447"/>
    <cellStyle name="Normal_laroux_dimon" xfId="1448"/>
    <cellStyle name="Normal_laroux_dimon_1" xfId="1449"/>
    <cellStyle name="Normal_laroux_dimon_2" xfId="1450"/>
    <cellStyle name="Normal_laroux_dimon_3" xfId="1451"/>
    <cellStyle name="Normal_laroux_dimon_4" xfId="1452"/>
    <cellStyle name="Normal_laroux_dimon_5" xfId="1453"/>
    <cellStyle name="Normal_laroux_laroux" xfId="1454"/>
    <cellStyle name="Normal_laroux_laroux_1" xfId="1455"/>
    <cellStyle name="Normal_laroux_laroux_2" xfId="1456"/>
    <cellStyle name="Normal_laroux_Locas" xfId="1457"/>
    <cellStyle name="Normal_laroux_pldt" xfId="1458"/>
    <cellStyle name="Normal_laroux_pldt_1" xfId="1459"/>
    <cellStyle name="Normal_laroux_pldt_2" xfId="1460"/>
    <cellStyle name="Normal_laroux_pldt_3" xfId="1461"/>
    <cellStyle name="Normal_laroux_PLDT_dimon" xfId="1462"/>
    <cellStyle name="Normal_laroux_VERA" xfId="1463"/>
    <cellStyle name="Normal_laroux_VERA_1" xfId="1464"/>
    <cellStyle name="Normal_laroux_VIRUS-EDY" xfId="1465"/>
    <cellStyle name="Normal_Line Inst." xfId="1466"/>
    <cellStyle name="Normal_List" xfId="1467"/>
    <cellStyle name="Normal_Locas" xfId="1468"/>
    <cellStyle name="Normal_Locas_1" xfId="1469"/>
    <cellStyle name="Normal_Lock" xfId="1470"/>
    <cellStyle name="Normal_MAJREP" xfId="1471"/>
    <cellStyle name="Normal_MATERAL2" xfId="1472"/>
    <cellStyle name="Normal_MATERAL2_dimon" xfId="1473"/>
    <cellStyle name="Normal_MED-A-CO.XLS" xfId="1474"/>
    <cellStyle name="Normal_MID CURVE" xfId="1475"/>
    <cellStyle name="Normal_MKGOCPX" xfId="1476"/>
    <cellStyle name="Normal_Mkt Shr" xfId="1477"/>
    <cellStyle name="Normal_MOBCPX" xfId="1478"/>
    <cellStyle name="Normal_Module1" xfId="1479"/>
    <cellStyle name="Normal_Module1 (2)" xfId="1480"/>
    <cellStyle name="Normal_Module1 (2)_1" xfId="1481"/>
    <cellStyle name="Normal_MONTHLY" xfId="1482"/>
    <cellStyle name="Normal_MOR  - Supp" xfId="1483"/>
    <cellStyle name="Normal_mud plant bolted" xfId="1484"/>
    <cellStyle name="Normal_mud plant bolted_dimon" xfId="1485"/>
    <cellStyle name="Normal_Multikarya" xfId="1486"/>
    <cellStyle name="Normal_NA WITHOUT GOV'T &amp; PNX" xfId="1487"/>
    <cellStyle name="Normal_NAOBU10" xfId="1488"/>
    <cellStyle name="Normal_NAT ACCT" xfId="1489"/>
    <cellStyle name="Normal_NCR-C&amp;W Val" xfId="1490"/>
    <cellStyle name="Normal_NCR-Cap intensity" xfId="1491"/>
    <cellStyle name="Normal_NCR-Line per Staff" xfId="1492"/>
    <cellStyle name="Normal_NCR-Rev dist" xfId="1493"/>
    <cellStyle name="Normal_NEHQ-ACT.XLS" xfId="1494"/>
    <cellStyle name="Normal_NS-A-CO.XLS" xfId="1495"/>
    <cellStyle name="Normal_NS_AT" xfId="1496"/>
    <cellStyle name="Normal_NS_CONS GROUP" xfId="1497"/>
    <cellStyle name="Normal_NSACTUAL.XLS" xfId="1498"/>
    <cellStyle name="Normal_NSACTUAL.XLS_1" xfId="1499"/>
    <cellStyle name="Normal_NX00" xfId="1500"/>
    <cellStyle name="Normal_OFFDATA1" xfId="1501"/>
    <cellStyle name="Normal_OFFDATA1 (2)" xfId="1502"/>
    <cellStyle name="Normal_OFFDATA1_1" xfId="1503"/>
    <cellStyle name="Normal_Op Cost Break" xfId="1504"/>
    <cellStyle name="Normal_Operations" xfId="1505"/>
    <cellStyle name="Normal_opsmacro" xfId="1506"/>
    <cellStyle name="Normal_OPSTAT" xfId="1507"/>
    <cellStyle name="Normal_OS-A-CO.XLS" xfId="1508"/>
    <cellStyle name="Normal_OSMOCPX" xfId="1509"/>
    <cellStyle name="Normal_Other Months" xfId="1510"/>
    <cellStyle name="Normal_Outlook" xfId="1511"/>
    <cellStyle name="Normal_Outlook_1" xfId="1512"/>
    <cellStyle name="Normal_OWN, AR, SNIPS" xfId="1513"/>
    <cellStyle name="Normal_PAGE 1" xfId="1514"/>
    <cellStyle name="Normal_pbdefault" xfId="1515"/>
    <cellStyle name="Normal_pbdefault_1" xfId="1516"/>
    <cellStyle name="Normal_percentages" xfId="1517"/>
    <cellStyle name="Normal_PERSONAL" xfId="1518"/>
    <cellStyle name="Normal_PERSONAL_dimon" xfId="1519"/>
    <cellStyle name="Normal_PERSONAL_Locas" xfId="1520"/>
    <cellStyle name="Normal_PGMKOCPX" xfId="1521"/>
    <cellStyle name="Normal_PGNW1" xfId="1522"/>
    <cellStyle name="Normal_PGNW2" xfId="1523"/>
    <cellStyle name="Normal_PGNWOCPX" xfId="1524"/>
    <cellStyle name="Normal_Picks" xfId="1525"/>
    <cellStyle name="Normal_Pink" xfId="1526"/>
    <cellStyle name="Normal_PKDATA1" xfId="1527"/>
    <cellStyle name="Normal_PKDATA1 (2)" xfId="1528"/>
    <cellStyle name="Normal_PKDATA1_1" xfId="1529"/>
    <cellStyle name="Normal_PLAN" xfId="1530"/>
    <cellStyle name="Normal_PLANT" xfId="1531"/>
    <cellStyle name="Normal_PLANTS" xfId="1532"/>
    <cellStyle name="Normal_PLDT" xfId="1533"/>
    <cellStyle name="Normal_PLDT_1" xfId="1534"/>
    <cellStyle name="Normal_pldt_1_Calculations" xfId="1535"/>
    <cellStyle name="Normal_PLDT_1_dimon" xfId="1536"/>
    <cellStyle name="Normal_pldt_2" xfId="1537"/>
    <cellStyle name="Normal_pldt_2_Calculations" xfId="1538"/>
    <cellStyle name="Normal_PLDT_2_dimon" xfId="1539"/>
    <cellStyle name="Normal_pldt_2_dimon_1" xfId="1540"/>
    <cellStyle name="Normal_pldt_2_pldt" xfId="1541"/>
    <cellStyle name="Normal_pldt_3" xfId="1542"/>
    <cellStyle name="Normal_pldt_3_dimon" xfId="1543"/>
    <cellStyle name="Normal_pldt_4" xfId="1544"/>
    <cellStyle name="Normal_pldt_4_dimon" xfId="1545"/>
    <cellStyle name="Normal_PLDT_4_dimon_1" xfId="1546"/>
    <cellStyle name="Normal_pldt_5" xfId="1547"/>
    <cellStyle name="Normal_pldt_6" xfId="1548"/>
    <cellStyle name="Normal_pldt_Calculations" xfId="1549"/>
    <cellStyle name="Normal_PLDT_dimon" xfId="1550"/>
    <cellStyle name="Normal_PLDT_dimon_1" xfId="1551"/>
    <cellStyle name="Normal_pldt_pldt" xfId="1552"/>
    <cellStyle name="Normal_POW-Provision" xfId="1553"/>
    <cellStyle name="Normal_priccurv" xfId="1554"/>
    <cellStyle name="Normal_priccurv_1" xfId="1555"/>
    <cellStyle name="Normal_priccurv_2" xfId="1556"/>
    <cellStyle name="Normal_PriceCurve" xfId="0"/>
    <cellStyle name="Normal_PriceCurve_1" xfId="0"/>
    <cellStyle name="Normal_PrintBox (2)" xfId="0"/>
    <cellStyle name="Normal_PROCDS&amp;G" xfId="0"/>
    <cellStyle name="Normal_PROD SALES" xfId="0"/>
    <cellStyle name="Normal_PROD SALES by Region Pg 2" xfId="0"/>
    <cellStyle name="Normal_PRODUCT" xfId="0"/>
    <cellStyle name="Normal_Production Payment model" xfId="0"/>
    <cellStyle name="Normal_production tony" xfId="0"/>
    <cellStyle name="Normal_PROFILE4" xfId="0"/>
    <cellStyle name="Normal_PSTNOCFP" xfId="0"/>
    <cellStyle name="Normal_Q08-95.XLS" xfId="0"/>
    <cellStyle name="Normal_QMM-1" xfId="0"/>
    <cellStyle name="Normal_Quarter End Months" xfId="0"/>
    <cellStyle name="Normal_r1" xfId="0"/>
    <cellStyle name="Normal_R2FAC" xfId="0"/>
    <cellStyle name="Normal_Real Opr Cf" xfId="0"/>
    <cellStyle name="Normal_Real Rev per Staff (1)" xfId="0"/>
    <cellStyle name="Normal_Real Rev per Staff (2)" xfId="0"/>
    <cellStyle name="Normal_Region 2-C&amp;W" xfId="0"/>
    <cellStyle name="Normal_REPORT-budget" xfId="0"/>
    <cellStyle name="Normal_REPORT-plan" xfId="0"/>
    <cellStyle name="Normal_Return on Rev" xfId="0"/>
    <cellStyle name="Normal_Rev p line" xfId="0"/>
    <cellStyle name="Normal_ROACE" xfId="0"/>
    <cellStyle name="Normal_ROCF (Tot)" xfId="0"/>
    <cellStyle name="Normal_Sales Order" xfId="0"/>
    <cellStyle name="Normal_SALES, BGP, MOI" xfId="0"/>
    <cellStyle name="Normal_SATOCPX" xfId="0"/>
    <cellStyle name="Normal_SC COP" xfId="0"/>
    <cellStyle name="Normal_ScreeningModel" xfId="0"/>
    <cellStyle name="Normal_SELECT" xfId="0"/>
    <cellStyle name="Normal_Sheet1" xfId="0"/>
    <cellStyle name="Normal_Sheet1 (2)" xfId="0"/>
    <cellStyle name="Normal_Sheet1 (2)_dimon" xfId="0"/>
    <cellStyle name="Normal_Sheet1 (2)_VERA" xfId="0"/>
    <cellStyle name="Normal_Sheet1 (2)_VERA_1" xfId="0"/>
    <cellStyle name="Normal_Sheet1_1" xfId="0"/>
    <cellStyle name="Normal_Sheet1_dimon" xfId="0"/>
    <cellStyle name="Normal_Sheet1_dimon_1" xfId="0"/>
    <cellStyle name="Normal_Sheet1_FUNDS" xfId="0"/>
    <cellStyle name="Normal_Sheet1_FUNDS (2)" xfId="0"/>
    <cellStyle name="Normal_Sheet1_laroux" xfId="0"/>
    <cellStyle name="Normal_Sheet1_List" xfId="0"/>
    <cellStyle name="Normal_Sheet1_PLDT" xfId="0"/>
    <cellStyle name="Normal_Sheet1_VERA" xfId="0"/>
    <cellStyle name="Normal_Sheet1_VERA_1" xfId="0"/>
    <cellStyle name="Normal_Sheet2" xfId="0"/>
    <cellStyle name="Normal_Sheet3" xfId="0"/>
    <cellStyle name="Normal_SHENREPT" xfId="0"/>
    <cellStyle name="Normal_SHENREPT_laroux" xfId="0"/>
    <cellStyle name="Normal_SHENREPT_pldt" xfId="0"/>
    <cellStyle name="Normal_solInv_suppldata_qry" xfId="0"/>
    <cellStyle name="Normal_SOP" xfId="0"/>
    <cellStyle name="Normal_Specifics" xfId="0"/>
    <cellStyle name="Normal_sprint contr" xfId="0"/>
    <cellStyle name="Normal_Staff cost%rev" xfId="0"/>
    <cellStyle name="Normal_SUMMARY" xfId="0"/>
    <cellStyle name="Normal_Summary_dimon" xfId="0"/>
    <cellStyle name="Normal_SUMPAGE" xfId="0"/>
    <cellStyle name="Normal_SWI-C-CO.XLS" xfId="0"/>
    <cellStyle name="Normal_Template" xfId="0"/>
    <cellStyle name="Normal_Template_dimon" xfId="0"/>
    <cellStyle name="Normal_TESTDATA" xfId="0"/>
    <cellStyle name="Normal_TMSNW1" xfId="0"/>
    <cellStyle name="Normal_TMSNW2" xfId="0"/>
    <cellStyle name="Normal_TMSOCPX" xfId="0"/>
    <cellStyle name="Normal_TOTAL MTH" xfId="0"/>
    <cellStyle name="Normal_TOTAL NX CASH FLOW" xfId="0"/>
    <cellStyle name="Normal_TOTAL YTD" xfId="0"/>
    <cellStyle name="Normal_Total-Rev dist." xfId="0"/>
    <cellStyle name="Normal_TRANSDSC.XLS" xfId="0"/>
    <cellStyle name="Normal_TRANSFXA.XLS" xfId="0"/>
    <cellStyle name="Normal_TRANSFXA.XLS_1" xfId="0"/>
    <cellStyle name="Normal_TRANSFXA.XLS_2" xfId="0"/>
    <cellStyle name="Normal_TRANSIME.XLS" xfId="0"/>
    <cellStyle name="Normal_TRANSIME.XLS_1" xfId="0"/>
    <cellStyle name="Normal_TRANSIME.XLS_TRANSDSC.XLS" xfId="0"/>
    <cellStyle name="Normal_TRANSIME.XLS_TRANSFXA.XLS" xfId="0"/>
    <cellStyle name="Normal_TRN-A-CO.XLS" xfId="0"/>
    <cellStyle name="Normal_VDlg" xfId="0"/>
    <cellStyle name="Normal_White" xfId="0"/>
    <cellStyle name="Normal_WO Var. &amp; Tot. Exp." xfId="0"/>
    <cellStyle name="Normal_WSP" xfId="0"/>
    <cellStyle name="Normal_yrcao" xfId="0"/>
    <cellStyle name="Normal_YREND55" xfId="0"/>
    <cellStyle name="Normal_YREND57" xfId="0"/>
    <cellStyle name="Normal_YTDCUR" xfId="0"/>
    <cellStyle name="Percent [2]" xfId="0"/>
    <cellStyle name="Percent_dimon" xfId="0"/>
    <cellStyle name="Percent_SPC99-03" xfId="0"/>
    <cellStyle name="Standard_Anpassen der Amortisation" xfId="0"/>
    <cellStyle name="Standard_ATW" xfId="0"/>
    <cellStyle name="Standard_Compiling Utility Macros" xfId="0"/>
    <cellStyle name="Standard_FixerSetupDlg" xfId="0"/>
    <cellStyle name="Standard_Sperren" xfId="0"/>
    <cellStyle name="Standard_Sperren_1" xfId="0"/>
    <cellStyle name="Standard_TemplateInformation" xfId="0"/>
    <cellStyle name="Standard_TemplateInformation_1" xfId="0"/>
    <cellStyle name="Total" xfId="0"/>
    <cellStyle name="uk" xfId="0"/>
    <cellStyle name="Un" xfId="0"/>
    <cellStyle name="Unprot" xfId="0"/>
    <cellStyle name="Unprot$" xfId="0"/>
    <cellStyle name="Unprot_CurrencySKorea" xfId="0"/>
    <cellStyle name="Unprot_GenMod" xfId="0"/>
    <cellStyle name="Unprot_ScreeningModel" xfId="0"/>
    <cellStyle name="Unprotect" xfId="0"/>
    <cellStyle name="Unprotect_dimon" xfId="0"/>
    <cellStyle name="Unprotect_summary" xfId="0"/>
    <cellStyle name="Währung [0]_Compiling Utility Macros" xfId="0"/>
    <cellStyle name="Währung [0]_FixerSetupDlg" xfId="0"/>
    <cellStyle name="Währung [0]_TemplateInformation" xfId="0"/>
    <cellStyle name="Währung_Compiling Utility Macros" xfId="0"/>
    <cellStyle name="Währung_FixerSetupDlg" xfId="0"/>
    <cellStyle name="Währung_TemplateInformation" xfId="0"/>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externalLink" Target="externalLinks/externalLink1.xml"/><Relationship Id="rId19" Type="http://schemas.openxmlformats.org/officeDocument/2006/relationships/externalLink" Target="externalLinks/externalLink2.xml"/><Relationship Id="rId20" Type="http://schemas.openxmlformats.org/officeDocument/2006/relationships/externalLink" Target="externalLinks/externalLink3.xml"/><Relationship Id="rId21" Type="http://schemas.openxmlformats.org/officeDocument/2006/relationships/externalLink" Target="externalLinks/externalLink4.xml"/><Relationship Id="rId22" Type="http://schemas.openxmlformats.org/officeDocument/2006/relationships/externalLink" Target="externalLinks/externalLink5.xml"/><Relationship Id="rId23" Type="http://schemas.openxmlformats.org/officeDocument/2006/relationships/externalLink" Target="externalLinks/externalLink6.xml"/><Relationship Id="rId24" Type="http://schemas.openxmlformats.org/officeDocument/2006/relationships/externalLink" Target="externalLinks/externalLink7.xml"/><Relationship Id="rId25"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ineChart>
        <c:grouping val="standard"/>
        <c:varyColors val="0"/>
        <c:ser>
          <c:idx val="0"/>
          <c:order val="0"/>
          <c:tx>
            <c:strRef>
              <c:f>'PPA Assumptions &amp; Summary'!$A$78</c:f>
              <c:strCache>
                <c:ptCount val="1"/>
                <c:pt idx="0">
                  <c:v>Kaiser Peak as of 1998 ( $ / MWh )</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val>
            <c:numRef>
              <c:f>'PPA Assumptions &amp; Summary'!$B$78:$V$78</c:f>
              <c:numCache>
                <c:formatCode>[$-409]#,##0.00_);[RED]\(#,##0.00\)</c:formatCode>
                <c:ptCount val="21"/>
                <c:pt idx="2">
                  <c:v>39.75</c:v>
                </c:pt>
                <c:pt idx="3">
                  <c:v>42.43</c:v>
                </c:pt>
                <c:pt idx="4">
                  <c:v>45.29</c:v>
                </c:pt>
                <c:pt idx="5">
                  <c:v>48.34</c:v>
                </c:pt>
                <c:pt idx="6">
                  <c:v>51.59</c:v>
                </c:pt>
                <c:pt idx="7">
                  <c:v>55.07</c:v>
                </c:pt>
                <c:pt idx="8">
                  <c:v>55.52</c:v>
                </c:pt>
                <c:pt idx="9">
                  <c:v>55.97</c:v>
                </c:pt>
                <c:pt idx="10">
                  <c:v>56.43</c:v>
                </c:pt>
                <c:pt idx="11">
                  <c:v>56.89</c:v>
                </c:pt>
                <c:pt idx="12">
                  <c:v>57.36</c:v>
                </c:pt>
                <c:pt idx="13">
                  <c:v>55.15</c:v>
                </c:pt>
                <c:pt idx="14">
                  <c:v>53.04</c:v>
                </c:pt>
                <c:pt idx="15">
                  <c:v>51</c:v>
                </c:pt>
                <c:pt idx="16">
                  <c:v>49.04</c:v>
                </c:pt>
                <c:pt idx="17">
                  <c:v>47.16</c:v>
                </c:pt>
                <c:pt idx="18">
                  <c:v>47.8</c:v>
                </c:pt>
                <c:pt idx="19">
                  <c:v>48.44</c:v>
                </c:pt>
                <c:pt idx="20">
                  <c:v>49.1</c:v>
                </c:pt>
              </c:numCache>
            </c:numRef>
          </c:val>
          <c:smooth val="0"/>
        </c:ser>
        <c:ser>
          <c:idx val="1"/>
          <c:order val="1"/>
          <c:tx>
            <c:strRef>
              <c:f>'PPA Assumptions &amp; Summary'!$A$79</c:f>
              <c:strCache>
                <c:ptCount val="1"/>
                <c:pt idx="0">
                  <c:v>Kaiser Off Peak as of 1998 ( $ / MWh )</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val>
            <c:numRef>
              <c:f>'PPA Assumptions &amp; Summary'!$B$79:$V$79</c:f>
              <c:numCache>
                <c:formatCode>[$-409]#,##0.00_);[RED]\(#,##0.00\)</c:formatCode>
                <c:ptCount val="21"/>
                <c:pt idx="2">
                  <c:v>39.83</c:v>
                </c:pt>
                <c:pt idx="3">
                  <c:v>42.33</c:v>
                </c:pt>
                <c:pt idx="4">
                  <c:v>44.98</c:v>
                </c:pt>
                <c:pt idx="5">
                  <c:v>47.8</c:v>
                </c:pt>
                <c:pt idx="6">
                  <c:v>50.8</c:v>
                </c:pt>
                <c:pt idx="7">
                  <c:v>53.98</c:v>
                </c:pt>
                <c:pt idx="8">
                  <c:v>54.34</c:v>
                </c:pt>
                <c:pt idx="9">
                  <c:v>54.7</c:v>
                </c:pt>
                <c:pt idx="10">
                  <c:v>55.07</c:v>
                </c:pt>
                <c:pt idx="11">
                  <c:v>55.44</c:v>
                </c:pt>
                <c:pt idx="12">
                  <c:v>55.81</c:v>
                </c:pt>
                <c:pt idx="13">
                  <c:v>52.96</c:v>
                </c:pt>
                <c:pt idx="14">
                  <c:v>50.25</c:v>
                </c:pt>
                <c:pt idx="15">
                  <c:v>47.68</c:v>
                </c:pt>
                <c:pt idx="16">
                  <c:v>45.25</c:v>
                </c:pt>
                <c:pt idx="17">
                  <c:v>42.94</c:v>
                </c:pt>
                <c:pt idx="18">
                  <c:v>43.28</c:v>
                </c:pt>
                <c:pt idx="19">
                  <c:v>43.62</c:v>
                </c:pt>
                <c:pt idx="20">
                  <c:v>43.96</c:v>
                </c:pt>
              </c:numCache>
            </c:numRef>
          </c:val>
          <c:smooth val="0"/>
        </c:ser>
        <c:hiLowLines>
          <c:spPr>
            <a:ln w="0">
              <a:noFill/>
            </a:ln>
          </c:spPr>
        </c:hiLowLines>
        <c:marker val="1"/>
        <c:axId val="35296003"/>
        <c:axId val="84686847"/>
      </c:lineChart>
      <c:catAx>
        <c:axId val="35296003"/>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825" strike="noStrike" u="none">
                <a:solidFill>
                  <a:srgbClr val="000000"/>
                </a:solidFill>
                <a:uFillTx/>
                <a:latin typeface="Arial"/>
              </a:defRPr>
            </a:pPr>
          </a:p>
        </c:txPr>
        <c:crossAx val="84686847"/>
        <c:crossesAt val="0"/>
        <c:auto val="1"/>
        <c:lblAlgn val="ctr"/>
        <c:lblOffset val="100"/>
        <c:noMultiLvlLbl val="0"/>
      </c:catAx>
      <c:valAx>
        <c:axId val="84686847"/>
        <c:scaling>
          <c:orientation val="minMax"/>
        </c:scaling>
        <c:delete val="0"/>
        <c:axPos val="l"/>
        <c:majorGridlines>
          <c:spPr>
            <a:ln w="0">
              <a:solidFill>
                <a:srgbClr val="000000"/>
              </a:solidFill>
            </a:ln>
          </c:spPr>
        </c:majorGridlines>
        <c:numFmt formatCode="[$-409]#,##0.00_);[RED]\(#,##0.00\)"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35296003"/>
        <c:crossesAt val="1"/>
        <c:crossBetween val="midCat"/>
      </c:valAx>
      <c:spPr>
        <a:solidFill>
          <a:srgbClr val="c0c0c0"/>
        </a:solidFill>
        <a:ln w="12600">
          <a:solidFill>
            <a:srgbClr val="808080"/>
          </a:solidFill>
          <a:round/>
        </a:ln>
      </c:spPr>
    </c:plotArea>
    <c:legend>
      <c:legendPos val="r"/>
      <c:overlay val="0"/>
      <c:spPr>
        <a:solidFill>
          <a:srgbClr val="ffffff"/>
        </a:solidFill>
        <a:ln w="0">
          <a:solidFill>
            <a:srgbClr val="000000"/>
          </a:solidFill>
        </a:ln>
      </c:spPr>
      <c:txPr>
        <a:bodyPr/>
        <a:lstStyle/>
        <a:p>
          <a:pPr>
            <a:defRPr b="0" sz="825"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trlProps/ctrlProps2.xml><?xml version="1.0" encoding="utf-8"?>
<formControlPr xmlns="http://schemas.microsoft.com/office/spreadsheetml/2009/9/main" objectType="Button" lockText="1"/>
</file>

<file path=xl/ctrlProps/ctrlProps3.xml><?xml version="1.0" encoding="utf-8"?>
<formControlPr xmlns="http://schemas.microsoft.com/office/spreadsheetml/2009/9/main" objectType="Button" lockText="1"/>
</file>

<file path=xl/drawings/_rels/drawing4.xml.rels><?xml version="1.0" encoding="UTF-8"?>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544680</xdr:colOff>
          <xdr:row>1</xdr:row>
          <xdr:rowOff>47160</xdr:rowOff>
        </xdr:from>
        <xdr:to>
          <xdr:col>1</xdr:col>
          <xdr:colOff>-570960</xdr:colOff>
          <xdr:row>3</xdr:row>
          <xdr:rowOff>124200</xdr:rowOff>
        </xdr:to>
        <xdr:sp>
          <xdr:nvSpPr>
            <xdr:cNvPr id="1001" name="Button 686" descr="PRINT" hidden="0"/>
            <xdr:cNvSpPr/>
          </xdr:nvSpPr>
          <xdr:spPr>
            <a:xfrm>
              <a:off x="0" y="0"/>
              <a:ext cx="0" cy="0"/>
            </a:xfrm>
            <a:prstGeom prst="rect">
              <a:avLst/>
            </a:prstGeom>
          </xdr:spPr>
          <xdr:txBody>
            <a:bodyPr anchor="ctr">
              <a:noAutofit/>
            </a:bodyPr>
            <a:p>
              <a:r>
                <a:t>PRINT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2054160</xdr:colOff>
          <xdr:row>2</xdr:row>
          <xdr:rowOff>47520</xdr:rowOff>
        </xdr:from>
        <xdr:to>
          <xdr:col>1</xdr:col>
          <xdr:colOff>352800</xdr:colOff>
          <xdr:row>3</xdr:row>
          <xdr:rowOff>114480</xdr:rowOff>
        </xdr:to>
        <xdr:sp>
          <xdr:nvSpPr>
            <xdr:cNvPr id="1002" name="Button 714" descr="Franchise Tax" hidden="0"/>
            <xdr:cNvSpPr/>
          </xdr:nvSpPr>
          <xdr:spPr>
            <a:xfrm>
              <a:off x="0" y="0"/>
              <a:ext cx="0" cy="0"/>
            </a:xfrm>
            <a:prstGeom prst="rect">
              <a:avLst/>
            </a:prstGeom>
          </xdr:spPr>
          <xdr:txBody>
            <a:bodyPr anchor="ctr">
              <a:noAutofit/>
            </a:bodyPr>
            <a:p>
              <a:r>
                <a:t>Franchise Tax</a:t>
              </a:r>
            </a:p>
          </xdr:txBody>
        </xdr:sp>
        <xdr:clientData/>
      </xdr:twoCellAnchor>
    </mc:Choice>
  </mc:AlternateContent>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473040</xdr:colOff>
      <xdr:row>84</xdr:row>
      <xdr:rowOff>47520</xdr:rowOff>
    </xdr:from>
    <xdr:to>
      <xdr:col>7</xdr:col>
      <xdr:colOff>543600</xdr:colOff>
      <xdr:row>98</xdr:row>
      <xdr:rowOff>95400</xdr:rowOff>
    </xdr:to>
    <xdr:graphicFrame>
      <xdr:nvGraphicFramePr>
        <xdr:cNvPr id="0" name="Chart 143"/>
        <xdr:cNvGraphicFramePr/>
      </xdr:nvGraphicFramePr>
      <xdr:xfrm>
        <a:off x="2898720" y="13685400"/>
        <a:ext cx="3934080" cy="23112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NAES/GenSvcs/Genco/Financing/Old%20Files/Brownsville041299bkup.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xls/Banks/Caledonia-Bkup-022399.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C:/TEMP/IRRModelOctStart4.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NAES/GenSvcs/Genco/Financing/Old%20Files/Brownsville062899bkup.xls" TargetMode="External"/>
</Relationships>
</file>

<file path=xl/externalLinks/_rels/externalLink5.xml.rels><?xml version="1.0" encoding="UTF-8"?>
<Relationships xmlns="http://schemas.openxmlformats.org/package/2006/relationships"><Relationship Id="rId1" Type="http://schemas.openxmlformats.org/officeDocument/2006/relationships/externalLinkPath" Target="../xls/Old%20Files/New%20Albany021699bkup.xls" TargetMode="External"/>
</Relationships>
</file>

<file path=xl/externalLinks/_rels/externalLink6.xml.rels><?xml version="1.0" encoding="UTF-8"?>
<Relationships xmlns="http://schemas.openxmlformats.org/package/2006/relationships"><Relationship Id="rId1" Type="http://schemas.openxmlformats.org/officeDocument/2006/relationships/externalLinkPath" Target="../xls/Wheatland,IN.xls" TargetMode="External"/>
</Relationships>
</file>

<file path=xl/externalLinks/_rels/externalLink7.xml.rels><?xml version="1.0" encoding="UTF-8"?>
<Relationships xmlns="http://schemas.openxmlformats.org/package/2006/relationships"><Relationship Id="rId1" Type="http://schemas.openxmlformats.org/officeDocument/2006/relationships/externalLinkPath" Target="../xls/Old%20Files/Wilton_New030999bkup.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monci"/>
      <sheetName val="Tracking sheet"/>
      <sheetName val="Project Assumptions"/>
      <sheetName val="PPA Assumptions &amp;Summary"/>
      <sheetName val="Operations"/>
      <sheetName val="Debt Amortization"/>
      <sheetName val="Returns Summary"/>
      <sheetName val="Book Income Statement"/>
      <sheetName val="Cash Flow Statement"/>
      <sheetName val="BS"/>
      <sheetName val="Tax Calculations"/>
      <sheetName val="Depreciation"/>
      <sheetName val="Interest During Construction"/>
      <sheetName val="Maintenance Reserv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onci"/>
      <sheetName val="Tracker"/>
      <sheetName val="Project Assumptions"/>
      <sheetName val="PPA Assumptions &amp; Summary"/>
      <sheetName val="Operations"/>
      <sheetName val="Debt Amortization"/>
      <sheetName val="Book Income Statement"/>
      <sheetName val="Returns Summary"/>
      <sheetName val="Cash Flow Statement"/>
      <sheetName val="BS"/>
      <sheetName val="Tax Calculations"/>
      <sheetName val="Depreciation"/>
      <sheetName val="Interest During Construction"/>
      <sheetName val="Monthly Model"/>
      <sheetName val="Maintainance Reserves"/>
    </sheetNames>
    <sheetDataSet>
      <sheetData sheetId="0"/>
      <sheetData sheetId="1"/>
      <sheetData sheetId="2">
        <row r="64">
          <cell r="I64">
            <v>36532.4580629093</v>
          </cell>
        </row>
      </sheetData>
      <sheetData sheetId="3"/>
      <sheetData sheetId="4"/>
      <sheetData sheetId="5"/>
      <sheetData sheetId="6"/>
      <sheetData sheetId="7"/>
      <sheetData sheetId="8">
        <row r="21">
          <cell r="D21">
            <v>3402.91615931765</v>
          </cell>
          <cell r="E21">
            <v>6176.00805176461</v>
          </cell>
          <cell r="F21">
            <v>5614.88608509249</v>
          </cell>
          <cell r="G21">
            <v>5584.45797229637</v>
          </cell>
          <cell r="H21">
            <v>15305.2463692221</v>
          </cell>
          <cell r="I21">
            <v>16836.655889199</v>
          </cell>
          <cell r="J21">
            <v>13210.6033500583</v>
          </cell>
          <cell r="K21">
            <v>13101.081252691</v>
          </cell>
          <cell r="L21">
            <v>12983.8818487123</v>
          </cell>
          <cell r="M21">
            <v>12854.0907345398</v>
          </cell>
          <cell r="N21">
            <v>12683.1423354739</v>
          </cell>
          <cell r="O21">
            <v>13092.2504998396</v>
          </cell>
          <cell r="P21">
            <v>12077.797965155</v>
          </cell>
          <cell r="Q21">
            <v>11874.0084444523</v>
          </cell>
          <cell r="R21">
            <v>16873.7519865596</v>
          </cell>
          <cell r="S21">
            <v>23120.1189789727</v>
          </cell>
          <cell r="T21">
            <v>23070.156805572</v>
          </cell>
          <cell r="U21">
            <v>23269.1418190996</v>
          </cell>
          <cell r="V21">
            <v>23469.8799479812</v>
          </cell>
          <cell r="W21">
            <v>23663.8527724345</v>
          </cell>
          <cell r="X21">
            <v>0</v>
          </cell>
          <cell r="Y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reset Scenarios"/>
      <sheetName val="Assumptions"/>
      <sheetName val="Power Price Assumption"/>
      <sheetName val="IS"/>
      <sheetName val="CF"/>
      <sheetName val="IRR"/>
      <sheetName val="Exposure"/>
      <sheetName val="Debt"/>
      <sheetName val="Depreciation"/>
      <sheetName val="Tax"/>
      <sheetName val="Brownsville"/>
      <sheetName val="Caledonia"/>
      <sheetName val="New Albany"/>
      <sheetName val="Calvert"/>
      <sheetName val="Wheatland"/>
      <sheetName val="Wilton"/>
      <sheetName val="EGC Start Charge Matrix"/>
      <sheetName val="Allocation"/>
    </sheetNames>
    <sheetDataSet>
      <sheetData sheetId="0"/>
      <sheetData sheetId="1"/>
      <sheetData sheetId="2"/>
      <sheetData sheetId="3"/>
      <sheetData sheetId="4"/>
      <sheetData sheetId="5"/>
      <sheetData sheetId="6"/>
      <sheetData sheetId="7"/>
      <sheetData sheetId="8"/>
      <sheetData sheetId="9"/>
      <sheetData sheetId="10"/>
      <sheetData sheetId="11">
        <row r="19">
          <cell r="E19">
            <v>59.7915913589457</v>
          </cell>
          <cell r="F19">
            <v>237.657734160582</v>
          </cell>
          <cell r="G19">
            <v>241.834893480851</v>
          </cell>
          <cell r="H19">
            <v>241.256227110792</v>
          </cell>
          <cell r="I19">
            <v>312.001902460899</v>
          </cell>
          <cell r="J19">
            <v>367.113519176153</v>
          </cell>
          <cell r="K19">
            <v>371.06399914471</v>
          </cell>
          <cell r="L19">
            <v>374.974056183334</v>
          </cell>
          <cell r="M19">
            <v>386.653809817174</v>
          </cell>
          <cell r="N19">
            <v>390.552876816084</v>
          </cell>
          <cell r="O19">
            <v>402.755935458429</v>
          </cell>
          <cell r="P19">
            <v>397.056182322531</v>
          </cell>
          <cell r="Q19">
            <v>410.554026094648</v>
          </cell>
          <cell r="R19">
            <v>415.482022604956</v>
          </cell>
          <cell r="S19">
            <v>420.24433171916</v>
          </cell>
          <cell r="T19">
            <v>424.782442061397</v>
          </cell>
          <cell r="U19">
            <v>429.541776504864</v>
          </cell>
          <cell r="V19">
            <v>434.346943936541</v>
          </cell>
          <cell r="W19">
            <v>439.108337555973</v>
          </cell>
          <cell r="X19">
            <v>442.209970240543</v>
          </cell>
          <cell r="Y19">
            <v>444.555053954874</v>
          </cell>
          <cell r="Z19">
            <v>450.541549328795</v>
          </cell>
        </row>
        <row r="32">
          <cell r="E32">
            <v>38.2177921666957</v>
          </cell>
          <cell r="F32">
            <v>231.670956682547</v>
          </cell>
          <cell r="G32">
            <v>152.871168666783</v>
          </cell>
          <cell r="H32">
            <v>152.871168666783</v>
          </cell>
          <cell r="I32">
            <v>152.871168666783</v>
          </cell>
          <cell r="J32">
            <v>144.816457694965</v>
          </cell>
          <cell r="K32">
            <v>144.816457694965</v>
          </cell>
          <cell r="L32">
            <v>144.816457694965</v>
          </cell>
          <cell r="M32">
            <v>144.816457694965</v>
          </cell>
          <cell r="N32">
            <v>144.816457694965</v>
          </cell>
          <cell r="O32">
            <v>144.816457694965</v>
          </cell>
          <cell r="P32">
            <v>130.199715425612</v>
          </cell>
          <cell r="Q32">
            <v>124.08692857714</v>
          </cell>
          <cell r="R32">
            <v>118.11496742068</v>
          </cell>
          <cell r="S32">
            <v>112.151669071847</v>
          </cell>
          <cell r="T32">
            <v>109.822135986388</v>
          </cell>
          <cell r="U32">
            <v>107.130897801754</v>
          </cell>
          <cell r="V32">
            <v>100.575650112598</v>
          </cell>
          <cell r="W32">
            <v>79.7355641512173</v>
          </cell>
          <cell r="X32">
            <v>74.3781708537129</v>
          </cell>
          <cell r="Y32">
            <v>60.0297752113987</v>
          </cell>
          <cell r="Z32">
            <v>60.0297752113987</v>
          </cell>
        </row>
        <row r="39">
          <cell r="E39">
            <v>4843.1189000746</v>
          </cell>
          <cell r="F39">
            <v>19250.2764670072</v>
          </cell>
          <cell r="G39">
            <v>19588.6263719489</v>
          </cell>
          <cell r="H39">
            <v>19541.7543959741</v>
          </cell>
          <cell r="I39">
            <v>25272.1540993328</v>
          </cell>
          <cell r="J39">
            <v>29736.1950532684</v>
          </cell>
          <cell r="K39">
            <v>30056.1839307215</v>
          </cell>
          <cell r="L39">
            <v>30372.8985508501</v>
          </cell>
          <cell r="M39">
            <v>31318.9585951911</v>
          </cell>
          <cell r="N39">
            <v>31634.7830221028</v>
          </cell>
          <cell r="O39">
            <v>32623.2307721328</v>
          </cell>
          <cell r="P39">
            <v>32161.550768125</v>
          </cell>
          <cell r="Q39">
            <v>33254.8761136665</v>
          </cell>
          <cell r="R39">
            <v>33654.0438310015</v>
          </cell>
          <cell r="S39">
            <v>34039.7908692519</v>
          </cell>
          <cell r="T39">
            <v>34407.3778069732</v>
          </cell>
          <cell r="U39">
            <v>34792.883896894</v>
          </cell>
          <cell r="V39">
            <v>35182.1024588598</v>
          </cell>
          <cell r="W39">
            <v>35567.7753420338</v>
          </cell>
          <cell r="X39">
            <v>35819.007589484</v>
          </cell>
          <cell r="Y39">
            <v>36008.9593703447</v>
          </cell>
          <cell r="Z39">
            <v>36493.8654956324</v>
          </cell>
        </row>
      </sheetData>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monci"/>
      <sheetName val="Tracking sheet"/>
      <sheetName val="Value"/>
      <sheetName val="Project Assumptions"/>
      <sheetName val="PPA Assumptions &amp;Summary"/>
      <sheetName val="Operations"/>
      <sheetName val="Debt Amortization"/>
      <sheetName val="Returns Summary"/>
      <sheetName val="Book Income Statement"/>
      <sheetName val="Cash Flow Statement"/>
      <sheetName val="BS"/>
      <sheetName val="Tax Calculations"/>
      <sheetName val="Depreciation"/>
      <sheetName val="Interest During Construction"/>
      <sheetName val="Maintenance Reserves"/>
    </sheetNames>
    <sheetDataSet>
      <sheetData sheetId="0"/>
      <sheetData sheetId="1"/>
      <sheetData sheetId="2"/>
      <sheetData sheetId="3">
        <row r="15">
          <cell r="I15">
            <v>20</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monci"/>
      <sheetName val="Project Assumptions"/>
      <sheetName val="Tracker"/>
      <sheetName val="PPA Assumptions &amp; Summary"/>
      <sheetName val="Operations"/>
      <sheetName val="Debt Amortization"/>
      <sheetName val="Returns Summary"/>
      <sheetName val="Book Income Statement"/>
      <sheetName val="Cash Flow Statement"/>
      <sheetName val="Tax Calculations"/>
      <sheetName val="Depreciation"/>
      <sheetName val="Interest During Construction"/>
      <sheetName val="Monthly Model"/>
      <sheetName val="Maintenance Reserves"/>
    </sheetNames>
    <sheetDataSet>
      <sheetData sheetId="0"/>
      <sheetData sheetId="1">
        <row r="14">
          <cell r="I14">
            <v>36312</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XXXXX"/>
      <sheetName val="Tracker"/>
      <sheetName val="ProjAssm"/>
      <sheetName val="PPA Assu&amp;Sum"/>
      <sheetName val="Oper"/>
      <sheetName val="Debt Amort"/>
      <sheetName val="Returns"/>
      <sheetName val="BK IS"/>
      <sheetName val="CF"/>
      <sheetName val="Tax"/>
      <sheetName val="Depr"/>
      <sheetName val="IDC"/>
      <sheetName val="Monthly Model"/>
      <sheetName val="MaintRes"/>
      <sheetName val="Debt Graph"/>
    </sheetNames>
    <sheetDataSet>
      <sheetData sheetId="0"/>
      <sheetData sheetId="1"/>
      <sheetData sheetId="2"/>
      <sheetData sheetId="3">
        <row r="5">
          <cell r="A5" t="str">
            <v>Months of Operation</v>
          </cell>
        </row>
        <row r="6">
          <cell r="A6" t="str">
            <v>Months of Year Under PPA</v>
          </cell>
        </row>
        <row r="7">
          <cell r="A7" t="str">
            <v>Months of Year Merchant</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monci"/>
      <sheetName val="Tracking sheet"/>
      <sheetName val="Project Assumtions"/>
      <sheetName val="PPA Assumptions &amp;Summary"/>
      <sheetName val="Operations"/>
      <sheetName val="Debt Amortization"/>
      <sheetName val="Returns Summary"/>
      <sheetName val="Book Income Statement"/>
      <sheetName val="Cash Flow Statement"/>
      <sheetName val="BS"/>
      <sheetName val="Tax Calculations"/>
      <sheetName val="Depreciation"/>
      <sheetName val="Interest During Construction"/>
      <sheetName val="Maintenance Reserves"/>
    </sheetNames>
    <sheetDataSet>
      <sheetData sheetId="0"/>
      <sheetData sheetId="1"/>
      <sheetData sheetId="2"/>
      <sheetData sheetId="3">
        <row r="3">
          <cell r="C3">
            <v>1</v>
          </cell>
          <cell r="D3">
            <v>2</v>
          </cell>
          <cell r="E3">
            <v>3</v>
          </cell>
          <cell r="F3">
            <v>4</v>
          </cell>
          <cell r="G3">
            <v>5</v>
          </cell>
          <cell r="H3">
            <v>6</v>
          </cell>
          <cell r="I3">
            <v>7</v>
          </cell>
          <cell r="J3">
            <v>8</v>
          </cell>
          <cell r="K3">
            <v>9</v>
          </cell>
          <cell r="L3">
            <v>10</v>
          </cell>
          <cell r="M3">
            <v>11</v>
          </cell>
          <cell r="N3">
            <v>12</v>
          </cell>
          <cell r="O3">
            <v>13</v>
          </cell>
          <cell r="P3">
            <v>14</v>
          </cell>
          <cell r="Q3">
            <v>15</v>
          </cell>
          <cell r="R3">
            <v>16</v>
          </cell>
          <cell r="S3">
            <v>17</v>
          </cell>
          <cell r="T3">
            <v>18</v>
          </cell>
          <cell r="U3">
            <v>19</v>
          </cell>
          <cell r="V3">
            <v>20</v>
          </cell>
          <cell r="W3">
            <v>21</v>
          </cell>
        </row>
      </sheetData>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comments" Target="../comments10.xml"/><Relationship Id="rId2" Type="http://schemas.openxmlformats.org/officeDocument/2006/relationships/vmlDrawing" Target="../drawings/vmlDrawing3.vml"/>
</Relationships>
</file>

<file path=xl/worksheets/_rels/sheet13.xml.rels><?xml version="1.0" encoding="UTF-8"?>
<Relationships xmlns="http://schemas.openxmlformats.org/package/2006/relationships"><Relationship Id="rId1" Type="http://schemas.openxmlformats.org/officeDocument/2006/relationships/comments" Target="../comments13.xml"/><Relationship Id="rId2" Type="http://schemas.openxmlformats.org/officeDocument/2006/relationships/vmlDrawing" Target="../drawings/vmlDrawing4.vml"/>
</Relationships>
</file>

<file path=xl/worksheets/_rels/sheet15.xml.rels><?xml version="1.0" encoding="UTF-8"?>
<Relationships xmlns="http://schemas.openxmlformats.org/package/2006/relationships"><Relationship Id="rId1" Type="http://schemas.openxmlformats.org/officeDocument/2006/relationships/comments" Target="../comments15.xml"/><Relationship Id="rId2" Type="http://schemas.openxmlformats.org/officeDocument/2006/relationships/vmlDrawing" Target="../drawings/vmlDrawing5.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1.xml"/><Relationship Id="rId3" Type="http://schemas.openxmlformats.org/officeDocument/2006/relationships/vmlDrawing" Target="../drawings/vmlDrawing1.vml"/><Relationship Id="rId4" Type="http://schemas.openxmlformats.org/officeDocument/2006/relationships/ctrlProp" Target="../ctrlProps/ctrlProps2.xml"/><Relationship Id="rId5" Type="http://schemas.openxmlformats.org/officeDocument/2006/relationships/ctrlProp" Target="../ctrlProps/ctrlProps3.x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4.xml"/><Relationship Id="rId3"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customHeight="true"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22" activeCellId="0" sqref="D22:X22"/>
    </sheetView>
  </sheetViews>
  <sheetFormatPr defaultColWidth="9.28125" defaultRowHeight="12.6" customHeight="true" zeroHeight="false" outlineLevelRow="0" outlineLevelCol="0"/>
  <cols>
    <col collapsed="false" customWidth="true" hidden="false" outlineLevel="0" max="1" min="1" style="1" width="22.99"/>
    <col collapsed="false" customWidth="true" hidden="false" outlineLevel="0" max="2" min="2" style="1" width="2.13"/>
    <col collapsed="false" customWidth="true" hidden="false" outlineLevel="0" max="3" min="3" style="1" width="3.99"/>
    <col collapsed="false" customWidth="false" hidden="false" outlineLevel="0" max="28" min="4" style="1" width="9.28"/>
    <col collapsed="false" customWidth="false" hidden="false" outlineLevel="0" max="29" min="29" style="385" width="9.28"/>
    <col collapsed="false" customWidth="false" hidden="false" outlineLevel="0" max="30" min="30" style="759" width="9.28"/>
    <col collapsed="false" customWidth="false" hidden="false" outlineLevel="0" max="257" min="31" style="2" width="9.28"/>
  </cols>
  <sheetData>
    <row r="1" customFormat="false" ht="20.25" hidden="false" customHeight="true" outlineLevel="0" collapsed="false">
      <c r="A1" s="368" t="str">
        <f aca="false">'Project Assumptions'!$A$2</f>
        <v>CALEDONIA, Lowndes County, MS</v>
      </c>
      <c r="B1" s="778"/>
      <c r="C1" s="778"/>
      <c r="D1" s="778"/>
      <c r="E1" s="779"/>
    </row>
    <row r="2" customFormat="false" ht="15.6" hidden="false" customHeight="true" outlineLevel="0" collapsed="false">
      <c r="A2" s="371" t="s">
        <v>549</v>
      </c>
      <c r="B2" s="780"/>
      <c r="C2" s="780"/>
      <c r="D2" s="780"/>
      <c r="E2" s="781"/>
    </row>
    <row r="3" customFormat="false" ht="12.6" hidden="false" customHeight="true" outlineLevel="0" collapsed="false">
      <c r="A3" s="496"/>
      <c r="B3" s="5"/>
      <c r="C3" s="450"/>
      <c r="D3" s="450" t="n">
        <v>1</v>
      </c>
      <c r="E3" s="450" t="n">
        <f aca="false">D3+1</f>
        <v>2</v>
      </c>
      <c r="F3" s="450" t="n">
        <f aca="false">E3+1</f>
        <v>3</v>
      </c>
      <c r="G3" s="450" t="n">
        <f aca="false">F3+1</f>
        <v>4</v>
      </c>
      <c r="H3" s="450" t="n">
        <f aca="false">G3+1</f>
        <v>5</v>
      </c>
      <c r="I3" s="329" t="n">
        <f aca="false">H3+1</f>
        <v>6</v>
      </c>
      <c r="J3" s="450" t="n">
        <f aca="false">I3+1</f>
        <v>7</v>
      </c>
      <c r="K3" s="450" t="n">
        <f aca="false">J3+1</f>
        <v>8</v>
      </c>
      <c r="L3" s="450" t="n">
        <f aca="false">K3+1</f>
        <v>9</v>
      </c>
      <c r="M3" s="450" t="n">
        <f aca="false">L3+1</f>
        <v>10</v>
      </c>
      <c r="N3" s="450" t="n">
        <f aca="false">M3+1</f>
        <v>11</v>
      </c>
      <c r="O3" s="329" t="n">
        <f aca="false">N3+1</f>
        <v>12</v>
      </c>
      <c r="P3" s="450" t="n">
        <f aca="false">O3+1</f>
        <v>13</v>
      </c>
      <c r="Q3" s="450" t="n">
        <f aca="false">P3+1</f>
        <v>14</v>
      </c>
      <c r="R3" s="450" t="n">
        <f aca="false">Q3+1</f>
        <v>15</v>
      </c>
      <c r="S3" s="450" t="n">
        <f aca="false">R3+1</f>
        <v>16</v>
      </c>
      <c r="T3" s="450" t="n">
        <f aca="false">S3+1</f>
        <v>17</v>
      </c>
      <c r="U3" s="329" t="n">
        <f aca="false">T3+1</f>
        <v>18</v>
      </c>
      <c r="V3" s="450" t="n">
        <f aca="false">U3+1</f>
        <v>19</v>
      </c>
      <c r="W3" s="450" t="n">
        <f aca="false">V3+1</f>
        <v>20</v>
      </c>
      <c r="X3" s="450" t="n">
        <f aca="false">W3+1</f>
        <v>21</v>
      </c>
      <c r="Y3" s="450" t="n">
        <f aca="false">X3+1</f>
        <v>22</v>
      </c>
      <c r="Z3" s="450" t="n">
        <f aca="false">Y3+1</f>
        <v>23</v>
      </c>
      <c r="AA3" s="329" t="n">
        <f aca="false">Z3+1</f>
        <v>24</v>
      </c>
      <c r="AB3" s="450" t="n">
        <f aca="false">AA3+1</f>
        <v>25</v>
      </c>
      <c r="AC3" s="782"/>
      <c r="AD3" s="0"/>
      <c r="AE3" s="691"/>
      <c r="AF3" s="691"/>
      <c r="AG3" s="691"/>
      <c r="AH3" s="691"/>
      <c r="AI3" s="691"/>
      <c r="AJ3" s="691"/>
      <c r="AK3" s="691"/>
      <c r="AL3" s="691"/>
      <c r="AM3" s="691"/>
      <c r="AN3" s="691"/>
      <c r="AO3" s="691"/>
      <c r="AP3" s="691"/>
      <c r="AQ3" s="691"/>
      <c r="AR3" s="691"/>
      <c r="AS3" s="691"/>
      <c r="AT3" s="691"/>
      <c r="AU3" s="691"/>
      <c r="AV3" s="691"/>
      <c r="AW3" s="691"/>
      <c r="AX3" s="691"/>
      <c r="AY3" s="691"/>
      <c r="AZ3" s="691"/>
      <c r="BA3" s="691"/>
      <c r="BB3" s="691"/>
      <c r="BC3" s="691"/>
      <c r="BD3" s="691"/>
      <c r="BE3" s="691"/>
      <c r="BF3" s="691"/>
      <c r="BG3" s="691"/>
      <c r="BH3" s="691"/>
      <c r="BI3" s="691"/>
      <c r="BJ3" s="691"/>
      <c r="BK3" s="691"/>
      <c r="BL3" s="691"/>
      <c r="BM3" s="691"/>
      <c r="BN3" s="691"/>
      <c r="BO3" s="691"/>
      <c r="BP3" s="691"/>
      <c r="BQ3" s="691"/>
      <c r="BR3" s="691"/>
      <c r="BS3" s="691"/>
      <c r="BT3" s="691"/>
      <c r="BU3" s="691"/>
      <c r="BV3" s="691"/>
      <c r="BW3" s="691"/>
      <c r="BX3" s="691"/>
      <c r="BY3" s="691"/>
      <c r="BZ3" s="691"/>
      <c r="CA3" s="691"/>
      <c r="CB3" s="691"/>
      <c r="CC3" s="691"/>
      <c r="CD3" s="691"/>
      <c r="CE3" s="691"/>
      <c r="CF3" s="691"/>
      <c r="CG3" s="691"/>
      <c r="CH3" s="691"/>
      <c r="CI3" s="691"/>
      <c r="CJ3" s="691"/>
      <c r="CK3" s="691"/>
      <c r="CL3" s="691"/>
      <c r="CM3" s="691"/>
      <c r="CN3" s="691"/>
      <c r="CO3" s="691"/>
      <c r="CP3" s="691"/>
      <c r="CQ3" s="691"/>
      <c r="CR3" s="691"/>
      <c r="CS3" s="691"/>
      <c r="CT3" s="691"/>
      <c r="CU3" s="691"/>
      <c r="CV3" s="691"/>
      <c r="CW3" s="691"/>
      <c r="CX3" s="691"/>
      <c r="CY3" s="691"/>
      <c r="CZ3" s="691"/>
      <c r="DA3" s="691"/>
      <c r="DB3" s="691"/>
      <c r="DC3" s="691"/>
      <c r="DD3" s="691"/>
      <c r="DE3" s="691"/>
      <c r="DF3" s="691"/>
      <c r="DG3" s="691"/>
      <c r="DH3" s="691"/>
      <c r="DI3" s="691"/>
      <c r="DJ3" s="691"/>
      <c r="DK3" s="691"/>
      <c r="DL3" s="691"/>
      <c r="DM3" s="691"/>
      <c r="DN3" s="691"/>
      <c r="DO3" s="691"/>
      <c r="DP3" s="691"/>
      <c r="DQ3" s="691"/>
      <c r="DR3" s="691"/>
      <c r="DS3" s="691"/>
      <c r="DT3" s="691"/>
      <c r="DU3" s="691"/>
      <c r="DV3" s="691"/>
      <c r="DW3" s="691"/>
      <c r="DX3" s="691"/>
      <c r="DY3" s="691"/>
      <c r="DZ3" s="691"/>
      <c r="EA3" s="691"/>
      <c r="EB3" s="691"/>
      <c r="EC3" s="691"/>
      <c r="ED3" s="691"/>
      <c r="EE3" s="691"/>
      <c r="EF3" s="691"/>
      <c r="EG3" s="691"/>
      <c r="EH3" s="691"/>
      <c r="EI3" s="691"/>
      <c r="EJ3" s="691"/>
      <c r="EK3" s="691"/>
      <c r="EL3" s="691"/>
      <c r="EM3" s="691"/>
      <c r="EN3" s="691"/>
      <c r="EO3" s="691"/>
      <c r="EP3" s="691"/>
      <c r="EQ3" s="691"/>
      <c r="ER3" s="691"/>
      <c r="ES3" s="691"/>
      <c r="ET3" s="691"/>
      <c r="EU3" s="691"/>
      <c r="EV3" s="691"/>
      <c r="EW3" s="691"/>
      <c r="EX3" s="691"/>
      <c r="EY3" s="691"/>
      <c r="EZ3" s="691"/>
      <c r="FA3" s="691"/>
      <c r="FB3" s="691"/>
      <c r="FC3" s="691"/>
      <c r="FD3" s="691"/>
      <c r="FE3" s="691"/>
      <c r="FF3" s="691"/>
      <c r="FG3" s="691"/>
      <c r="FH3" s="691"/>
      <c r="FI3" s="691"/>
      <c r="FJ3" s="691"/>
      <c r="FK3" s="691"/>
      <c r="FL3" s="691"/>
      <c r="FM3" s="691"/>
      <c r="FN3" s="691"/>
      <c r="FO3" s="691"/>
      <c r="FP3" s="691"/>
      <c r="FQ3" s="691"/>
      <c r="FR3" s="691"/>
      <c r="FS3" s="691"/>
      <c r="FT3" s="691"/>
      <c r="FU3" s="691"/>
      <c r="FV3" s="691"/>
      <c r="FW3" s="691"/>
      <c r="FX3" s="691"/>
      <c r="FY3" s="691"/>
      <c r="FZ3" s="691"/>
      <c r="GA3" s="691"/>
      <c r="GB3" s="691"/>
      <c r="GC3" s="691"/>
      <c r="GD3" s="691"/>
      <c r="GE3" s="691"/>
      <c r="GF3" s="691"/>
      <c r="GG3" s="691"/>
      <c r="GH3" s="691"/>
      <c r="GI3" s="691"/>
      <c r="GJ3" s="691"/>
      <c r="GK3" s="691"/>
      <c r="GL3" s="691"/>
      <c r="GM3" s="691"/>
      <c r="GN3" s="691"/>
      <c r="GO3" s="691"/>
      <c r="GP3" s="691"/>
      <c r="GQ3" s="691"/>
      <c r="GR3" s="691"/>
      <c r="GS3" s="691"/>
      <c r="GT3" s="691"/>
      <c r="GU3" s="691"/>
      <c r="GV3" s="691"/>
      <c r="GW3" s="691"/>
      <c r="GX3" s="691"/>
      <c r="GY3" s="691"/>
      <c r="GZ3" s="691"/>
      <c r="HA3" s="691"/>
      <c r="HB3" s="691"/>
      <c r="HC3" s="691"/>
      <c r="HD3" s="691"/>
      <c r="HE3" s="691"/>
      <c r="HF3" s="691"/>
      <c r="HG3" s="691"/>
      <c r="HH3" s="691"/>
      <c r="HI3" s="691"/>
      <c r="HJ3" s="691"/>
      <c r="HK3" s="691"/>
      <c r="HL3" s="691"/>
      <c r="HM3" s="691"/>
      <c r="HN3" s="691"/>
      <c r="HO3" s="691"/>
      <c r="HP3" s="691"/>
      <c r="HQ3" s="691"/>
      <c r="HR3" s="691"/>
      <c r="HS3" s="691"/>
      <c r="HT3" s="691"/>
      <c r="HU3" s="691"/>
      <c r="HV3" s="691"/>
      <c r="HW3" s="691"/>
      <c r="HX3" s="691"/>
      <c r="HY3" s="691"/>
      <c r="HZ3" s="691"/>
      <c r="IA3" s="691"/>
      <c r="IB3" s="691"/>
      <c r="IC3" s="691"/>
      <c r="ID3" s="691"/>
      <c r="IE3" s="691"/>
      <c r="IF3" s="691"/>
      <c r="IG3" s="691"/>
      <c r="IH3" s="691"/>
      <c r="II3" s="691"/>
      <c r="IJ3" s="691"/>
      <c r="IK3" s="691"/>
      <c r="IL3" s="691"/>
      <c r="IM3" s="691"/>
      <c r="IN3" s="691"/>
      <c r="IO3" s="691"/>
      <c r="IP3" s="691"/>
      <c r="IQ3" s="691"/>
      <c r="IR3" s="691"/>
      <c r="IS3" s="691"/>
      <c r="IT3" s="691"/>
      <c r="IU3" s="691"/>
      <c r="IV3" s="691"/>
      <c r="IW3" s="691"/>
    </row>
    <row r="4" customFormat="false" ht="12.6" hidden="false" customHeight="true" outlineLevel="0" collapsed="false">
      <c r="A4" s="499"/>
      <c r="B4" s="500"/>
      <c r="C4" s="501"/>
      <c r="D4" s="381" t="n">
        <f aca="false">YEAR('Project Assumptions'!I17)</f>
        <v>1999</v>
      </c>
      <c r="E4" s="381" t="n">
        <f aca="false">D4+1</f>
        <v>2000</v>
      </c>
      <c r="F4" s="381" t="n">
        <f aca="false">E4+1</f>
        <v>2001</v>
      </c>
      <c r="G4" s="381" t="n">
        <f aca="false">F4+1</f>
        <v>2002</v>
      </c>
      <c r="H4" s="381" t="n">
        <f aca="false">G4+1</f>
        <v>2003</v>
      </c>
      <c r="I4" s="381" t="n">
        <f aca="false">H4+1</f>
        <v>2004</v>
      </c>
      <c r="J4" s="381" t="n">
        <f aca="false">I4+1</f>
        <v>2005</v>
      </c>
      <c r="K4" s="381" t="n">
        <f aca="false">J4+1</f>
        <v>2006</v>
      </c>
      <c r="L4" s="381" t="n">
        <f aca="false">K4+1</f>
        <v>2007</v>
      </c>
      <c r="M4" s="381" t="n">
        <f aca="false">L4+1</f>
        <v>2008</v>
      </c>
      <c r="N4" s="381" t="n">
        <f aca="false">M4+1</f>
        <v>2009</v>
      </c>
      <c r="O4" s="381" t="n">
        <f aca="false">N4+1</f>
        <v>2010</v>
      </c>
      <c r="P4" s="381" t="n">
        <f aca="false">O4+1</f>
        <v>2011</v>
      </c>
      <c r="Q4" s="381" t="n">
        <f aca="false">P4+1</f>
        <v>2012</v>
      </c>
      <c r="R4" s="381" t="n">
        <f aca="false">Q4+1</f>
        <v>2013</v>
      </c>
      <c r="S4" s="381" t="n">
        <f aca="false">R4+1</f>
        <v>2014</v>
      </c>
      <c r="T4" s="381" t="n">
        <f aca="false">S4+1</f>
        <v>2015</v>
      </c>
      <c r="U4" s="381" t="n">
        <f aca="false">T4+1</f>
        <v>2016</v>
      </c>
      <c r="V4" s="381" t="n">
        <f aca="false">U4+1</f>
        <v>2017</v>
      </c>
      <c r="W4" s="381" t="n">
        <f aca="false">V4+1</f>
        <v>2018</v>
      </c>
      <c r="X4" s="381" t="n">
        <f aca="false">W4+1</f>
        <v>2019</v>
      </c>
      <c r="Y4" s="381" t="n">
        <f aca="false">X4+1</f>
        <v>2020</v>
      </c>
      <c r="Z4" s="381" t="n">
        <f aca="false">Y4+1</f>
        <v>2021</v>
      </c>
      <c r="AA4" s="381" t="n">
        <f aca="false">Z4+1</f>
        <v>2022</v>
      </c>
      <c r="AB4" s="382" t="n">
        <f aca="false">AA4+1</f>
        <v>2023</v>
      </c>
      <c r="AC4" s="383"/>
      <c r="AD4" s="0"/>
      <c r="AE4" s="503"/>
      <c r="AF4" s="503"/>
      <c r="AG4" s="503"/>
      <c r="AH4" s="503"/>
      <c r="AI4" s="503"/>
      <c r="AJ4" s="503"/>
      <c r="AK4" s="503"/>
      <c r="AL4" s="503"/>
      <c r="AM4" s="503"/>
      <c r="AN4" s="503"/>
      <c r="AO4" s="503"/>
      <c r="AP4" s="503"/>
      <c r="AQ4" s="503"/>
      <c r="AR4" s="503"/>
      <c r="AS4" s="503"/>
      <c r="AT4" s="503"/>
      <c r="AU4" s="503"/>
      <c r="AV4" s="503"/>
      <c r="AW4" s="503"/>
      <c r="AX4" s="503"/>
      <c r="AY4" s="503"/>
      <c r="AZ4" s="503"/>
      <c r="BA4" s="691"/>
      <c r="BB4" s="691"/>
      <c r="BC4" s="691"/>
      <c r="BD4" s="691"/>
      <c r="BE4" s="691"/>
      <c r="BF4" s="691"/>
      <c r="BG4" s="691"/>
      <c r="BH4" s="691"/>
      <c r="BI4" s="691"/>
      <c r="BJ4" s="691"/>
      <c r="BK4" s="691"/>
      <c r="BL4" s="691"/>
      <c r="BM4" s="691"/>
      <c r="BN4" s="691"/>
      <c r="BO4" s="691"/>
      <c r="BP4" s="691"/>
      <c r="BQ4" s="691"/>
      <c r="BR4" s="691"/>
      <c r="BS4" s="691"/>
      <c r="BT4" s="691"/>
      <c r="BU4" s="691"/>
      <c r="BV4" s="691"/>
      <c r="BW4" s="691"/>
      <c r="BX4" s="691"/>
      <c r="BY4" s="691"/>
      <c r="BZ4" s="691"/>
      <c r="CA4" s="691"/>
      <c r="CB4" s="691"/>
      <c r="CC4" s="691"/>
      <c r="CD4" s="691"/>
      <c r="CE4" s="691"/>
      <c r="CF4" s="691"/>
      <c r="CG4" s="691"/>
      <c r="CH4" s="691"/>
      <c r="CI4" s="691"/>
      <c r="CJ4" s="691"/>
      <c r="CK4" s="691"/>
      <c r="CL4" s="691"/>
      <c r="CM4" s="691"/>
      <c r="CN4" s="691"/>
      <c r="CO4" s="691"/>
      <c r="CP4" s="691"/>
      <c r="CQ4" s="691"/>
      <c r="CR4" s="691"/>
      <c r="CS4" s="691"/>
      <c r="CT4" s="691"/>
      <c r="CU4" s="691"/>
      <c r="CV4" s="691"/>
      <c r="CW4" s="691"/>
      <c r="CX4" s="691"/>
      <c r="CY4" s="691"/>
      <c r="CZ4" s="691"/>
      <c r="DA4" s="691"/>
      <c r="DB4" s="691"/>
      <c r="DC4" s="691"/>
      <c r="DD4" s="691"/>
      <c r="DE4" s="691"/>
      <c r="DF4" s="691"/>
      <c r="DG4" s="691"/>
      <c r="DH4" s="691"/>
      <c r="DI4" s="691"/>
      <c r="DJ4" s="691"/>
      <c r="DK4" s="691"/>
      <c r="DL4" s="691"/>
      <c r="DM4" s="691"/>
      <c r="DN4" s="691"/>
      <c r="DO4" s="691"/>
      <c r="DP4" s="691"/>
      <c r="DQ4" s="691"/>
      <c r="DR4" s="691"/>
      <c r="DS4" s="691"/>
      <c r="DT4" s="691"/>
      <c r="DU4" s="691"/>
      <c r="DV4" s="691"/>
      <c r="DW4" s="691"/>
      <c r="DX4" s="691"/>
      <c r="DY4" s="691"/>
      <c r="DZ4" s="691"/>
      <c r="EA4" s="691"/>
      <c r="EB4" s="691"/>
      <c r="EC4" s="691"/>
      <c r="ED4" s="691"/>
      <c r="EE4" s="691"/>
      <c r="EF4" s="691"/>
      <c r="EG4" s="691"/>
      <c r="EH4" s="691"/>
      <c r="EI4" s="691"/>
      <c r="EJ4" s="691"/>
      <c r="EK4" s="691"/>
      <c r="EL4" s="691"/>
      <c r="EM4" s="691"/>
      <c r="EN4" s="691"/>
      <c r="EO4" s="691"/>
      <c r="EP4" s="691"/>
      <c r="EQ4" s="691"/>
      <c r="ER4" s="691"/>
      <c r="ES4" s="691"/>
      <c r="ET4" s="691"/>
      <c r="EU4" s="691"/>
      <c r="EV4" s="691"/>
      <c r="EW4" s="691"/>
      <c r="EX4" s="691"/>
      <c r="EY4" s="691"/>
      <c r="EZ4" s="691"/>
      <c r="FA4" s="691"/>
      <c r="FB4" s="691"/>
      <c r="FC4" s="691"/>
      <c r="FD4" s="691"/>
      <c r="FE4" s="691"/>
      <c r="FF4" s="691"/>
      <c r="FG4" s="691"/>
      <c r="FH4" s="691"/>
      <c r="FI4" s="691"/>
      <c r="FJ4" s="691"/>
      <c r="FK4" s="691"/>
      <c r="FL4" s="691"/>
      <c r="FM4" s="691"/>
      <c r="FN4" s="691"/>
      <c r="FO4" s="691"/>
      <c r="FP4" s="691"/>
      <c r="FQ4" s="691"/>
      <c r="FR4" s="691"/>
      <c r="FS4" s="691"/>
      <c r="FT4" s="691"/>
      <c r="FU4" s="691"/>
      <c r="FV4" s="691"/>
      <c r="FW4" s="691"/>
      <c r="FX4" s="691"/>
      <c r="FY4" s="691"/>
      <c r="FZ4" s="691"/>
      <c r="GA4" s="691"/>
      <c r="GB4" s="691"/>
      <c r="GC4" s="691"/>
      <c r="GD4" s="691"/>
      <c r="GE4" s="691"/>
      <c r="GF4" s="691"/>
      <c r="GG4" s="691"/>
      <c r="GH4" s="691"/>
      <c r="GI4" s="691"/>
      <c r="GJ4" s="691"/>
      <c r="GK4" s="691"/>
      <c r="GL4" s="691"/>
      <c r="GM4" s="691"/>
      <c r="GN4" s="691"/>
      <c r="GO4" s="691"/>
      <c r="GP4" s="691"/>
      <c r="GQ4" s="691"/>
      <c r="GR4" s="691"/>
      <c r="GS4" s="691"/>
      <c r="GT4" s="691"/>
      <c r="GU4" s="691"/>
      <c r="GV4" s="691"/>
      <c r="GW4" s="691"/>
      <c r="GX4" s="691"/>
      <c r="GY4" s="691"/>
      <c r="GZ4" s="691"/>
      <c r="HA4" s="691"/>
      <c r="HB4" s="691"/>
      <c r="HC4" s="691"/>
      <c r="HD4" s="691"/>
      <c r="HE4" s="691"/>
      <c r="HF4" s="691"/>
      <c r="HG4" s="691"/>
      <c r="HH4" s="691"/>
      <c r="HI4" s="691"/>
      <c r="HJ4" s="691"/>
      <c r="HK4" s="691"/>
      <c r="HL4" s="691"/>
      <c r="HM4" s="691"/>
      <c r="HN4" s="691"/>
      <c r="HO4" s="691"/>
      <c r="HP4" s="691"/>
      <c r="HQ4" s="691"/>
      <c r="HR4" s="691"/>
      <c r="HS4" s="691"/>
      <c r="HT4" s="691"/>
      <c r="HU4" s="691"/>
      <c r="HV4" s="691"/>
      <c r="HW4" s="691"/>
      <c r="HX4" s="691"/>
      <c r="HY4" s="691"/>
      <c r="HZ4" s="691"/>
      <c r="IA4" s="691"/>
      <c r="IB4" s="691"/>
      <c r="IC4" s="691"/>
      <c r="ID4" s="691"/>
      <c r="IE4" s="691"/>
      <c r="IF4" s="691"/>
      <c r="IG4" s="691"/>
      <c r="IH4" s="691"/>
      <c r="II4" s="691"/>
      <c r="IJ4" s="691"/>
      <c r="IK4" s="691"/>
      <c r="IL4" s="691"/>
      <c r="IM4" s="691"/>
      <c r="IN4" s="691"/>
      <c r="IO4" s="691"/>
      <c r="IP4" s="691"/>
      <c r="IQ4" s="691"/>
      <c r="IR4" s="691"/>
      <c r="IS4" s="691"/>
      <c r="IT4" s="691"/>
      <c r="IU4" s="691"/>
      <c r="IV4" s="691"/>
      <c r="IW4" s="691"/>
    </row>
    <row r="5" customFormat="false" ht="12.6" hidden="false" customHeight="true" outlineLevel="0" collapsed="false">
      <c r="A5" s="412"/>
      <c r="B5" s="385"/>
      <c r="C5" s="783"/>
      <c r="D5" s="783"/>
      <c r="E5" s="783"/>
      <c r="F5" s="783"/>
      <c r="G5" s="783"/>
      <c r="H5" s="783"/>
      <c r="I5" s="783"/>
      <c r="J5" s="783"/>
      <c r="K5" s="783"/>
      <c r="L5" s="783"/>
      <c r="M5" s="783"/>
      <c r="N5" s="783"/>
      <c r="O5" s="783"/>
      <c r="P5" s="783"/>
      <c r="Q5" s="783"/>
      <c r="R5" s="783"/>
      <c r="S5" s="783"/>
      <c r="T5" s="783"/>
      <c r="U5" s="783"/>
      <c r="V5" s="783"/>
      <c r="W5" s="783"/>
      <c r="X5" s="783"/>
      <c r="Y5" s="783"/>
      <c r="Z5" s="783"/>
      <c r="AA5" s="783"/>
      <c r="AB5" s="784"/>
      <c r="AC5" s="783"/>
      <c r="AD5" s="785"/>
      <c r="AI5" s="786"/>
      <c r="AM5" s="786"/>
      <c r="AX5" s="786"/>
      <c r="BB5" s="786"/>
    </row>
    <row r="6" customFormat="false" ht="12.6" hidden="false" customHeight="true" outlineLevel="0" collapsed="false">
      <c r="A6" s="787" t="s">
        <v>550</v>
      </c>
      <c r="B6" s="385"/>
      <c r="C6" s="788" t="n">
        <f aca="false">SUM(D6:AD6)</f>
        <v>422638.019621262</v>
      </c>
      <c r="D6" s="762" t="n">
        <f aca="false">IF(D3&gt;'Project Assumptions'!$I$16,0,'Book Income Statement'!D69)</f>
        <v>-3124.19495534436</v>
      </c>
      <c r="E6" s="762" t="n">
        <f aca="false">IF(E3&gt;'Project Assumptions'!$I$16,0,'Book Income Statement'!E69)</f>
        <v>5454.8448235857</v>
      </c>
      <c r="F6" s="762" t="n">
        <f aca="false">IF(F3&gt;'Project Assumptions'!$I$16,0,'Book Income Statement'!F69)</f>
        <v>5980.49699906176</v>
      </c>
      <c r="G6" s="762" t="n">
        <f aca="false">IF(G3&gt;'Project Assumptions'!$I$16,0,'Book Income Statement'!G69)</f>
        <v>6385.41455898719</v>
      </c>
      <c r="H6" s="762" t="n">
        <f aca="false">IF(H3&gt;'Project Assumptions'!$I$16,0,'Book Income Statement'!H69)</f>
        <v>12664.4646715886</v>
      </c>
      <c r="I6" s="762" t="n">
        <f aca="false">IF(I3&gt;'Project Assumptions'!$I$16,0,'Book Income Statement'!I69)</f>
        <v>17719.0321535978</v>
      </c>
      <c r="J6" s="762" t="n">
        <f aca="false">IF(J3&gt;'Project Assumptions'!$I$16,0,'Book Income Statement'!J69)</f>
        <v>18758.5697579623</v>
      </c>
      <c r="K6" s="762" t="n">
        <f aca="false">IF(K3&gt;'Project Assumptions'!$I$16,0,'Book Income Statement'!K69)</f>
        <v>19494.6958522829</v>
      </c>
      <c r="L6" s="762" t="n">
        <f aca="false">IF(L3&gt;'Project Assumptions'!$I$16,0,'Book Income Statement'!L69)</f>
        <v>20860.1142942261</v>
      </c>
      <c r="M6" s="762" t="n">
        <f aca="false">IF(M3&gt;'Project Assumptions'!$I$16,0,'Book Income Statement'!M69)</f>
        <v>21859.6474098526</v>
      </c>
      <c r="N6" s="762" t="n">
        <f aca="false">IF(N3&gt;'Project Assumptions'!$I$16,0,'Book Income Statement'!N69)</f>
        <v>23716.2085975934</v>
      </c>
      <c r="O6" s="762" t="n">
        <f aca="false">IF(O3&gt;'Project Assumptions'!$I$16,0,'Book Income Statement'!O69)</f>
        <v>23433.7217567078</v>
      </c>
      <c r="P6" s="762" t="n">
        <f aca="false">IF(P3&gt;'Project Assumptions'!$I$16,0,'Book Income Statement'!P69)</f>
        <v>24781.0060643353</v>
      </c>
      <c r="Q6" s="762" t="n">
        <f aca="false">IF(Q3&gt;'Project Assumptions'!$I$16,0,'Book Income Statement'!Q69)</f>
        <v>25434.4856833054</v>
      </c>
      <c r="R6" s="762" t="n">
        <f aca="false">IF(R3&gt;'Project Assumptions'!$I$16,0,'Book Income Statement'!R69)</f>
        <v>26074.4900180599</v>
      </c>
      <c r="S6" s="762" t="n">
        <f aca="false">IF(S3&gt;'Project Assumptions'!$I$16,0,'Book Income Statement'!S69)</f>
        <v>26699.9481621037</v>
      </c>
      <c r="T6" s="762" t="n">
        <f aca="false">IF(T3&gt;'Project Assumptions'!$I$16,0,'Book Income Statement'!T69)</f>
        <v>27343.4357637991</v>
      </c>
      <c r="U6" s="762" t="n">
        <f aca="false">IF(U3&gt;'Project Assumptions'!$I$16,0,'Book Income Statement'!U69)</f>
        <v>28247.7659088554</v>
      </c>
      <c r="V6" s="762" t="n">
        <f aca="false">IF(V3&gt;'Project Assumptions'!$I$16,0,'Book Income Statement'!V69)</f>
        <v>29238.351545871</v>
      </c>
      <c r="W6" s="762" t="n">
        <f aca="false">IF(W3&gt;'Project Assumptions'!$I$16,0,'Book Income Statement'!W69)</f>
        <v>30264.9718499694</v>
      </c>
      <c r="X6" s="762" t="n">
        <f aca="false">IF(X3&gt;'Project Assumptions'!$I$16+1,0,'Book Income Statement'!X69)</f>
        <v>31350.5487048607</v>
      </c>
      <c r="Y6" s="762" t="n">
        <f aca="false">IF(Y3&gt;'Project Assumptions'!$I$16,0,'Book Income Statement'!Y69)</f>
        <v>0</v>
      </c>
      <c r="Z6" s="762" t="n">
        <f aca="false">IF(Z3&gt;'Project Assumptions'!$I$16,0,'Book Income Statement'!Z69)</f>
        <v>0</v>
      </c>
      <c r="AA6" s="762" t="n">
        <f aca="false">IF(AA3&gt;'Project Assumptions'!$I$16,0,'Book Income Statement'!AA69)</f>
        <v>0</v>
      </c>
      <c r="AB6" s="763" t="n">
        <f aca="false">IF(AB3&gt;'Project Assumptions'!$I$16,0,'Book Income Statement'!AB69)</f>
        <v>0</v>
      </c>
      <c r="AC6" s="789"/>
      <c r="AD6" s="790"/>
    </row>
    <row r="7" customFormat="false" ht="12.6" hidden="false" customHeight="true" outlineLevel="0" collapsed="false">
      <c r="A7" s="791" t="s">
        <v>551</v>
      </c>
      <c r="B7" s="385"/>
      <c r="C7" s="788" t="n">
        <f aca="false">SUM(D7:AD7)</f>
        <v>97850.7942</v>
      </c>
      <c r="D7" s="792" t="n">
        <f aca="false">IF(D3&gt;'Project Assumptions'!$I$16,0,'Book Income Statement'!D63)</f>
        <v>2151.86013333333</v>
      </c>
      <c r="E7" s="792" t="n">
        <f aca="false">IF(E3&gt;'Project Assumptions'!$I$16,0,'Book Income Statement'!E63)</f>
        <v>5201.96432</v>
      </c>
      <c r="F7" s="792" t="n">
        <f aca="false">IF(F3&gt;'Project Assumptions'!$I$16,0,'Book Income Statement'!F63)</f>
        <v>5254.46432</v>
      </c>
      <c r="G7" s="792" t="n">
        <f aca="false">IF(G3&gt;'Project Assumptions'!$I$16,0,'Book Income Statement'!G63)</f>
        <v>5254.46432</v>
      </c>
      <c r="H7" s="792" t="n">
        <f aca="false">IF(H3&gt;'Project Assumptions'!$I$16,0,'Book Income Statement'!H63)</f>
        <v>5254.46432</v>
      </c>
      <c r="I7" s="792" t="n">
        <f aca="false">IF(I3&gt;'Project Assumptions'!$I$16,0,'Book Income Statement'!I63)</f>
        <v>5002.78982</v>
      </c>
      <c r="J7" s="792" t="n">
        <f aca="false">IF(J3&gt;'Project Assumptions'!$I$16,0,'Book Income Statement'!J63)</f>
        <v>4650.44552</v>
      </c>
      <c r="K7" s="792" t="n">
        <f aca="false">IF(K3&gt;'Project Assumptions'!$I$16,0,'Book Income Statement'!K63)</f>
        <v>4650.44552</v>
      </c>
      <c r="L7" s="792" t="n">
        <f aca="false">IF(L3&gt;'Project Assumptions'!$I$16,0,'Book Income Statement'!L63)</f>
        <v>4650.44552</v>
      </c>
      <c r="M7" s="792" t="n">
        <f aca="false">IF(M3&gt;'Project Assumptions'!$I$16,0,'Book Income Statement'!M63)</f>
        <v>4650.44552</v>
      </c>
      <c r="N7" s="792" t="n">
        <f aca="false">IF(N3&gt;'Project Assumptions'!$I$16,0,'Book Income Statement'!N63)</f>
        <v>4650.44552</v>
      </c>
      <c r="O7" s="792" t="n">
        <f aca="false">IF(O3&gt;'Project Assumptions'!$I$16,0,'Book Income Statement'!O63)</f>
        <v>4650.44552</v>
      </c>
      <c r="P7" s="792" t="n">
        <f aca="false">IF(P3&gt;'Project Assumptions'!$I$16,0,'Book Income Statement'!P63)</f>
        <v>4650.44552</v>
      </c>
      <c r="Q7" s="792" t="n">
        <f aca="false">IF(Q3&gt;'Project Assumptions'!$I$16,0,'Book Income Statement'!Q63)</f>
        <v>4650.44552</v>
      </c>
      <c r="R7" s="792" t="n">
        <f aca="false">IF(R3&gt;'Project Assumptions'!$I$16,0,'Book Income Statement'!R63)</f>
        <v>4650.44552</v>
      </c>
      <c r="S7" s="792" t="n">
        <f aca="false">IF(S3&gt;'Project Assumptions'!$I$16,0,'Book Income Statement'!S63)</f>
        <v>4650.44552</v>
      </c>
      <c r="T7" s="792" t="n">
        <f aca="false">IF(T3&gt;'Project Assumptions'!$I$16,0,'Book Income Statement'!T63)</f>
        <v>4650.44552</v>
      </c>
      <c r="U7" s="792" t="n">
        <f aca="false">IF(U3&gt;'Project Assumptions'!$I$16,0,'Book Income Statement'!U63)</f>
        <v>4650.44552</v>
      </c>
      <c r="V7" s="792" t="n">
        <f aca="false">IF(V3&gt;'Project Assumptions'!$I$16,0,'Book Income Statement'!V63)</f>
        <v>4650.44552</v>
      </c>
      <c r="W7" s="792" t="n">
        <f aca="false">IF(W3&gt;'Project Assumptions'!$I$16,0,'Book Income Statement'!W63)</f>
        <v>4650.44552</v>
      </c>
      <c r="X7" s="792" t="n">
        <f aca="false">IF(X3&gt;'Project Assumptions'!$I$16+1,0,'Book Income Statement'!X63)</f>
        <v>4624.54968666667</v>
      </c>
      <c r="Y7" s="792" t="n">
        <f aca="false">IF(Y3&gt;'Project Assumptions'!$I$16,0,'Book Income Statement'!Y63)</f>
        <v>0</v>
      </c>
      <c r="Z7" s="792" t="n">
        <f aca="false">IF(Z3&gt;'Project Assumptions'!$I$16,0,'Book Income Statement'!Z63)</f>
        <v>0</v>
      </c>
      <c r="AA7" s="792" t="n">
        <f aca="false">IF(AA3&gt;'Project Assumptions'!$I$16,0,'Book Income Statement'!AA63)</f>
        <v>0</v>
      </c>
      <c r="AB7" s="793" t="n">
        <f aca="false">IF(AB3&gt;'Project Assumptions'!$I$16,0,'Book Income Statement'!AB63)</f>
        <v>0</v>
      </c>
      <c r="AC7" s="789"/>
      <c r="AD7" s="790"/>
      <c r="AF7" s="794"/>
      <c r="AH7" s="794"/>
      <c r="AL7" s="794"/>
      <c r="AU7" s="794"/>
    </row>
    <row r="8" customFormat="false" ht="12.6" hidden="false" customHeight="true" outlineLevel="0" collapsed="false">
      <c r="A8" s="791" t="s">
        <v>552</v>
      </c>
      <c r="B8" s="385"/>
      <c r="C8" s="788"/>
      <c r="D8" s="557" t="n">
        <f aca="false">IF(D3&gt;'Project Assumptions'!$I$16,0,'Book Income Statement'!D53)</f>
        <v>0</v>
      </c>
      <c r="E8" s="557" t="n">
        <f aca="false">IF(E3&gt;'Project Assumptions'!$I$16,0,'Book Income Statement'!E53)</f>
        <v>549.163698374115</v>
      </c>
      <c r="F8" s="557" t="n">
        <f aca="false">IF(F3&gt;'Project Assumptions'!$I$16,0,'Book Income Statement'!F53)</f>
        <v>538.069482245345</v>
      </c>
      <c r="G8" s="557" t="n">
        <f aca="false">IF(G3&gt;'Project Assumptions'!$I$16,0,'Book Income Statement'!G53)</f>
        <v>526.975266116575</v>
      </c>
      <c r="H8" s="557" t="n">
        <f aca="false">IF(H3&gt;'Project Assumptions'!$I$16,0,'Book Income Statement'!H53)</f>
        <v>515.881049987805</v>
      </c>
      <c r="I8" s="557" t="n">
        <f aca="false">IF(I3&gt;'Project Assumptions'!$I$16,0,'Book Income Statement'!I53)</f>
        <v>504.786833859035</v>
      </c>
      <c r="J8" s="557" t="n">
        <f aca="false">IF(J3&gt;'Project Assumptions'!$I$16,0,'Book Income Statement'!J53)</f>
        <v>493.692617730265</v>
      </c>
      <c r="K8" s="557" t="n">
        <f aca="false">IF(K3&gt;'Project Assumptions'!$I$16,0,'Book Income Statement'!K53)</f>
        <v>477.05129353711</v>
      </c>
      <c r="L8" s="557" t="n">
        <f aca="false">IF(L3&gt;'Project Assumptions'!$I$16,0,'Book Income Statement'!L53)</f>
        <v>460.409969343955</v>
      </c>
      <c r="M8" s="557" t="n">
        <f aca="false">IF(M3&gt;'Project Assumptions'!$I$16,0,'Book Income Statement'!M53)</f>
        <v>443.7686451508</v>
      </c>
      <c r="N8" s="557" t="n">
        <f aca="false">IF(N3&gt;'Project Assumptions'!$I$16,0,'Book Income Statement'!N53)</f>
        <v>421.58021289326</v>
      </c>
      <c r="O8" s="557" t="n">
        <f aca="false">IF(O3&gt;'Project Assumptions'!$I$16,0,'Book Income Statement'!O53)</f>
        <v>1198.17534190716</v>
      </c>
      <c r="P8" s="557" t="n">
        <f aca="false">IF(P3&gt;'Project Assumptions'!$I$16,0,'Book Income Statement'!P53)</f>
        <v>1114.96872094139</v>
      </c>
      <c r="Q8" s="557" t="n">
        <f aca="false">IF(Q3&gt;'Project Assumptions'!$I$16,0,'Book Income Statement'!Q53)</f>
        <v>1015.12077578246</v>
      </c>
      <c r="R8" s="557" t="n">
        <f aca="false">IF(R3&gt;'Project Assumptions'!$I$16,0,'Book Income Statement'!R53)</f>
        <v>915.272830623525</v>
      </c>
      <c r="S8" s="557" t="n">
        <f aca="false">IF(S3&gt;'Project Assumptions'!$I$16,0,'Book Income Statement'!S53)</f>
        <v>815.424885464595</v>
      </c>
      <c r="T8" s="557" t="n">
        <f aca="false">IF(T3&gt;'Project Assumptions'!$I$16,0,'Book Income Statement'!T53)</f>
        <v>682.294291919355</v>
      </c>
      <c r="U8" s="557" t="n">
        <f aca="false">IF(U3&gt;'Project Assumptions'!$I$16,0,'Book Income Statement'!U53)</f>
        <v>532.52237418096</v>
      </c>
      <c r="V8" s="557" t="n">
        <f aca="false">IF(V3&gt;'Project Assumptions'!$I$16,0,'Book Income Statement'!V53)</f>
        <v>382.750456442565</v>
      </c>
      <c r="W8" s="557" t="n">
        <f aca="false">IF(W3&gt;'Project Assumptions'!$I$16,0,'Book Income Statement'!W53)</f>
        <v>332.8264838631</v>
      </c>
      <c r="X8" s="557" t="n">
        <f aca="false">IF(X3&gt;'Project Assumptions'!$I$16+1,0,'Book Income Statement'!X53)</f>
        <v>332.8264838631</v>
      </c>
      <c r="Y8" s="557" t="n">
        <f aca="false">IF(Y3&gt;'Project Assumptions'!$I$16,0,'Book Income Statement'!Y53)</f>
        <v>0</v>
      </c>
      <c r="Z8" s="557" t="n">
        <f aca="false">IF(Z3&gt;'Project Assumptions'!$I$16,0,'Book Income Statement'!Z53)</f>
        <v>0</v>
      </c>
      <c r="AA8" s="557" t="n">
        <f aca="false">IF(AA3&gt;'Project Assumptions'!$I$16,0,'Book Income Statement'!AA53)</f>
        <v>0</v>
      </c>
      <c r="AB8" s="795" t="n">
        <f aca="false">IF(AB3&gt;'Project Assumptions'!$I$16,0,'Book Income Statement'!AB53)</f>
        <v>0</v>
      </c>
      <c r="AC8" s="789"/>
      <c r="AD8" s="790"/>
      <c r="AF8" s="794"/>
      <c r="AH8" s="794"/>
      <c r="AL8" s="794"/>
      <c r="AU8" s="794"/>
    </row>
    <row r="9" customFormat="false" ht="12.6" hidden="false" customHeight="true" outlineLevel="0" collapsed="false">
      <c r="A9" s="791" t="s">
        <v>553</v>
      </c>
      <c r="B9" s="385"/>
      <c r="C9" s="788"/>
      <c r="D9" s="557" t="n">
        <f aca="false">IF(D3&gt;'Project Assumptions'!$I$16,0,0)</f>
        <v>0</v>
      </c>
      <c r="E9" s="557" t="n">
        <f aca="false">IF(E3&gt;'Project Assumptions'!$I$16,0,0)</f>
        <v>0</v>
      </c>
      <c r="F9" s="557" t="n">
        <f aca="false">IF(F3&gt;'Project Assumptions'!$I$16,0,Depreciation!E57)</f>
        <v>549.163698374115</v>
      </c>
      <c r="G9" s="557" t="n">
        <f aca="false">IF(G3&gt;'Project Assumptions'!$I$16,0,Depreciation!F57)</f>
        <v>538.069482245345</v>
      </c>
      <c r="H9" s="557" t="n">
        <f aca="false">IF(H3&gt;'Project Assumptions'!$I$16,0,Depreciation!G57)</f>
        <v>526.975266116575</v>
      </c>
      <c r="I9" s="557" t="n">
        <f aca="false">IF(I3&gt;'Project Assumptions'!$I$16,0,Depreciation!H57)</f>
        <v>515.881049987805</v>
      </c>
      <c r="J9" s="557" t="n">
        <f aca="false">IF(J3&gt;'Project Assumptions'!$I$16,0,Depreciation!I57)</f>
        <v>504.786833859035</v>
      </c>
      <c r="K9" s="557" t="n">
        <f aca="false">IF(K3&gt;'Project Assumptions'!$I$16,0,Depreciation!J57)</f>
        <v>493.692617730265</v>
      </c>
      <c r="L9" s="557" t="n">
        <f aca="false">IF(L3&gt;'Project Assumptions'!$I$16,0,Depreciation!K57)</f>
        <v>477.05129353711</v>
      </c>
      <c r="M9" s="557" t="n">
        <f aca="false">IF(M3&gt;'Project Assumptions'!$I$16,0,Depreciation!L57)</f>
        <v>460.409969343955</v>
      </c>
      <c r="N9" s="557" t="n">
        <f aca="false">IF(N3&gt;'Project Assumptions'!$I$16,0,Depreciation!M57)</f>
        <v>443.7686451508</v>
      </c>
      <c r="O9" s="557" t="n">
        <f aca="false">IF(O3&gt;'Project Assumptions'!$I$16,0,Depreciation!N57)</f>
        <v>421.58021289326</v>
      </c>
      <c r="P9" s="557" t="n">
        <f aca="false">IF(P3&gt;'Project Assumptions'!$I$16,0,Depreciation!O57)</f>
        <v>1198.17534190716</v>
      </c>
      <c r="Q9" s="557" t="n">
        <f aca="false">IF(Q3&gt;'Project Assumptions'!$I$16,0,Depreciation!P57)</f>
        <v>1114.96872094139</v>
      </c>
      <c r="R9" s="557" t="n">
        <f aca="false">IF(R3&gt;'Project Assumptions'!$I$16,0,Depreciation!Q57)</f>
        <v>1015.12077578246</v>
      </c>
      <c r="S9" s="557" t="n">
        <f aca="false">IF(S3&gt;'Project Assumptions'!$I$16,0,Depreciation!R57)</f>
        <v>915.272830623525</v>
      </c>
      <c r="T9" s="557" t="n">
        <f aca="false">IF(T3&gt;'Project Assumptions'!$I$16,0,Depreciation!S57)</f>
        <v>815.424885464595</v>
      </c>
      <c r="U9" s="557" t="n">
        <f aca="false">IF(U3&gt;'Project Assumptions'!$I$16,0,Depreciation!T57)</f>
        <v>682.294291919355</v>
      </c>
      <c r="V9" s="557" t="n">
        <f aca="false">IF(V3&gt;'Project Assumptions'!$I$16,0,Depreciation!U57)</f>
        <v>532.52237418096</v>
      </c>
      <c r="W9" s="557" t="n">
        <f aca="false">IF(W3&gt;'Project Assumptions'!$I$16,0,Depreciation!V57)</f>
        <v>382.750456442565</v>
      </c>
      <c r="X9" s="557" t="n">
        <f aca="false">IF(X3&gt;'Project Assumptions'!$I$16+1,0,Depreciation!W57)</f>
        <v>332.8264838631</v>
      </c>
      <c r="Y9" s="557" t="n">
        <f aca="false">IF(Y3&gt;'Project Assumptions'!$I$16,0,Depreciation!X57)</f>
        <v>0</v>
      </c>
      <c r="Z9" s="557" t="n">
        <f aca="false">IF(Z3&gt;'Project Assumptions'!$I$16,0,Depreciation!Y57)</f>
        <v>0</v>
      </c>
      <c r="AA9" s="557" t="n">
        <f aca="false">IF(AA3&gt;'Project Assumptions'!$I$16,0,Depreciation!Z57)</f>
        <v>0</v>
      </c>
      <c r="AB9" s="795" t="n">
        <f aca="false">IF(AB3&gt;'Project Assumptions'!$I$16,0,Depreciation!AA57)</f>
        <v>0</v>
      </c>
      <c r="AC9" s="789"/>
      <c r="AD9" s="790"/>
      <c r="AF9" s="794"/>
      <c r="AP9" s="796"/>
      <c r="AQ9" s="796"/>
      <c r="AR9" s="796"/>
      <c r="AS9" s="796"/>
      <c r="AU9" s="794"/>
    </row>
    <row r="10" customFormat="false" ht="12.6" hidden="false" customHeight="true" outlineLevel="0" collapsed="false">
      <c r="A10" s="791" t="s">
        <v>554</v>
      </c>
      <c r="B10" s="385"/>
      <c r="C10" s="788" t="n">
        <f aca="false">SUM(D10:AD10)</f>
        <v>103178.70257</v>
      </c>
      <c r="D10" s="797" t="n">
        <f aca="false">IF(D3&gt;'Project Assumptions'!$I$16,0,'Book Income Statement'!D66)</f>
        <v>9138.4678</v>
      </c>
      <c r="E10" s="797" t="n">
        <f aca="false">IF(E3&gt;'Project Assumptions'!$I$16,0,'Book Income Statement'!E66)</f>
        <v>8819.062</v>
      </c>
      <c r="F10" s="797" t="n">
        <f aca="false">IF(F3&gt;'Project Assumptions'!$I$16,0,'Book Income Statement'!F66)</f>
        <v>8499.6562</v>
      </c>
      <c r="G10" s="797" t="n">
        <f aca="false">IF(G3&gt;'Project Assumptions'!$I$16,0,'Book Income Statement'!G66)</f>
        <v>8048.04792</v>
      </c>
      <c r="H10" s="797" t="n">
        <f aca="false">IF(H3&gt;'Project Assumptions'!$I$16,0,'Book Income Statement'!H66)</f>
        <v>7464.23716</v>
      </c>
      <c r="I10" s="797" t="n">
        <f aca="false">IF(I3&gt;'Project Assumptions'!$I$16,0,'Book Income Statement'!I66)</f>
        <v>7095.4963</v>
      </c>
      <c r="J10" s="797" t="n">
        <f aca="false">IF(J3&gt;'Project Assumptions'!$I$16,0,'Book Income Statement'!J66)</f>
        <v>6726.75544</v>
      </c>
      <c r="K10" s="797" t="n">
        <f aca="false">IF(K3&gt;'Project Assumptions'!$I$16,0,'Book Income Statement'!K66)</f>
        <v>6305.84663</v>
      </c>
      <c r="L10" s="797" t="n">
        <f aca="false">IF(L3&gt;'Project Assumptions'!$I$16,0,'Book Income Statement'!L66)</f>
        <v>5884.93782</v>
      </c>
      <c r="M10" s="797" t="n">
        <f aca="false">IF(M3&gt;'Project Assumptions'!$I$16,0,'Book Income Statement'!M66)</f>
        <v>5199.62405</v>
      </c>
      <c r="N10" s="797" t="n">
        <f aca="false">IF(N3&gt;'Project Assumptions'!$I$16,0,'Book Income Statement'!N66)</f>
        <v>4329.93985</v>
      </c>
      <c r="O10" s="797" t="n">
        <f aca="false">IF(O3&gt;'Project Assumptions'!$I$16,0,'Book Income Statement'!O66)</f>
        <v>4121.26805</v>
      </c>
      <c r="P10" s="797" t="n">
        <f aca="false">IF(P3&gt;'Project Assumptions'!$I$16,0,'Book Income Statement'!P66)</f>
        <v>3860.4283</v>
      </c>
      <c r="Q10" s="797" t="n">
        <f aca="false">IF(Q3&gt;'Project Assumptions'!$I$16,0,'Book Income Statement'!Q66)</f>
        <v>3599.58855</v>
      </c>
      <c r="R10" s="797" t="n">
        <f aca="false">IF(R3&gt;'Project Assumptions'!$I$16,0,'Book Income Statement'!R66)</f>
        <v>3338.7488</v>
      </c>
      <c r="S10" s="797" t="n">
        <f aca="false">IF(S3&gt;'Project Assumptions'!$I$16,0,'Book Income Statement'!S66)</f>
        <v>3077.90905</v>
      </c>
      <c r="T10" s="797" t="n">
        <f aca="false">IF(T3&gt;'Project Assumptions'!$I$16,0,'Book Income Statement'!T66)</f>
        <v>2817.0693</v>
      </c>
      <c r="U10" s="797" t="n">
        <f aca="false">IF(U3&gt;'Project Assumptions'!$I$16,0,'Book Income Statement'!U66)</f>
        <v>2295.3898</v>
      </c>
      <c r="V10" s="797" t="n">
        <f aca="false">IF(V3&gt;'Project Assumptions'!$I$16,0,'Book Income Statement'!V66)</f>
        <v>1669.3744</v>
      </c>
      <c r="W10" s="797" t="n">
        <f aca="false">IF(W3&gt;'Project Assumptions'!$I$16,0,'Book Income Statement'!W66)</f>
        <v>886.85515</v>
      </c>
      <c r="X10" s="797" t="n">
        <f aca="false">IF(X3&gt;'Project Assumptions'!$I$16+1,0,'Book Income Statement'!X66)</f>
        <v>0</v>
      </c>
      <c r="Y10" s="797" t="n">
        <f aca="false">IF(Y3&gt;'Project Assumptions'!$I$16,0,'Book Income Statement'!Y66)</f>
        <v>0</v>
      </c>
      <c r="Z10" s="797" t="n">
        <f aca="false">IF(Z3&gt;'Project Assumptions'!$I$16,0,'Book Income Statement'!Z66)</f>
        <v>0</v>
      </c>
      <c r="AA10" s="797" t="n">
        <f aca="false">IF(AA3&gt;'Project Assumptions'!$I$16,0,'Book Income Statement'!AA66)</f>
        <v>0</v>
      </c>
      <c r="AB10" s="798" t="n">
        <f aca="false">IF(AB3&gt;'Project Assumptions'!$I$16,0,'Book Income Statement'!AB66)</f>
        <v>0</v>
      </c>
      <c r="AC10" s="789"/>
      <c r="AD10" s="790"/>
      <c r="AF10" s="794"/>
      <c r="AU10" s="794"/>
    </row>
    <row r="11" customFormat="false" ht="12.6" hidden="false" customHeight="true" outlineLevel="0" collapsed="false">
      <c r="A11" s="791" t="s">
        <v>555</v>
      </c>
      <c r="B11" s="385"/>
      <c r="C11" s="788" t="n">
        <f aca="false">SUM(D11:AD11)</f>
        <v>103178.70257</v>
      </c>
      <c r="D11" s="797" t="n">
        <f aca="false">'Debt Amortization'!E$52</f>
        <v>9138.4678</v>
      </c>
      <c r="E11" s="797" t="n">
        <f aca="false">'Debt Amortization'!F$52</f>
        <v>8819.062</v>
      </c>
      <c r="F11" s="797" t="n">
        <f aca="false">'Debt Amortization'!G$52</f>
        <v>8499.6562</v>
      </c>
      <c r="G11" s="797" t="n">
        <f aca="false">'Debt Amortization'!H$52</f>
        <v>8048.04792</v>
      </c>
      <c r="H11" s="797" t="n">
        <f aca="false">'Debt Amortization'!I$52</f>
        <v>7464.23716</v>
      </c>
      <c r="I11" s="797" t="n">
        <f aca="false">'Debt Amortization'!J$52</f>
        <v>7095.4963</v>
      </c>
      <c r="J11" s="797" t="n">
        <f aca="false">'Debt Amortization'!K$52</f>
        <v>6726.75544</v>
      </c>
      <c r="K11" s="797" t="n">
        <f aca="false">'Debt Amortization'!L$52</f>
        <v>6305.84663</v>
      </c>
      <c r="L11" s="797" t="n">
        <f aca="false">'Debt Amortization'!M$52</f>
        <v>5884.93782</v>
      </c>
      <c r="M11" s="797" t="n">
        <f aca="false">'Debt Amortization'!N$52</f>
        <v>5199.62405</v>
      </c>
      <c r="N11" s="797" t="n">
        <f aca="false">'Debt Amortization'!O$52</f>
        <v>4329.93985</v>
      </c>
      <c r="O11" s="797" t="n">
        <f aca="false">'Debt Amortization'!P$52</f>
        <v>4121.26805</v>
      </c>
      <c r="P11" s="797" t="n">
        <f aca="false">'Debt Amortization'!Q$52</f>
        <v>3860.4283</v>
      </c>
      <c r="Q11" s="797" t="n">
        <f aca="false">'Debt Amortization'!R$52</f>
        <v>3599.58855</v>
      </c>
      <c r="R11" s="797" t="n">
        <f aca="false">'Debt Amortization'!S$52</f>
        <v>3338.7488</v>
      </c>
      <c r="S11" s="797" t="n">
        <f aca="false">'Debt Amortization'!T$52</f>
        <v>3077.90905</v>
      </c>
      <c r="T11" s="797" t="n">
        <f aca="false">'Debt Amortization'!U$52</f>
        <v>2817.0693</v>
      </c>
      <c r="U11" s="797" t="n">
        <f aca="false">'Debt Amortization'!V$52</f>
        <v>2295.3898</v>
      </c>
      <c r="V11" s="797" t="n">
        <f aca="false">'Debt Amortization'!W$52</f>
        <v>1669.3744</v>
      </c>
      <c r="W11" s="797" t="n">
        <f aca="false">'Debt Amortization'!X$52</f>
        <v>886.85515</v>
      </c>
      <c r="X11" s="797" t="n">
        <f aca="false">'Debt Amortization'!Y$52</f>
        <v>0</v>
      </c>
      <c r="Y11" s="797" t="n">
        <f aca="false">'Debt Amortization'!Z$52</f>
        <v>0</v>
      </c>
      <c r="Z11" s="797" t="n">
        <f aca="false">'Debt Amortization'!AA$52</f>
        <v>0</v>
      </c>
      <c r="AA11" s="797" t="n">
        <f aca="false">'Debt Amortization'!AB$52</f>
        <v>0</v>
      </c>
      <c r="AB11" s="797" t="n">
        <f aca="false">'Debt Amortization'!AC$52</f>
        <v>0</v>
      </c>
      <c r="AC11" s="789"/>
      <c r="AD11" s="790"/>
      <c r="AF11" s="794"/>
      <c r="AP11" s="796"/>
      <c r="AQ11" s="796"/>
      <c r="AR11" s="796"/>
      <c r="AS11" s="796"/>
      <c r="AU11" s="794"/>
    </row>
    <row r="12" customFormat="false" ht="12.6" hidden="false" customHeight="true" outlineLevel="0" collapsed="false">
      <c r="A12" s="412" t="s">
        <v>556</v>
      </c>
      <c r="B12" s="385"/>
      <c r="C12" s="762"/>
      <c r="D12" s="799" t="n">
        <f aca="false">IF(D3&gt;'Project Assumptions'!$I$16,0,'Debt Amortization'!E$53)</f>
        <v>4746</v>
      </c>
      <c r="E12" s="799" t="n">
        <f aca="false">IF(E3&gt;'Project Assumptions'!$I$16,0,'Debt Amortization'!F$53)</f>
        <v>4746</v>
      </c>
      <c r="F12" s="799" t="n">
        <f aca="false">IF(F3&gt;'Project Assumptions'!$I$16,0,'Debt Amortization'!G$53)</f>
        <v>6492.4</v>
      </c>
      <c r="G12" s="799" t="n">
        <f aca="false">IF(G3&gt;'Project Assumptions'!$I$16,0,'Debt Amortization'!H$53)</f>
        <v>8238.8</v>
      </c>
      <c r="H12" s="799" t="n">
        <f aca="false">IF(H3&gt;'Project Assumptions'!$I$16,0,'Debt Amortization'!I$53)</f>
        <v>4768.3</v>
      </c>
      <c r="I12" s="799" t="n">
        <f aca="false">IF(I3&gt;'Project Assumptions'!$I$16,0,'Debt Amortization'!J$53)</f>
        <v>4768.3</v>
      </c>
      <c r="J12" s="799" t="n">
        <f aca="false">IF(J3&gt;'Project Assumptions'!$I$16,0,'Debt Amortization'!K$53)</f>
        <v>5406.05</v>
      </c>
      <c r="K12" s="799" t="n">
        <f aca="false">IF(K3&gt;'Project Assumptions'!$I$16,0,'Debt Amortization'!L$53)</f>
        <v>5406.05</v>
      </c>
      <c r="L12" s="799" t="n">
        <f aca="false">IF(L3&gt;'Project Assumptions'!$I$16,0,'Debt Amortization'!M$53)</f>
        <v>8898.85</v>
      </c>
      <c r="M12" s="799" t="n">
        <f aca="false">IF(M3&gt;'Project Assumptions'!$I$16,0,'Debt Amortization'!N$53)</f>
        <v>11283</v>
      </c>
      <c r="N12" s="799" t="n">
        <f aca="false">IF(N3&gt;'Project Assumptions'!$I$16,0,'Debt Amortization'!O$53)</f>
        <v>2551</v>
      </c>
      <c r="O12" s="799" t="n">
        <f aca="false">IF(O3&gt;'Project Assumptions'!$I$16,0,'Debt Amortization'!P$53)</f>
        <v>3188.75</v>
      </c>
      <c r="P12" s="799" t="n">
        <f aca="false">IF(P3&gt;'Project Assumptions'!$I$16,0,'Debt Amortization'!Q$53)</f>
        <v>3188.75</v>
      </c>
      <c r="Q12" s="799" t="n">
        <f aca="false">IF(Q3&gt;'Project Assumptions'!$I$16,0,'Debt Amortization'!R$53)</f>
        <v>3188.75</v>
      </c>
      <c r="R12" s="799" t="n">
        <f aca="false">IF(R3&gt;'Project Assumptions'!$I$16,0,'Debt Amortization'!S$53)</f>
        <v>3188.75</v>
      </c>
      <c r="S12" s="799" t="n">
        <f aca="false">IF(S3&gt;'Project Assumptions'!$I$16,0,'Debt Amortization'!T$53)</f>
        <v>3188.75</v>
      </c>
      <c r="T12" s="799" t="n">
        <f aca="false">IF(T3&gt;'Project Assumptions'!$I$16,0,'Debt Amortization'!U$53)</f>
        <v>6377.5</v>
      </c>
      <c r="U12" s="799" t="n">
        <f aca="false">IF(U3&gt;'Project Assumptions'!$I$16,0,'Debt Amortization'!V$53)</f>
        <v>7653</v>
      </c>
      <c r="V12" s="799" t="n">
        <f aca="false">IF(V3&gt;'Project Assumptions'!$I$16,0,'Debt Amortization'!W$53)</f>
        <v>9566.25</v>
      </c>
      <c r="W12" s="799" t="n">
        <f aca="false">IF(W3&gt;'Project Assumptions'!$I$16,0,'Debt Amortization'!X$53)</f>
        <v>10841.75</v>
      </c>
      <c r="X12" s="799" t="n">
        <f aca="false">IF(X3&gt;'Project Assumptions'!$I$16+1,0,'Debt Amortization'!Y$53)</f>
        <v>0</v>
      </c>
      <c r="Y12" s="799" t="n">
        <f aca="false">IF(Y3&gt;'Project Assumptions'!$I$16,0,'Debt Amortization'!Z$53)</f>
        <v>0</v>
      </c>
      <c r="Z12" s="799" t="n">
        <f aca="false">IF(Z3&gt;'Project Assumptions'!$I$16,0,'Debt Amortization'!AA$53)</f>
        <v>0</v>
      </c>
      <c r="AA12" s="799" t="n">
        <f aca="false">IF(AA3&gt;'Project Assumptions'!$I$16,0,'Debt Amortization'!AB$53)</f>
        <v>0</v>
      </c>
      <c r="AB12" s="800" t="n">
        <f aca="false">IF(AB3&gt;'Project Assumptions'!$I$16,0,'Debt Amortization'!AC$53)</f>
        <v>0</v>
      </c>
      <c r="AF12" s="794"/>
      <c r="AU12" s="794"/>
    </row>
    <row r="13" customFormat="false" ht="12.6" hidden="false" customHeight="true" outlineLevel="0" collapsed="false">
      <c r="A13" s="435" t="s">
        <v>557</v>
      </c>
      <c r="B13" s="385"/>
      <c r="C13" s="762"/>
      <c r="D13" s="797" t="n">
        <f aca="false">IF(D3&gt;'Project Assumptions'!$I$16,0,D6+D7+D8-D9+D10-D11-D12)</f>
        <v>-5718.33482201103</v>
      </c>
      <c r="E13" s="797" t="n">
        <f aca="false">IF(E3&gt;'Project Assumptions'!$I$16,0,E6+E7+E8-E9+E10-E11-E12)</f>
        <v>6459.97284195981</v>
      </c>
      <c r="F13" s="797" t="n">
        <f aca="false">IF(F3&gt;'Project Assumptions'!$I$16,0,F6+F7+F8-F9+F10-F11-F12)</f>
        <v>4731.46710293299</v>
      </c>
      <c r="G13" s="797" t="n">
        <f aca="false">IF(G3&gt;'Project Assumptions'!$I$16,0,G6+G7+G8-G9+G10-G11-G12)</f>
        <v>3389.98466285842</v>
      </c>
      <c r="H13" s="797" t="n">
        <f aca="false">IF(H3&gt;'Project Assumptions'!$I$16,0,H6+H7+H8-H9+H10-H11-H12)</f>
        <v>13139.5347754599</v>
      </c>
      <c r="I13" s="797" t="n">
        <f aca="false">IF(I3&gt;'Project Assumptions'!$I$16,0,I6+I7+I8-I9+I10-I11-I12)</f>
        <v>17942.427757469</v>
      </c>
      <c r="J13" s="797" t="n">
        <f aca="false">IF(J3&gt;'Project Assumptions'!$I$16,0,J6+J7+J8-J9+J10-J11-J12)</f>
        <v>17991.8710618335</v>
      </c>
      <c r="K13" s="797" t="n">
        <f aca="false">IF(K3&gt;'Project Assumptions'!$I$16,0,K6+K7+K8-K9+K10-K11-K12)</f>
        <v>18722.4500480897</v>
      </c>
      <c r="L13" s="797" t="n">
        <f aca="false">IF(L3&gt;'Project Assumptions'!$I$16,0,L6+L7+L8-L9+L10-L11-L12)</f>
        <v>16595.068490033</v>
      </c>
      <c r="M13" s="797" t="n">
        <f aca="false">IF(M3&gt;'Project Assumptions'!$I$16,0,M6+M7+M8-M9+M10-M11-M12)</f>
        <v>15210.4516056594</v>
      </c>
      <c r="N13" s="797" t="n">
        <f aca="false">IF(N3&gt;'Project Assumptions'!$I$16,0,N6+N7+N8-N9+N10-N11-N12)</f>
        <v>25793.4656853358</v>
      </c>
      <c r="O13" s="797" t="n">
        <f aca="false">IF(O3&gt;'Project Assumptions'!$I$16,0,O6+O7+O8-O9+O10-O11-O12)</f>
        <v>25672.0124057217</v>
      </c>
      <c r="P13" s="797" t="n">
        <f aca="false">IF(P3&gt;'Project Assumptions'!$I$16,0,P6+P7+P8-P9+P10-P11-P12)</f>
        <v>26159.4949633695</v>
      </c>
      <c r="Q13" s="797" t="n">
        <f aca="false">IF(Q3&gt;'Project Assumptions'!$I$16,0,Q6+Q7+Q8-Q9+Q10-Q11-Q12)</f>
        <v>26796.3332581465</v>
      </c>
      <c r="R13" s="797" t="n">
        <f aca="false">IF(R3&gt;'Project Assumptions'!$I$16,0,R6+R7+R8-R9+R10-R11-R12)</f>
        <v>27436.337592901</v>
      </c>
      <c r="S13" s="797" t="n">
        <f aca="false">IF(S3&gt;'Project Assumptions'!$I$16,0,S6+S7+S8-S9+S10-S11-S12)</f>
        <v>28061.7957369448</v>
      </c>
      <c r="T13" s="797" t="n">
        <f aca="false">IF(T3&gt;'Project Assumptions'!$I$16,0,T6+T7+T8-T9+T10-T11-T12)</f>
        <v>25483.2506902538</v>
      </c>
      <c r="U13" s="797" t="n">
        <f aca="false">IF(U3&gt;'Project Assumptions'!$I$16,0,U6+U7+U8-U9+U10-U11-U12)</f>
        <v>25095.439511117</v>
      </c>
      <c r="V13" s="797" t="n">
        <f aca="false">IF(V3&gt;'Project Assumptions'!$I$16,0,V6+V7+V8-V9+V10-V11-V12)</f>
        <v>24172.7751481326</v>
      </c>
      <c r="W13" s="797" t="n">
        <f aca="false">IF(W3&gt;'Project Assumptions'!$I$16,0,W6+W7+W8-W9+W10-W11-W12)</f>
        <v>24023.7433973899</v>
      </c>
      <c r="X13" s="797" t="n">
        <f aca="false">IF(X3&gt;'Project Assumptions'!$I$16+1,0,X6+X7+X8-X9+X10-X11-X12)</f>
        <v>35975.0983915274</v>
      </c>
      <c r="Y13" s="797" t="n">
        <f aca="false">IF(Y3&gt;'Project Assumptions'!$I$16,0,Y6+Y7+Y8-Y9+Y10-Y11-Y12)</f>
        <v>0</v>
      </c>
      <c r="Z13" s="797" t="n">
        <f aca="false">IF(Z3&gt;'Project Assumptions'!$I$16,0,Z6+Z7+Z8-Z9+Z10-Z11-Z12)</f>
        <v>0</v>
      </c>
      <c r="AA13" s="797" t="n">
        <f aca="false">IF(AA3&gt;'Project Assumptions'!$I$16,0,AA6+AA7+AA8-AA9+AA10-AA11-AA12)</f>
        <v>0</v>
      </c>
      <c r="AB13" s="798" t="n">
        <f aca="false">IF(AB3&gt;'Project Assumptions'!$I$16,0,AB6+AB7+AB8-AB9+AB10-AB11-AB12)</f>
        <v>0</v>
      </c>
      <c r="AF13" s="794"/>
      <c r="AU13" s="794"/>
    </row>
    <row r="14" customFormat="false" ht="12.6" hidden="false" customHeight="true" outlineLevel="0" collapsed="false">
      <c r="A14" s="412"/>
      <c r="B14" s="385"/>
      <c r="C14" s="762"/>
      <c r="D14" s="797"/>
      <c r="E14" s="797"/>
      <c r="F14" s="797"/>
      <c r="G14" s="797"/>
      <c r="H14" s="797"/>
      <c r="I14" s="797"/>
      <c r="J14" s="797"/>
      <c r="K14" s="797"/>
      <c r="L14" s="797"/>
      <c r="M14" s="797"/>
      <c r="N14" s="797"/>
      <c r="O14" s="797"/>
      <c r="P14" s="797"/>
      <c r="Q14" s="797"/>
      <c r="R14" s="797"/>
      <c r="S14" s="797"/>
      <c r="T14" s="797"/>
      <c r="U14" s="797"/>
      <c r="V14" s="797"/>
      <c r="W14" s="797"/>
      <c r="X14" s="797"/>
      <c r="Y14" s="797"/>
      <c r="Z14" s="797"/>
      <c r="AA14" s="797"/>
      <c r="AB14" s="798"/>
      <c r="AF14" s="794"/>
      <c r="AU14" s="794"/>
    </row>
    <row r="15" customFormat="false" ht="12.6" hidden="false" customHeight="true" outlineLevel="0" collapsed="false">
      <c r="A15" s="412" t="s">
        <v>558</v>
      </c>
      <c r="B15" s="385"/>
      <c r="C15" s="762"/>
      <c r="D15" s="797" t="n">
        <v>0</v>
      </c>
      <c r="E15" s="797" t="n">
        <v>0</v>
      </c>
      <c r="F15" s="797" t="n">
        <v>0</v>
      </c>
      <c r="G15" s="797" t="n">
        <v>0</v>
      </c>
      <c r="H15" s="797" t="n">
        <v>0</v>
      </c>
      <c r="I15" s="797" t="n">
        <v>0</v>
      </c>
      <c r="J15" s="797" t="n">
        <v>0</v>
      </c>
      <c r="K15" s="797" t="n">
        <v>0</v>
      </c>
      <c r="L15" s="797" t="n">
        <v>0</v>
      </c>
      <c r="M15" s="797" t="n">
        <v>0</v>
      </c>
      <c r="N15" s="797" t="n">
        <v>0</v>
      </c>
      <c r="O15" s="797" t="n">
        <v>0</v>
      </c>
      <c r="P15" s="797" t="n">
        <v>0</v>
      </c>
      <c r="Q15" s="797" t="n">
        <v>0</v>
      </c>
      <c r="R15" s="797" t="n">
        <v>0</v>
      </c>
      <c r="S15" s="797" t="n">
        <v>0</v>
      </c>
      <c r="T15" s="797" t="n">
        <v>0</v>
      </c>
      <c r="U15" s="797" t="n">
        <v>0</v>
      </c>
      <c r="V15" s="797" t="n">
        <v>0</v>
      </c>
      <c r="W15" s="797" t="n">
        <v>0</v>
      </c>
      <c r="X15" s="797" t="n">
        <v>0</v>
      </c>
      <c r="Y15" s="797" t="n">
        <v>0</v>
      </c>
      <c r="Z15" s="797" t="n">
        <v>0</v>
      </c>
      <c r="AA15" s="797" t="n">
        <v>0</v>
      </c>
      <c r="AB15" s="798" t="n">
        <v>0</v>
      </c>
      <c r="AF15" s="794"/>
      <c r="AU15" s="794"/>
    </row>
    <row r="16" customFormat="false" ht="12.6" hidden="false" customHeight="true" outlineLevel="0" collapsed="false">
      <c r="A16" s="412" t="s">
        <v>559</v>
      </c>
      <c r="B16" s="385"/>
      <c r="C16" s="788" t="n">
        <f aca="false">SUM(D16:AD16)</f>
        <v>0</v>
      </c>
      <c r="D16" s="797" t="n">
        <v>0</v>
      </c>
      <c r="E16" s="797" t="n">
        <v>0</v>
      </c>
      <c r="F16" s="797" t="n">
        <v>0</v>
      </c>
      <c r="G16" s="797" t="n">
        <v>0</v>
      </c>
      <c r="H16" s="797" t="n">
        <v>0</v>
      </c>
      <c r="I16" s="797" t="n">
        <v>0</v>
      </c>
      <c r="J16" s="797" t="n">
        <v>0</v>
      </c>
      <c r="K16" s="797" t="n">
        <v>0</v>
      </c>
      <c r="L16" s="797" t="n">
        <v>0</v>
      </c>
      <c r="M16" s="797" t="n">
        <v>0</v>
      </c>
      <c r="N16" s="797" t="n">
        <v>0</v>
      </c>
      <c r="O16" s="797" t="n">
        <v>0</v>
      </c>
      <c r="P16" s="797" t="n">
        <v>0</v>
      </c>
      <c r="Q16" s="797" t="n">
        <v>0</v>
      </c>
      <c r="R16" s="797" t="n">
        <v>0</v>
      </c>
      <c r="S16" s="797" t="n">
        <v>0</v>
      </c>
      <c r="T16" s="797" t="n">
        <v>0</v>
      </c>
      <c r="U16" s="797" t="n">
        <v>0</v>
      </c>
      <c r="V16" s="797" t="n">
        <v>0</v>
      </c>
      <c r="W16" s="797" t="n">
        <v>0</v>
      </c>
      <c r="X16" s="797" t="n">
        <v>0</v>
      </c>
      <c r="Y16" s="797" t="n">
        <v>0</v>
      </c>
      <c r="Z16" s="797" t="n">
        <v>0</v>
      </c>
      <c r="AA16" s="797" t="n">
        <v>0</v>
      </c>
      <c r="AB16" s="798" t="n">
        <v>0</v>
      </c>
      <c r="AE16" s="759"/>
      <c r="AF16" s="801"/>
      <c r="AG16" s="759"/>
      <c r="AH16" s="759"/>
      <c r="AI16" s="759"/>
      <c r="AJ16" s="759"/>
      <c r="AK16" s="759"/>
      <c r="AL16" s="759"/>
      <c r="AM16" s="759"/>
      <c r="AN16" s="759"/>
      <c r="AO16" s="759"/>
      <c r="AP16" s="759"/>
      <c r="AQ16" s="759"/>
      <c r="AR16" s="759"/>
      <c r="AS16" s="759"/>
      <c r="AT16" s="759"/>
      <c r="AU16" s="801"/>
      <c r="AV16" s="759"/>
      <c r="AW16" s="759"/>
      <c r="AX16" s="759"/>
      <c r="AY16" s="759"/>
      <c r="AZ16" s="759"/>
      <c r="BA16" s="759"/>
      <c r="BB16" s="759"/>
      <c r="BC16" s="759"/>
      <c r="BD16" s="759"/>
      <c r="BE16" s="759"/>
      <c r="BF16" s="759"/>
      <c r="BG16" s="759"/>
      <c r="BH16" s="759"/>
      <c r="BI16" s="759"/>
      <c r="BJ16" s="759"/>
      <c r="BK16" s="759"/>
      <c r="BL16" s="759"/>
      <c r="BM16" s="759"/>
      <c r="BN16" s="759"/>
      <c r="BO16" s="759"/>
      <c r="BP16" s="759"/>
      <c r="BQ16" s="759"/>
      <c r="BR16" s="759"/>
      <c r="BS16" s="759"/>
      <c r="BT16" s="759"/>
      <c r="BU16" s="759"/>
      <c r="BV16" s="759"/>
      <c r="BW16" s="759"/>
      <c r="BX16" s="759"/>
      <c r="BY16" s="759"/>
      <c r="BZ16" s="759"/>
      <c r="CA16" s="759"/>
      <c r="CB16" s="759"/>
      <c r="CC16" s="759"/>
      <c r="CD16" s="759"/>
      <c r="CE16" s="759"/>
      <c r="CF16" s="759"/>
      <c r="CG16" s="759"/>
      <c r="CH16" s="759"/>
      <c r="CI16" s="759"/>
      <c r="CJ16" s="759"/>
      <c r="CK16" s="759"/>
      <c r="CL16" s="759"/>
      <c r="CM16" s="759"/>
      <c r="CN16" s="759"/>
      <c r="CO16" s="759"/>
      <c r="CP16" s="759"/>
      <c r="CQ16" s="759"/>
      <c r="CR16" s="759"/>
      <c r="CS16" s="759"/>
      <c r="CT16" s="759"/>
      <c r="CU16" s="759"/>
      <c r="CV16" s="759"/>
      <c r="CW16" s="759"/>
      <c r="CX16" s="759"/>
      <c r="CY16" s="759"/>
      <c r="CZ16" s="759"/>
      <c r="DA16" s="759"/>
      <c r="DB16" s="759"/>
      <c r="DC16" s="759"/>
      <c r="DD16" s="759"/>
      <c r="DE16" s="759"/>
      <c r="DF16" s="759"/>
      <c r="DG16" s="759"/>
      <c r="DH16" s="759"/>
      <c r="DI16" s="759"/>
      <c r="DJ16" s="759"/>
      <c r="DK16" s="759"/>
      <c r="DL16" s="759"/>
      <c r="DM16" s="759"/>
      <c r="DN16" s="759"/>
      <c r="DO16" s="759"/>
      <c r="DP16" s="759"/>
      <c r="DQ16" s="759"/>
      <c r="DR16" s="759"/>
      <c r="DS16" s="759"/>
      <c r="DT16" s="759"/>
      <c r="DU16" s="759"/>
      <c r="DV16" s="759"/>
      <c r="DW16" s="759"/>
      <c r="DX16" s="759"/>
      <c r="DY16" s="759"/>
      <c r="DZ16" s="759"/>
      <c r="EA16" s="759"/>
      <c r="EB16" s="759"/>
      <c r="EC16" s="759"/>
      <c r="ED16" s="759"/>
      <c r="EE16" s="759"/>
      <c r="EF16" s="759"/>
      <c r="EG16" s="759"/>
      <c r="EH16" s="759"/>
      <c r="EI16" s="759"/>
      <c r="EJ16" s="759"/>
      <c r="EK16" s="759"/>
      <c r="EL16" s="759"/>
      <c r="EM16" s="759"/>
      <c r="EN16" s="759"/>
      <c r="EO16" s="759"/>
      <c r="EP16" s="759"/>
      <c r="EQ16" s="759"/>
      <c r="ER16" s="759"/>
      <c r="ES16" s="759"/>
      <c r="ET16" s="759"/>
      <c r="EU16" s="759"/>
      <c r="EV16" s="759"/>
      <c r="EW16" s="759"/>
      <c r="EX16" s="759"/>
      <c r="EY16" s="759"/>
      <c r="EZ16" s="759"/>
      <c r="FA16" s="759"/>
      <c r="FB16" s="759"/>
      <c r="FC16" s="759"/>
      <c r="FD16" s="759"/>
      <c r="FE16" s="759"/>
      <c r="FF16" s="759"/>
      <c r="FG16" s="759"/>
      <c r="FH16" s="759"/>
      <c r="FI16" s="759"/>
      <c r="FJ16" s="759"/>
      <c r="FK16" s="759"/>
      <c r="FL16" s="759"/>
      <c r="FM16" s="759"/>
      <c r="FN16" s="759"/>
      <c r="FO16" s="759"/>
      <c r="FP16" s="759"/>
      <c r="FQ16" s="759"/>
      <c r="FR16" s="759"/>
      <c r="FS16" s="759"/>
      <c r="FT16" s="759"/>
      <c r="FU16" s="759"/>
      <c r="FV16" s="759"/>
      <c r="FW16" s="759"/>
      <c r="FX16" s="759"/>
      <c r="FY16" s="759"/>
      <c r="FZ16" s="759"/>
      <c r="GA16" s="759"/>
      <c r="GB16" s="759"/>
      <c r="GC16" s="759"/>
      <c r="GD16" s="759"/>
      <c r="GE16" s="759"/>
      <c r="GF16" s="759"/>
      <c r="GG16" s="759"/>
      <c r="GH16" s="759"/>
      <c r="GI16" s="759"/>
      <c r="GJ16" s="759"/>
      <c r="GK16" s="759"/>
      <c r="GL16" s="759"/>
      <c r="GM16" s="759"/>
      <c r="GN16" s="759"/>
      <c r="GO16" s="759"/>
      <c r="GP16" s="759"/>
      <c r="GQ16" s="759"/>
      <c r="GR16" s="759"/>
      <c r="GS16" s="759"/>
      <c r="GT16" s="759"/>
      <c r="GU16" s="759"/>
      <c r="GV16" s="759"/>
      <c r="GW16" s="759"/>
      <c r="GX16" s="759"/>
      <c r="GY16" s="759"/>
      <c r="GZ16" s="759"/>
      <c r="HA16" s="759"/>
      <c r="HB16" s="759"/>
      <c r="HC16" s="759"/>
      <c r="HD16" s="759"/>
      <c r="HE16" s="759"/>
      <c r="HF16" s="759"/>
      <c r="HG16" s="759"/>
      <c r="HH16" s="759"/>
      <c r="HI16" s="759"/>
      <c r="HJ16" s="759"/>
      <c r="HK16" s="759"/>
      <c r="HL16" s="759"/>
      <c r="HM16" s="759"/>
      <c r="HN16" s="759"/>
      <c r="HO16" s="759"/>
      <c r="HP16" s="759"/>
      <c r="HQ16" s="759"/>
      <c r="HR16" s="759"/>
      <c r="HS16" s="759"/>
      <c r="HT16" s="759"/>
      <c r="HU16" s="759"/>
      <c r="HV16" s="759"/>
      <c r="HW16" s="759"/>
      <c r="HX16" s="759"/>
      <c r="HY16" s="759"/>
      <c r="HZ16" s="759"/>
      <c r="IA16" s="759"/>
      <c r="IB16" s="759"/>
      <c r="IC16" s="759"/>
      <c r="ID16" s="759"/>
      <c r="IE16" s="759"/>
      <c r="IF16" s="759"/>
      <c r="IG16" s="759"/>
      <c r="IH16" s="759"/>
      <c r="II16" s="759"/>
      <c r="IJ16" s="759"/>
      <c r="IK16" s="759"/>
      <c r="IL16" s="759"/>
      <c r="IM16" s="759"/>
      <c r="IN16" s="759"/>
      <c r="IO16" s="759"/>
      <c r="IP16" s="759"/>
      <c r="IQ16" s="759"/>
      <c r="IR16" s="759"/>
      <c r="IS16" s="759"/>
      <c r="IT16" s="759"/>
      <c r="IU16" s="759"/>
      <c r="IV16" s="759"/>
      <c r="IW16" s="759"/>
    </row>
    <row r="17" customFormat="false" ht="12.6" hidden="false" customHeight="true" outlineLevel="0" collapsed="false">
      <c r="A17" s="412" t="s">
        <v>560</v>
      </c>
      <c r="B17" s="385"/>
      <c r="C17" s="788"/>
      <c r="D17" s="797" t="n">
        <v>0</v>
      </c>
      <c r="E17" s="802" t="n">
        <f aca="false">6*500</f>
        <v>3000</v>
      </c>
      <c r="F17" s="797" t="n">
        <v>0</v>
      </c>
      <c r="G17" s="797" t="n">
        <v>0</v>
      </c>
      <c r="H17" s="797" t="n">
        <v>0</v>
      </c>
      <c r="I17" s="797" t="n">
        <v>0</v>
      </c>
      <c r="J17" s="797" t="n">
        <v>0</v>
      </c>
      <c r="K17" s="797" t="n">
        <v>0</v>
      </c>
      <c r="L17" s="797" t="n">
        <v>0</v>
      </c>
      <c r="M17" s="797" t="n">
        <v>0</v>
      </c>
      <c r="N17" s="797" t="n">
        <v>0</v>
      </c>
      <c r="O17" s="797" t="n">
        <v>0</v>
      </c>
      <c r="P17" s="797" t="n">
        <v>0</v>
      </c>
      <c r="Q17" s="797" t="n">
        <v>0</v>
      </c>
      <c r="R17" s="797" t="n">
        <v>0</v>
      </c>
      <c r="S17" s="797" t="n">
        <v>0</v>
      </c>
      <c r="T17" s="797" t="n">
        <v>0</v>
      </c>
      <c r="U17" s="797" t="n">
        <v>0</v>
      </c>
      <c r="V17" s="797" t="n">
        <v>0</v>
      </c>
      <c r="W17" s="797" t="n">
        <v>0</v>
      </c>
      <c r="X17" s="797" t="n">
        <v>0</v>
      </c>
      <c r="Y17" s="797" t="n">
        <v>0</v>
      </c>
      <c r="Z17" s="797" t="n">
        <v>0</v>
      </c>
      <c r="AA17" s="797" t="n">
        <v>0</v>
      </c>
      <c r="AB17" s="798" t="n">
        <v>0</v>
      </c>
      <c r="AE17" s="759"/>
      <c r="AF17" s="801"/>
      <c r="AG17" s="759"/>
      <c r="AH17" s="759"/>
      <c r="AI17" s="759"/>
      <c r="AJ17" s="759"/>
      <c r="AK17" s="759"/>
      <c r="AL17" s="759"/>
      <c r="AM17" s="759"/>
      <c r="AN17" s="759"/>
      <c r="AO17" s="759"/>
      <c r="AP17" s="759"/>
      <c r="AQ17" s="759"/>
      <c r="AR17" s="759"/>
      <c r="AS17" s="759"/>
      <c r="AT17" s="759"/>
      <c r="AU17" s="801"/>
      <c r="AV17" s="759"/>
      <c r="AW17" s="759"/>
      <c r="AX17" s="759"/>
      <c r="AY17" s="759"/>
      <c r="AZ17" s="759"/>
      <c r="BA17" s="759"/>
      <c r="BB17" s="759"/>
      <c r="BC17" s="759"/>
      <c r="BD17" s="759"/>
      <c r="BE17" s="759"/>
      <c r="BF17" s="759"/>
      <c r="BG17" s="759"/>
      <c r="BH17" s="759"/>
      <c r="BI17" s="759"/>
      <c r="BJ17" s="759"/>
      <c r="BK17" s="759"/>
      <c r="BL17" s="759"/>
      <c r="BM17" s="759"/>
      <c r="BN17" s="759"/>
      <c r="BO17" s="759"/>
      <c r="BP17" s="759"/>
      <c r="BQ17" s="759"/>
      <c r="BR17" s="759"/>
      <c r="BS17" s="759"/>
      <c r="BT17" s="759"/>
      <c r="BU17" s="759"/>
      <c r="BV17" s="759"/>
      <c r="BW17" s="759"/>
      <c r="BX17" s="759"/>
      <c r="BY17" s="759"/>
      <c r="BZ17" s="759"/>
      <c r="CA17" s="759"/>
      <c r="CB17" s="759"/>
      <c r="CC17" s="759"/>
      <c r="CD17" s="759"/>
      <c r="CE17" s="759"/>
      <c r="CF17" s="759"/>
      <c r="CG17" s="759"/>
      <c r="CH17" s="759"/>
      <c r="CI17" s="759"/>
      <c r="CJ17" s="759"/>
      <c r="CK17" s="759"/>
      <c r="CL17" s="759"/>
      <c r="CM17" s="759"/>
      <c r="CN17" s="759"/>
      <c r="CO17" s="759"/>
      <c r="CP17" s="759"/>
      <c r="CQ17" s="759"/>
      <c r="CR17" s="759"/>
      <c r="CS17" s="759"/>
      <c r="CT17" s="759"/>
      <c r="CU17" s="759"/>
      <c r="CV17" s="759"/>
      <c r="CW17" s="759"/>
      <c r="CX17" s="759"/>
      <c r="CY17" s="759"/>
      <c r="CZ17" s="759"/>
      <c r="DA17" s="759"/>
      <c r="DB17" s="759"/>
      <c r="DC17" s="759"/>
      <c r="DD17" s="759"/>
      <c r="DE17" s="759"/>
      <c r="DF17" s="759"/>
      <c r="DG17" s="759"/>
      <c r="DH17" s="759"/>
      <c r="DI17" s="759"/>
      <c r="DJ17" s="759"/>
      <c r="DK17" s="759"/>
      <c r="DL17" s="759"/>
      <c r="DM17" s="759"/>
      <c r="DN17" s="759"/>
      <c r="DO17" s="759"/>
      <c r="DP17" s="759"/>
      <c r="DQ17" s="759"/>
      <c r="DR17" s="759"/>
      <c r="DS17" s="759"/>
      <c r="DT17" s="759"/>
      <c r="DU17" s="759"/>
      <c r="DV17" s="759"/>
      <c r="DW17" s="759"/>
      <c r="DX17" s="759"/>
      <c r="DY17" s="759"/>
      <c r="DZ17" s="759"/>
      <c r="EA17" s="759"/>
      <c r="EB17" s="759"/>
      <c r="EC17" s="759"/>
      <c r="ED17" s="759"/>
      <c r="EE17" s="759"/>
      <c r="EF17" s="759"/>
      <c r="EG17" s="759"/>
      <c r="EH17" s="759"/>
      <c r="EI17" s="759"/>
      <c r="EJ17" s="759"/>
      <c r="EK17" s="759"/>
      <c r="EL17" s="759"/>
      <c r="EM17" s="759"/>
      <c r="EN17" s="759"/>
      <c r="EO17" s="759"/>
      <c r="EP17" s="759"/>
      <c r="EQ17" s="759"/>
      <c r="ER17" s="759"/>
      <c r="ES17" s="759"/>
      <c r="ET17" s="759"/>
      <c r="EU17" s="759"/>
      <c r="EV17" s="759"/>
      <c r="EW17" s="759"/>
      <c r="EX17" s="759"/>
      <c r="EY17" s="759"/>
      <c r="EZ17" s="759"/>
      <c r="FA17" s="759"/>
      <c r="FB17" s="759"/>
      <c r="FC17" s="759"/>
      <c r="FD17" s="759"/>
      <c r="FE17" s="759"/>
      <c r="FF17" s="759"/>
      <c r="FG17" s="759"/>
      <c r="FH17" s="759"/>
      <c r="FI17" s="759"/>
      <c r="FJ17" s="759"/>
      <c r="FK17" s="759"/>
      <c r="FL17" s="759"/>
      <c r="FM17" s="759"/>
      <c r="FN17" s="759"/>
      <c r="FO17" s="759"/>
      <c r="FP17" s="759"/>
      <c r="FQ17" s="759"/>
      <c r="FR17" s="759"/>
      <c r="FS17" s="759"/>
      <c r="FT17" s="759"/>
      <c r="FU17" s="759"/>
      <c r="FV17" s="759"/>
      <c r="FW17" s="759"/>
      <c r="FX17" s="759"/>
      <c r="FY17" s="759"/>
      <c r="FZ17" s="759"/>
      <c r="GA17" s="759"/>
      <c r="GB17" s="759"/>
      <c r="GC17" s="759"/>
      <c r="GD17" s="759"/>
      <c r="GE17" s="759"/>
      <c r="GF17" s="759"/>
      <c r="GG17" s="759"/>
      <c r="GH17" s="759"/>
      <c r="GI17" s="759"/>
      <c r="GJ17" s="759"/>
      <c r="GK17" s="759"/>
      <c r="GL17" s="759"/>
      <c r="GM17" s="759"/>
      <c r="GN17" s="759"/>
      <c r="GO17" s="759"/>
      <c r="GP17" s="759"/>
      <c r="GQ17" s="759"/>
      <c r="GR17" s="759"/>
      <c r="GS17" s="759"/>
      <c r="GT17" s="759"/>
      <c r="GU17" s="759"/>
      <c r="GV17" s="759"/>
      <c r="GW17" s="759"/>
      <c r="GX17" s="759"/>
      <c r="GY17" s="759"/>
      <c r="GZ17" s="759"/>
      <c r="HA17" s="759"/>
      <c r="HB17" s="759"/>
      <c r="HC17" s="759"/>
      <c r="HD17" s="759"/>
      <c r="HE17" s="759"/>
      <c r="HF17" s="759"/>
      <c r="HG17" s="759"/>
      <c r="HH17" s="759"/>
      <c r="HI17" s="759"/>
      <c r="HJ17" s="759"/>
      <c r="HK17" s="759"/>
      <c r="HL17" s="759"/>
      <c r="HM17" s="759"/>
      <c r="HN17" s="759"/>
      <c r="HO17" s="759"/>
      <c r="HP17" s="759"/>
      <c r="HQ17" s="759"/>
      <c r="HR17" s="759"/>
      <c r="HS17" s="759"/>
      <c r="HT17" s="759"/>
      <c r="HU17" s="759"/>
      <c r="HV17" s="759"/>
      <c r="HW17" s="759"/>
      <c r="HX17" s="759"/>
      <c r="HY17" s="759"/>
      <c r="HZ17" s="759"/>
      <c r="IA17" s="759"/>
      <c r="IB17" s="759"/>
      <c r="IC17" s="759"/>
      <c r="ID17" s="759"/>
      <c r="IE17" s="759"/>
      <c r="IF17" s="759"/>
      <c r="IG17" s="759"/>
      <c r="IH17" s="759"/>
      <c r="II17" s="759"/>
      <c r="IJ17" s="759"/>
      <c r="IK17" s="759"/>
      <c r="IL17" s="759"/>
      <c r="IM17" s="759"/>
      <c r="IN17" s="759"/>
      <c r="IO17" s="759"/>
      <c r="IP17" s="759"/>
      <c r="IQ17" s="759"/>
      <c r="IR17" s="759"/>
      <c r="IS17" s="759"/>
      <c r="IT17" s="759"/>
      <c r="IU17" s="759"/>
      <c r="IV17" s="759"/>
      <c r="IW17" s="759"/>
    </row>
    <row r="18" customFormat="false" ht="12.6" hidden="false" customHeight="true" outlineLevel="0" collapsed="false">
      <c r="A18" s="412" t="s">
        <v>561</v>
      </c>
      <c r="B18" s="385"/>
      <c r="C18" s="788"/>
      <c r="D18" s="797" t="n">
        <v>0</v>
      </c>
      <c r="E18" s="797" t="n">
        <v>0</v>
      </c>
      <c r="F18" s="797" t="n">
        <v>0</v>
      </c>
      <c r="G18" s="797" t="n">
        <v>0</v>
      </c>
      <c r="H18" s="797" t="n">
        <v>0</v>
      </c>
      <c r="I18" s="797" t="n">
        <v>0</v>
      </c>
      <c r="J18" s="797" t="n">
        <v>0</v>
      </c>
      <c r="K18" s="797" t="n">
        <v>0</v>
      </c>
      <c r="L18" s="797" t="n">
        <v>0</v>
      </c>
      <c r="M18" s="797" t="n">
        <v>0</v>
      </c>
      <c r="N18" s="797" t="n">
        <v>0</v>
      </c>
      <c r="O18" s="797" t="n">
        <v>0</v>
      </c>
      <c r="P18" s="797" t="n">
        <v>0</v>
      </c>
      <c r="Q18" s="797" t="n">
        <v>0</v>
      </c>
      <c r="R18" s="797" t="n">
        <v>0</v>
      </c>
      <c r="S18" s="797" t="n">
        <v>0</v>
      </c>
      <c r="T18" s="797" t="n">
        <v>0</v>
      </c>
      <c r="U18" s="797" t="n">
        <v>0</v>
      </c>
      <c r="V18" s="797" t="n">
        <v>0</v>
      </c>
      <c r="W18" s="797" t="n">
        <v>0</v>
      </c>
      <c r="X18" s="797" t="n">
        <v>0</v>
      </c>
      <c r="Y18" s="797" t="n">
        <v>0</v>
      </c>
      <c r="Z18" s="797" t="n">
        <v>0</v>
      </c>
      <c r="AA18" s="797" t="n">
        <v>0</v>
      </c>
      <c r="AB18" s="798" t="n">
        <v>0</v>
      </c>
      <c r="AE18" s="759"/>
      <c r="AF18" s="801"/>
      <c r="AG18" s="759"/>
      <c r="AH18" s="759"/>
      <c r="AI18" s="759"/>
      <c r="AJ18" s="759"/>
      <c r="AK18" s="759"/>
      <c r="AL18" s="759"/>
      <c r="AM18" s="759"/>
      <c r="AN18" s="759"/>
      <c r="AO18" s="759"/>
      <c r="AP18" s="759"/>
      <c r="AQ18" s="759"/>
      <c r="AR18" s="759"/>
      <c r="AS18" s="759"/>
      <c r="AT18" s="759"/>
      <c r="AU18" s="801"/>
      <c r="AV18" s="759"/>
      <c r="AW18" s="759"/>
      <c r="AX18" s="759"/>
      <c r="AY18" s="759"/>
      <c r="AZ18" s="759"/>
      <c r="BA18" s="759"/>
      <c r="BB18" s="759"/>
      <c r="BC18" s="759"/>
      <c r="BD18" s="759"/>
      <c r="BE18" s="759"/>
      <c r="BF18" s="759"/>
      <c r="BG18" s="759"/>
      <c r="BH18" s="759"/>
      <c r="BI18" s="759"/>
      <c r="BJ18" s="759"/>
      <c r="BK18" s="759"/>
      <c r="BL18" s="759"/>
      <c r="BM18" s="759"/>
      <c r="BN18" s="759"/>
      <c r="BO18" s="759"/>
      <c r="BP18" s="759"/>
      <c r="BQ18" s="759"/>
      <c r="BR18" s="759"/>
      <c r="BS18" s="759"/>
      <c r="BT18" s="759"/>
      <c r="BU18" s="759"/>
      <c r="BV18" s="759"/>
      <c r="BW18" s="759"/>
      <c r="BX18" s="759"/>
      <c r="BY18" s="759"/>
      <c r="BZ18" s="759"/>
      <c r="CA18" s="759"/>
      <c r="CB18" s="759"/>
      <c r="CC18" s="759"/>
      <c r="CD18" s="759"/>
      <c r="CE18" s="759"/>
      <c r="CF18" s="759"/>
      <c r="CG18" s="759"/>
      <c r="CH18" s="759"/>
      <c r="CI18" s="759"/>
      <c r="CJ18" s="759"/>
      <c r="CK18" s="759"/>
      <c r="CL18" s="759"/>
      <c r="CM18" s="759"/>
      <c r="CN18" s="759"/>
      <c r="CO18" s="759"/>
      <c r="CP18" s="759"/>
      <c r="CQ18" s="759"/>
      <c r="CR18" s="759"/>
      <c r="CS18" s="759"/>
      <c r="CT18" s="759"/>
      <c r="CU18" s="759"/>
      <c r="CV18" s="759"/>
      <c r="CW18" s="759"/>
      <c r="CX18" s="759"/>
      <c r="CY18" s="759"/>
      <c r="CZ18" s="759"/>
      <c r="DA18" s="759"/>
      <c r="DB18" s="759"/>
      <c r="DC18" s="759"/>
      <c r="DD18" s="759"/>
      <c r="DE18" s="759"/>
      <c r="DF18" s="759"/>
      <c r="DG18" s="759"/>
      <c r="DH18" s="759"/>
      <c r="DI18" s="759"/>
      <c r="DJ18" s="759"/>
      <c r="DK18" s="759"/>
      <c r="DL18" s="759"/>
      <c r="DM18" s="759"/>
      <c r="DN18" s="759"/>
      <c r="DO18" s="759"/>
      <c r="DP18" s="759"/>
      <c r="DQ18" s="759"/>
      <c r="DR18" s="759"/>
      <c r="DS18" s="759"/>
      <c r="DT18" s="759"/>
      <c r="DU18" s="759"/>
      <c r="DV18" s="759"/>
      <c r="DW18" s="759"/>
      <c r="DX18" s="759"/>
      <c r="DY18" s="759"/>
      <c r="DZ18" s="759"/>
      <c r="EA18" s="759"/>
      <c r="EB18" s="759"/>
      <c r="EC18" s="759"/>
      <c r="ED18" s="759"/>
      <c r="EE18" s="759"/>
      <c r="EF18" s="759"/>
      <c r="EG18" s="759"/>
      <c r="EH18" s="759"/>
      <c r="EI18" s="759"/>
      <c r="EJ18" s="759"/>
      <c r="EK18" s="759"/>
      <c r="EL18" s="759"/>
      <c r="EM18" s="759"/>
      <c r="EN18" s="759"/>
      <c r="EO18" s="759"/>
      <c r="EP18" s="759"/>
      <c r="EQ18" s="759"/>
      <c r="ER18" s="759"/>
      <c r="ES18" s="759"/>
      <c r="ET18" s="759"/>
      <c r="EU18" s="759"/>
      <c r="EV18" s="759"/>
      <c r="EW18" s="759"/>
      <c r="EX18" s="759"/>
      <c r="EY18" s="759"/>
      <c r="EZ18" s="759"/>
      <c r="FA18" s="759"/>
      <c r="FB18" s="759"/>
      <c r="FC18" s="759"/>
      <c r="FD18" s="759"/>
      <c r="FE18" s="759"/>
      <c r="FF18" s="759"/>
      <c r="FG18" s="759"/>
      <c r="FH18" s="759"/>
      <c r="FI18" s="759"/>
      <c r="FJ18" s="759"/>
      <c r="FK18" s="759"/>
      <c r="FL18" s="759"/>
      <c r="FM18" s="759"/>
      <c r="FN18" s="759"/>
      <c r="FO18" s="759"/>
      <c r="FP18" s="759"/>
      <c r="FQ18" s="759"/>
      <c r="FR18" s="759"/>
      <c r="FS18" s="759"/>
      <c r="FT18" s="759"/>
      <c r="FU18" s="759"/>
      <c r="FV18" s="759"/>
      <c r="FW18" s="759"/>
      <c r="FX18" s="759"/>
      <c r="FY18" s="759"/>
      <c r="FZ18" s="759"/>
      <c r="GA18" s="759"/>
      <c r="GB18" s="759"/>
      <c r="GC18" s="759"/>
      <c r="GD18" s="759"/>
      <c r="GE18" s="759"/>
      <c r="GF18" s="759"/>
      <c r="GG18" s="759"/>
      <c r="GH18" s="759"/>
      <c r="GI18" s="759"/>
      <c r="GJ18" s="759"/>
      <c r="GK18" s="759"/>
      <c r="GL18" s="759"/>
      <c r="GM18" s="759"/>
      <c r="GN18" s="759"/>
      <c r="GO18" s="759"/>
      <c r="GP18" s="759"/>
      <c r="GQ18" s="759"/>
      <c r="GR18" s="759"/>
      <c r="GS18" s="759"/>
      <c r="GT18" s="759"/>
      <c r="GU18" s="759"/>
      <c r="GV18" s="759"/>
      <c r="GW18" s="759"/>
      <c r="GX18" s="759"/>
      <c r="GY18" s="759"/>
      <c r="GZ18" s="759"/>
      <c r="HA18" s="759"/>
      <c r="HB18" s="759"/>
      <c r="HC18" s="759"/>
      <c r="HD18" s="759"/>
      <c r="HE18" s="759"/>
      <c r="HF18" s="759"/>
      <c r="HG18" s="759"/>
      <c r="HH18" s="759"/>
      <c r="HI18" s="759"/>
      <c r="HJ18" s="759"/>
      <c r="HK18" s="759"/>
      <c r="HL18" s="759"/>
      <c r="HM18" s="759"/>
      <c r="HN18" s="759"/>
      <c r="HO18" s="759"/>
      <c r="HP18" s="759"/>
      <c r="HQ18" s="759"/>
      <c r="HR18" s="759"/>
      <c r="HS18" s="759"/>
      <c r="HT18" s="759"/>
      <c r="HU18" s="759"/>
      <c r="HV18" s="759"/>
      <c r="HW18" s="759"/>
      <c r="HX18" s="759"/>
      <c r="HY18" s="759"/>
      <c r="HZ18" s="759"/>
      <c r="IA18" s="759"/>
      <c r="IB18" s="759"/>
      <c r="IC18" s="759"/>
      <c r="ID18" s="759"/>
      <c r="IE18" s="759"/>
      <c r="IF18" s="759"/>
      <c r="IG18" s="759"/>
      <c r="IH18" s="759"/>
      <c r="II18" s="759"/>
      <c r="IJ18" s="759"/>
      <c r="IK18" s="759"/>
      <c r="IL18" s="759"/>
      <c r="IM18" s="759"/>
      <c r="IN18" s="759"/>
      <c r="IO18" s="759"/>
      <c r="IP18" s="759"/>
      <c r="IQ18" s="759"/>
      <c r="IR18" s="759"/>
      <c r="IS18" s="759"/>
      <c r="IT18" s="759"/>
      <c r="IU18" s="759"/>
      <c r="IV18" s="759"/>
      <c r="IW18" s="759"/>
    </row>
    <row r="19" customFormat="false" ht="12.6" hidden="false" customHeight="true" outlineLevel="0" collapsed="false">
      <c r="A19" s="412"/>
      <c r="B19" s="385"/>
      <c r="C19" s="788"/>
      <c r="D19" s="803"/>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416"/>
      <c r="AF19" s="794"/>
      <c r="AU19" s="794"/>
    </row>
    <row r="20" customFormat="false" ht="12.6" hidden="false" customHeight="true" outlineLevel="0" collapsed="false">
      <c r="A20" s="787" t="s">
        <v>562</v>
      </c>
      <c r="B20" s="804"/>
      <c r="C20" s="805" t="n">
        <f aca="false">SUM(C6:C12)</f>
        <v>726846.218961261</v>
      </c>
      <c r="D20" s="792" t="n">
        <f aca="false">IF(D3&gt;'Project Assumptions'!$I$16,0,D6+D7+D8-D9+D10-D11-D12-D16-D18-D15)</f>
        <v>-5718.33482201103</v>
      </c>
      <c r="E20" s="792" t="n">
        <f aca="false">IF(E3&gt;'Project Assumptions'!$I$16,0,E6+E7+E8-E9+E10-E11-E12-E16-E17-E18-E15)</f>
        <v>3459.97284195981</v>
      </c>
      <c r="F20" s="792" t="n">
        <f aca="false">IF(F3&gt;'Project Assumptions'!$I$16,0,F6+F7+F8-F9+F10-F11-F12-F16-F18-F15)</f>
        <v>4731.46710293299</v>
      </c>
      <c r="G20" s="792" t="n">
        <f aca="false">IF(G3&gt;'Project Assumptions'!$I$16,0,G6+G7+G8-G9+G10-G11-G12-G16-G18-G15)</f>
        <v>3389.98466285842</v>
      </c>
      <c r="H20" s="792" t="n">
        <f aca="false">IF(H3&gt;'Project Assumptions'!$I$16,0,H6+H7+H8-H9+H10-H11-H12-H16-H18-H15)</f>
        <v>13139.5347754599</v>
      </c>
      <c r="I20" s="792" t="n">
        <f aca="false">IF(I3&gt;'Project Assumptions'!$I$16,0,I6+I7+I8-I9+I10-I11-I12-I16-I18-I15)</f>
        <v>17942.427757469</v>
      </c>
      <c r="J20" s="792" t="n">
        <f aca="false">IF(J3&gt;'Project Assumptions'!$I$16,0,J6+J7+J8-J9+J10-J11-J12-J16-J18-J15)</f>
        <v>17991.8710618335</v>
      </c>
      <c r="K20" s="792" t="n">
        <f aca="false">IF(K3&gt;'Project Assumptions'!$I$16,0,K6+K7+K8-K9+K10-K11-K12-K16-K18-K15)</f>
        <v>18722.4500480897</v>
      </c>
      <c r="L20" s="792" t="n">
        <f aca="false">IF(L3&gt;'Project Assumptions'!$I$16,0,L6+L7+L8-L9+L10-L11-L12-L16-L18-L15)</f>
        <v>16595.068490033</v>
      </c>
      <c r="M20" s="792" t="n">
        <f aca="false">IF(M3&gt;'Project Assumptions'!$I$16,0,M6+M7+M8-M9+M10-M11-M12-M16-M18-M15)</f>
        <v>15210.4516056594</v>
      </c>
      <c r="N20" s="792" t="n">
        <f aca="false">IF(N3&gt;'Project Assumptions'!$I$16,0,N6+N7+N8-N9+N10-N11-N12-N16-N18-N15)</f>
        <v>25793.4656853358</v>
      </c>
      <c r="O20" s="792" t="n">
        <f aca="false">IF(O3&gt;'Project Assumptions'!$I$16,0,O6+O7+O8-O9+O10-O11-O12-O16-O18-O15)</f>
        <v>25672.0124057217</v>
      </c>
      <c r="P20" s="792" t="n">
        <f aca="false">IF(P3&gt;'Project Assumptions'!$I$16,0,P6+P7+P8-P9+P10-P11-P12-P16-P18-P15)</f>
        <v>26159.4949633695</v>
      </c>
      <c r="Q20" s="792" t="n">
        <f aca="false">IF(Q3&gt;'Project Assumptions'!$I$16,0,Q6+Q7+Q8-Q9+Q10-Q11-Q12-Q16-Q18-Q15)</f>
        <v>26796.3332581465</v>
      </c>
      <c r="R20" s="792" t="n">
        <f aca="false">IF(R3&gt;'Project Assumptions'!$I$16,0,R6+R7+R8-R9+R10-R11-R12-R16-R18-R15)</f>
        <v>27436.337592901</v>
      </c>
      <c r="S20" s="792" t="n">
        <f aca="false">IF(S3&gt;'Project Assumptions'!$I$16,0,S6+S7+S8-S9+S10-S11-S12-S16-S18-S15)</f>
        <v>28061.7957369448</v>
      </c>
      <c r="T20" s="792" t="n">
        <f aca="false">IF(T3&gt;'Project Assumptions'!$I$16,0,T6+T7+T8-T9+T10-T11-T12-T16-T18-T15)</f>
        <v>25483.2506902538</v>
      </c>
      <c r="U20" s="792" t="n">
        <f aca="false">IF(U3&gt;'Project Assumptions'!$I$16,0,U6+U7+U8-U9+U10-U11-U12-U16-U18-U15)</f>
        <v>25095.439511117</v>
      </c>
      <c r="V20" s="792" t="n">
        <f aca="false">IF(V3&gt;'Project Assumptions'!$I$16,0,V6+V7+V8-V9+V10-V11-V12-V16-V18-V15)</f>
        <v>24172.7751481326</v>
      </c>
      <c r="W20" s="792" t="n">
        <f aca="false">IF(W3&gt;'Project Assumptions'!$I$16,0,W6+W7+W8-W9+W10-W11-W12-W16-W18-W15)</f>
        <v>24023.7433973899</v>
      </c>
      <c r="X20" s="792" t="n">
        <f aca="false">IF(X3&gt;'Project Assumptions'!$I$16+1,0,X6+X7+X8-X9+X10-X11-X12-X16-X18-X15)</f>
        <v>35975.0983915274</v>
      </c>
      <c r="Y20" s="792" t="n">
        <f aca="false">IF(Y3&gt;'Project Assumptions'!$I$16,0,Y6+Y7+Y8-Y9+Y10-Y11-Y12-Y16-Y18-Y15)</f>
        <v>0</v>
      </c>
      <c r="Z20" s="792" t="n">
        <f aca="false">IF(Z3&gt;'Project Assumptions'!$I$16,0,Z6+Z7+Z8-Z9+Z10-Z11-Z12-Z16-Z18-Z15)</f>
        <v>0</v>
      </c>
      <c r="AA20" s="792" t="n">
        <f aca="false">IF(AA3&gt;'Project Assumptions'!$I$16,0,AA6+AA7+AA8-AA9+AA10-AA11-AA12-AA16-AA18-AA15)</f>
        <v>0</v>
      </c>
      <c r="AB20" s="793" t="n">
        <f aca="false">IF(AB3&gt;'Project Assumptions'!$I$16,0,AB6+AB7+AB8-AB9+AB10-AB11-AB12-AB16-AB18-AB15)</f>
        <v>0</v>
      </c>
      <c r="AC20" s="789"/>
      <c r="AD20" s="790"/>
      <c r="AF20" s="794"/>
      <c r="AP20" s="796"/>
      <c r="AQ20" s="796"/>
      <c r="AR20" s="796"/>
      <c r="AS20" s="796"/>
      <c r="AU20" s="794"/>
    </row>
    <row r="21" customFormat="false" ht="12.6" hidden="false" customHeight="true" outlineLevel="0" collapsed="false">
      <c r="A21" s="412" t="s">
        <v>563</v>
      </c>
      <c r="B21" s="557"/>
      <c r="C21" s="806"/>
      <c r="D21" s="807" t="n">
        <f aca="false">'Tax Calculations'!D37+'Tax Calculations'!D54</f>
        <v>0</v>
      </c>
      <c r="E21" s="807" t="n">
        <f aca="false">'Tax Calculations'!E37+'Tax Calculations'!E54</f>
        <v>0</v>
      </c>
      <c r="F21" s="807" t="n">
        <f aca="false">'Tax Calculations'!F37+'Tax Calculations'!F54</f>
        <v>0</v>
      </c>
      <c r="G21" s="807" t="n">
        <f aca="false">'Tax Calculations'!G37+'Tax Calculations'!G54</f>
        <v>0</v>
      </c>
      <c r="H21" s="807" t="n">
        <f aca="false">'Tax Calculations'!H37+'Tax Calculations'!H54</f>
        <v>0</v>
      </c>
      <c r="I21" s="807" t="n">
        <f aca="false">'Tax Calculations'!I37+'Tax Calculations'!I54</f>
        <v>1098.87413558183</v>
      </c>
      <c r="J21" s="807" t="n">
        <f aca="false">'Tax Calculations'!J37+'Tax Calculations'!J54</f>
        <v>5474.84391390058</v>
      </c>
      <c r="K21" s="807" t="n">
        <f aca="false">'Tax Calculations'!K37+'Tax Calculations'!K54</f>
        <v>5754.4635681902</v>
      </c>
      <c r="L21" s="807" t="n">
        <f aca="false">'Tax Calculations'!L37+'Tax Calculations'!L54</f>
        <v>6282.35669902149</v>
      </c>
      <c r="M21" s="807" t="n">
        <f aca="false">'Tax Calculations'!M37+'Tax Calculations'!M54</f>
        <v>6659.0575389606</v>
      </c>
      <c r="N21" s="807" t="n">
        <f aca="false">'Tax Calculations'!N37+'Tax Calculations'!N54</f>
        <v>7374.81277005946</v>
      </c>
      <c r="O21" s="807" t="n">
        <f aca="false">'Tax Calculations'!O37+'Tax Calculations'!O54</f>
        <v>7261.14097663272</v>
      </c>
      <c r="P21" s="807" t="n">
        <f aca="false">'Tax Calculations'!P37+'Tax Calculations'!P54</f>
        <v>7782.09780108824</v>
      </c>
      <c r="Q21" s="807" t="n">
        <f aca="false">'Tax Calculations'!Q37+'Tax Calculations'!Q54</f>
        <v>8026.43317855633</v>
      </c>
      <c r="R21" s="807" t="n">
        <f aca="false">'Tax Calculations'!R37+'Tax Calculations'!R54</f>
        <v>8276.85541338791</v>
      </c>
      <c r="S21" s="807" t="n">
        <f aca="false">'Tax Calculations'!S37+'Tax Calculations'!S54</f>
        <v>10208.1293059447</v>
      </c>
      <c r="T21" s="807" t="n">
        <f aca="false">'Tax Calculations'!T37+'Tax Calculations'!T54</f>
        <v>12180.0359660531</v>
      </c>
      <c r="U21" s="807" t="n">
        <f aca="false">'Tax Calculations'!U37+'Tax Calculations'!U54</f>
        <v>12559.7934965372</v>
      </c>
      <c r="V21" s="807" t="n">
        <f aca="false">'Tax Calculations'!V37+'Tax Calculations'!V54</f>
        <v>12938.6925026956</v>
      </c>
      <c r="W21" s="807" t="n">
        <f aca="false">'Tax Calculations'!W37+'Tax Calculations'!W54</f>
        <v>13331.3747690133</v>
      </c>
      <c r="X21" s="807" t="n">
        <f aca="false">'Tax Calculations'!X37+'Tax Calculations'!X54</f>
        <v>13760.4751347592</v>
      </c>
      <c r="Y21" s="807" t="n">
        <f aca="false">'Tax Calculations'!Y37+'Tax Calculations'!Y54</f>
        <v>0</v>
      </c>
      <c r="Z21" s="807" t="n">
        <f aca="false">'Tax Calculations'!Z37+'Tax Calculations'!Z54</f>
        <v>0</v>
      </c>
      <c r="AA21" s="807" t="n">
        <f aca="false">'Tax Calculations'!AA37+'Tax Calculations'!AA54</f>
        <v>0</v>
      </c>
      <c r="AB21" s="808" t="n">
        <f aca="false">'Tax Calculations'!AB37+'Tax Calculations'!AB54</f>
        <v>0</v>
      </c>
      <c r="AC21" s="557"/>
      <c r="AD21" s="558"/>
      <c r="AE21" s="558"/>
      <c r="AF21" s="558"/>
      <c r="AG21" s="558"/>
      <c r="AH21" s="558"/>
      <c r="AI21" s="558"/>
      <c r="AJ21" s="558"/>
      <c r="AK21" s="558"/>
      <c r="AL21" s="558"/>
      <c r="AM21" s="558"/>
      <c r="AN21" s="558"/>
      <c r="AO21" s="558"/>
      <c r="AP21" s="558"/>
      <c r="AQ21" s="558"/>
      <c r="AR21" s="558"/>
      <c r="AS21" s="558"/>
      <c r="AT21" s="558"/>
      <c r="AU21" s="558"/>
      <c r="AV21" s="558"/>
      <c r="AW21" s="558"/>
      <c r="AX21" s="558"/>
      <c r="AY21" s="558"/>
      <c r="AZ21" s="558"/>
      <c r="BA21" s="558"/>
      <c r="BB21" s="558"/>
      <c r="BC21" s="558"/>
      <c r="BD21" s="558"/>
      <c r="BE21" s="558"/>
      <c r="BF21" s="558"/>
      <c r="BG21" s="558"/>
      <c r="BH21" s="558"/>
      <c r="BI21" s="558"/>
      <c r="BJ21" s="558"/>
      <c r="BK21" s="558"/>
      <c r="BL21" s="558"/>
      <c r="BM21" s="558"/>
      <c r="BN21" s="558"/>
      <c r="BO21" s="558"/>
      <c r="BP21" s="558"/>
      <c r="BQ21" s="558"/>
      <c r="BR21" s="558"/>
      <c r="BS21" s="558"/>
      <c r="BT21" s="558"/>
      <c r="BU21" s="558"/>
      <c r="BV21" s="558"/>
      <c r="BW21" s="558"/>
      <c r="BX21" s="558"/>
      <c r="BY21" s="558"/>
      <c r="BZ21" s="558"/>
      <c r="CA21" s="558"/>
      <c r="CB21" s="558"/>
      <c r="CC21" s="558"/>
      <c r="CD21" s="558"/>
      <c r="CE21" s="558"/>
      <c r="CF21" s="558"/>
      <c r="CG21" s="558"/>
      <c r="CH21" s="558"/>
      <c r="CI21" s="558"/>
      <c r="CJ21" s="558"/>
      <c r="CK21" s="558"/>
      <c r="CL21" s="558"/>
      <c r="CM21" s="558"/>
      <c r="CN21" s="558"/>
      <c r="CO21" s="558"/>
      <c r="CP21" s="558"/>
      <c r="CQ21" s="558"/>
      <c r="CR21" s="558"/>
      <c r="CS21" s="558"/>
      <c r="CT21" s="558"/>
      <c r="CU21" s="558"/>
      <c r="CV21" s="558"/>
      <c r="CW21" s="558"/>
      <c r="CX21" s="558"/>
      <c r="CY21" s="558"/>
      <c r="CZ21" s="558"/>
      <c r="DA21" s="558"/>
      <c r="DB21" s="558"/>
      <c r="DC21" s="558"/>
      <c r="DD21" s="558"/>
      <c r="DE21" s="558"/>
      <c r="DF21" s="558"/>
      <c r="DG21" s="558"/>
      <c r="DH21" s="558"/>
      <c r="DI21" s="558"/>
      <c r="DJ21" s="558"/>
      <c r="DK21" s="558"/>
      <c r="DL21" s="558"/>
      <c r="DM21" s="558"/>
      <c r="DN21" s="558"/>
      <c r="DO21" s="558"/>
      <c r="DP21" s="558"/>
      <c r="DQ21" s="558"/>
      <c r="DR21" s="558"/>
      <c r="DS21" s="558"/>
      <c r="DT21" s="558"/>
      <c r="DU21" s="558"/>
      <c r="DV21" s="558"/>
      <c r="DW21" s="558"/>
      <c r="DX21" s="558"/>
      <c r="DY21" s="558"/>
      <c r="DZ21" s="558"/>
      <c r="EA21" s="558"/>
      <c r="EB21" s="558"/>
      <c r="EC21" s="558"/>
      <c r="ED21" s="558"/>
      <c r="EE21" s="558"/>
      <c r="EF21" s="558"/>
      <c r="EG21" s="558"/>
      <c r="EH21" s="558"/>
      <c r="EI21" s="558"/>
      <c r="EJ21" s="558"/>
      <c r="EK21" s="558"/>
      <c r="EL21" s="558"/>
      <c r="EM21" s="558"/>
      <c r="EN21" s="558"/>
      <c r="EO21" s="558"/>
      <c r="EP21" s="558"/>
      <c r="EQ21" s="558"/>
      <c r="ER21" s="558"/>
      <c r="ES21" s="558"/>
      <c r="ET21" s="558"/>
      <c r="EU21" s="558"/>
      <c r="EV21" s="558"/>
      <c r="EW21" s="558"/>
      <c r="EX21" s="558"/>
      <c r="EY21" s="558"/>
      <c r="EZ21" s="558"/>
      <c r="FA21" s="558"/>
      <c r="FB21" s="558"/>
      <c r="FC21" s="558"/>
      <c r="FD21" s="558"/>
      <c r="FE21" s="558"/>
      <c r="FF21" s="558"/>
      <c r="FG21" s="558"/>
      <c r="FH21" s="558"/>
      <c r="FI21" s="558"/>
      <c r="FJ21" s="558"/>
      <c r="FK21" s="558"/>
      <c r="FL21" s="558"/>
      <c r="FM21" s="558"/>
      <c r="FN21" s="558"/>
      <c r="FO21" s="558"/>
      <c r="FP21" s="558"/>
      <c r="FQ21" s="558"/>
      <c r="FR21" s="558"/>
      <c r="FS21" s="558"/>
      <c r="FT21" s="558"/>
      <c r="FU21" s="558"/>
      <c r="FV21" s="558"/>
      <c r="FW21" s="558"/>
      <c r="FX21" s="558"/>
      <c r="FY21" s="558"/>
      <c r="FZ21" s="558"/>
      <c r="GA21" s="558"/>
      <c r="GB21" s="558"/>
      <c r="GC21" s="558"/>
      <c r="GD21" s="558"/>
      <c r="GE21" s="558"/>
      <c r="GF21" s="558"/>
      <c r="GG21" s="558"/>
      <c r="GH21" s="558"/>
      <c r="GI21" s="558"/>
      <c r="GJ21" s="558"/>
      <c r="GK21" s="558"/>
      <c r="GL21" s="558"/>
      <c r="GM21" s="558"/>
      <c r="GN21" s="558"/>
      <c r="GO21" s="558"/>
      <c r="GP21" s="558"/>
      <c r="GQ21" s="558"/>
      <c r="GR21" s="558"/>
      <c r="GS21" s="558"/>
      <c r="GT21" s="558"/>
      <c r="GU21" s="558"/>
      <c r="GV21" s="558"/>
      <c r="GW21" s="558"/>
      <c r="GX21" s="558"/>
      <c r="GY21" s="558"/>
      <c r="GZ21" s="558"/>
      <c r="HA21" s="558"/>
      <c r="HB21" s="558"/>
      <c r="HC21" s="558"/>
      <c r="HD21" s="558"/>
      <c r="HE21" s="558"/>
      <c r="HF21" s="558"/>
      <c r="HG21" s="558"/>
      <c r="HH21" s="558"/>
      <c r="HI21" s="558"/>
      <c r="HJ21" s="558"/>
      <c r="HK21" s="558"/>
      <c r="HL21" s="558"/>
      <c r="HM21" s="558"/>
      <c r="HN21" s="558"/>
      <c r="HO21" s="558"/>
      <c r="HP21" s="558"/>
      <c r="HQ21" s="558"/>
      <c r="HR21" s="558"/>
      <c r="HS21" s="558"/>
      <c r="HT21" s="558"/>
      <c r="HU21" s="558"/>
      <c r="HV21" s="558"/>
      <c r="HW21" s="558"/>
      <c r="HX21" s="558"/>
      <c r="HY21" s="558"/>
      <c r="HZ21" s="558"/>
      <c r="IA21" s="558"/>
      <c r="IB21" s="558"/>
      <c r="IC21" s="558"/>
      <c r="ID21" s="558"/>
      <c r="IE21" s="558"/>
      <c r="IF21" s="558"/>
      <c r="IG21" s="558"/>
      <c r="IH21" s="558"/>
      <c r="II21" s="558"/>
      <c r="IJ21" s="558"/>
      <c r="IK21" s="558"/>
      <c r="IL21" s="558"/>
      <c r="IM21" s="558"/>
      <c r="IN21" s="558"/>
      <c r="IO21" s="558"/>
      <c r="IP21" s="558"/>
      <c r="IQ21" s="558"/>
      <c r="IR21" s="558"/>
      <c r="IS21" s="558"/>
      <c r="IT21" s="558"/>
      <c r="IU21" s="558"/>
      <c r="IV21" s="558"/>
      <c r="IW21" s="558"/>
    </row>
    <row r="22" customFormat="false" ht="12.6" hidden="false" customHeight="true" outlineLevel="0" collapsed="false">
      <c r="A22" s="809" t="s">
        <v>10</v>
      </c>
      <c r="B22" s="720"/>
      <c r="C22" s="810" t="n">
        <f aca="false">C20-C21</f>
        <v>726846.218961261</v>
      </c>
      <c r="D22" s="811" t="n">
        <f aca="false">IF(D3&gt;'Project Assumptions'!$I$16,0,D20-D21)</f>
        <v>-5718.33482201103</v>
      </c>
      <c r="E22" s="811" t="n">
        <f aca="false">IF(E3&gt;'Project Assumptions'!$I$16,0,E20-E21)</f>
        <v>3459.97284195981</v>
      </c>
      <c r="F22" s="811" t="n">
        <f aca="false">IF(F3&gt;'Project Assumptions'!$I$16,0,F20-F21)</f>
        <v>4731.46710293299</v>
      </c>
      <c r="G22" s="811" t="n">
        <f aca="false">IF(G3&gt;'Project Assumptions'!$I$16,0,G20-G21)</f>
        <v>3389.98466285842</v>
      </c>
      <c r="H22" s="811" t="n">
        <f aca="false">IF(H3&gt;'Project Assumptions'!$I$16,0,H20-H21)</f>
        <v>13139.5347754599</v>
      </c>
      <c r="I22" s="811" t="n">
        <f aca="false">IF(I3&gt;'Project Assumptions'!$I$16,0,I20-I21)</f>
        <v>16843.5536218872</v>
      </c>
      <c r="J22" s="811" t="n">
        <f aca="false">IF(J3&gt;'Project Assumptions'!$I$16,0,J20-J21)</f>
        <v>12517.027147933</v>
      </c>
      <c r="K22" s="811" t="n">
        <f aca="false">IF(K3&gt;'Project Assumptions'!$I$16,0,K20-K21)</f>
        <v>12967.9864798995</v>
      </c>
      <c r="L22" s="811" t="n">
        <f aca="false">IF(L3&gt;'Project Assumptions'!$I$16,0,L20-L21)</f>
        <v>10312.7117910115</v>
      </c>
      <c r="M22" s="811" t="n">
        <f aca="false">IF(M3&gt;'Project Assumptions'!$I$16,0,M20-M21)</f>
        <v>8551.3940666988</v>
      </c>
      <c r="N22" s="811" t="n">
        <f aca="false">IF(N3&gt;'Project Assumptions'!$I$16,0,N20-N21)</f>
        <v>18418.6529152764</v>
      </c>
      <c r="O22" s="811" t="n">
        <f aca="false">IF(O3&gt;'Project Assumptions'!$I$16,0,O20-O21)</f>
        <v>18410.8714290889</v>
      </c>
      <c r="P22" s="811" t="n">
        <f aca="false">IF(P3&gt;'Project Assumptions'!$I$16,0,P20-P21)</f>
        <v>18377.3971622813</v>
      </c>
      <c r="Q22" s="811" t="n">
        <f aca="false">IF(Q3&gt;'Project Assumptions'!$I$16,0,Q20-Q21)</f>
        <v>18769.9000795902</v>
      </c>
      <c r="R22" s="811" t="n">
        <f aca="false">IF(R3&gt;'Project Assumptions'!$I$16,0,R20-R21)</f>
        <v>19159.4821795131</v>
      </c>
      <c r="S22" s="811" t="n">
        <f aca="false">IF(S3&gt;'Project Assumptions'!$I$16,0,S20-S21)</f>
        <v>17853.6664310001</v>
      </c>
      <c r="T22" s="811" t="n">
        <f aca="false">IF(T3&gt;'Project Assumptions'!$I$16,0,T20-T21)</f>
        <v>13303.2147242007</v>
      </c>
      <c r="U22" s="811" t="n">
        <f aca="false">IF(U3&gt;'Project Assumptions'!$I$16,0,U20-U21)</f>
        <v>12535.6460145798</v>
      </c>
      <c r="V22" s="811" t="n">
        <f aca="false">IF(V3&gt;'Project Assumptions'!$I$16,0,V20-V21)</f>
        <v>11234.0826454369</v>
      </c>
      <c r="W22" s="811" t="n">
        <f aca="false">IF(W3&gt;'Project Assumptions'!$I$16,0,W20-W21)</f>
        <v>10692.3686283766</v>
      </c>
      <c r="X22" s="811" t="n">
        <f aca="false">IF(X3&gt;'Project Assumptions'!$I$16+1,0,X20-X21)</f>
        <v>22214.6232567682</v>
      </c>
      <c r="Y22" s="811" t="n">
        <f aca="false">IF(Y3&gt;'Project Assumptions'!$I$16,0,Y20-Y21)</f>
        <v>0</v>
      </c>
      <c r="Z22" s="811" t="n">
        <f aca="false">IF(Z3&gt;'Project Assumptions'!$I$16,0,Z20-Z21)</f>
        <v>0</v>
      </c>
      <c r="AA22" s="811" t="n">
        <f aca="false">IF(AA3&gt;'Project Assumptions'!$I$16,0,AA20-AA21)</f>
        <v>0</v>
      </c>
      <c r="AB22" s="812" t="n">
        <f aca="false">IF(AB3&gt;'Project Assumptions'!$I$16,0,AB20-AB21)</f>
        <v>0</v>
      </c>
      <c r="AC22" s="438"/>
      <c r="AD22" s="713"/>
      <c r="AE22" s="713"/>
      <c r="AF22" s="713"/>
      <c r="AG22" s="713"/>
      <c r="AH22" s="713"/>
      <c r="AI22" s="713"/>
      <c r="AJ22" s="713"/>
      <c r="AK22" s="713"/>
      <c r="AL22" s="713"/>
      <c r="AM22" s="713"/>
      <c r="AN22" s="713"/>
      <c r="AO22" s="713"/>
      <c r="AP22" s="713"/>
      <c r="AQ22" s="713"/>
      <c r="AR22" s="713"/>
      <c r="AS22" s="713"/>
      <c r="AT22" s="713"/>
      <c r="AU22" s="713"/>
      <c r="AV22" s="713"/>
      <c r="AW22" s="713"/>
      <c r="AX22" s="713"/>
      <c r="AY22" s="713"/>
      <c r="AZ22" s="713"/>
      <c r="BA22" s="713"/>
      <c r="BB22" s="713"/>
      <c r="BC22" s="713"/>
      <c r="BD22" s="713"/>
      <c r="BE22" s="713"/>
      <c r="BF22" s="713"/>
      <c r="BG22" s="713"/>
      <c r="BH22" s="713"/>
      <c r="BI22" s="713"/>
      <c r="BJ22" s="713"/>
      <c r="BK22" s="713"/>
      <c r="BL22" s="713"/>
      <c r="BM22" s="713"/>
      <c r="BN22" s="713"/>
      <c r="BO22" s="713"/>
      <c r="BP22" s="713"/>
      <c r="BQ22" s="713"/>
      <c r="BR22" s="713"/>
      <c r="BS22" s="713"/>
      <c r="BT22" s="713"/>
      <c r="BU22" s="713"/>
      <c r="BV22" s="713"/>
      <c r="BW22" s="713"/>
      <c r="BX22" s="713"/>
      <c r="BY22" s="713"/>
      <c r="BZ22" s="713"/>
      <c r="CA22" s="713"/>
      <c r="CB22" s="713"/>
      <c r="CC22" s="713"/>
      <c r="CD22" s="713"/>
      <c r="CE22" s="713"/>
      <c r="CF22" s="713"/>
      <c r="CG22" s="713"/>
      <c r="CH22" s="713"/>
      <c r="CI22" s="713"/>
      <c r="CJ22" s="713"/>
      <c r="CK22" s="713"/>
      <c r="CL22" s="713"/>
      <c r="CM22" s="713"/>
      <c r="CN22" s="713"/>
      <c r="CO22" s="713"/>
      <c r="CP22" s="713"/>
      <c r="CQ22" s="713"/>
      <c r="CR22" s="713"/>
      <c r="CS22" s="713"/>
      <c r="CT22" s="713"/>
      <c r="CU22" s="713"/>
      <c r="CV22" s="713"/>
      <c r="CW22" s="713"/>
      <c r="CX22" s="713"/>
      <c r="CY22" s="713"/>
      <c r="CZ22" s="713"/>
      <c r="DA22" s="713"/>
      <c r="DB22" s="713"/>
      <c r="DC22" s="713"/>
      <c r="DD22" s="713"/>
      <c r="DE22" s="713"/>
      <c r="DF22" s="713"/>
      <c r="DG22" s="713"/>
      <c r="DH22" s="713"/>
      <c r="DI22" s="713"/>
      <c r="DJ22" s="713"/>
      <c r="DK22" s="713"/>
      <c r="DL22" s="713"/>
      <c r="DM22" s="713"/>
      <c r="DN22" s="713"/>
      <c r="DO22" s="713"/>
      <c r="DP22" s="713"/>
      <c r="DQ22" s="713"/>
      <c r="DR22" s="713"/>
      <c r="DS22" s="713"/>
      <c r="DT22" s="713"/>
      <c r="DU22" s="713"/>
      <c r="DV22" s="713"/>
      <c r="DW22" s="713"/>
      <c r="DX22" s="713"/>
      <c r="DY22" s="713"/>
      <c r="DZ22" s="713"/>
      <c r="EA22" s="713"/>
      <c r="EB22" s="713"/>
      <c r="EC22" s="713"/>
      <c r="ED22" s="713"/>
      <c r="EE22" s="713"/>
      <c r="EF22" s="713"/>
      <c r="EG22" s="713"/>
      <c r="EH22" s="713"/>
      <c r="EI22" s="713"/>
      <c r="EJ22" s="713"/>
      <c r="EK22" s="713"/>
      <c r="EL22" s="713"/>
      <c r="EM22" s="713"/>
      <c r="EN22" s="713"/>
      <c r="EO22" s="713"/>
      <c r="EP22" s="713"/>
      <c r="EQ22" s="713"/>
      <c r="ER22" s="713"/>
      <c r="ES22" s="713"/>
      <c r="ET22" s="713"/>
      <c r="EU22" s="713"/>
      <c r="EV22" s="713"/>
      <c r="EW22" s="713"/>
      <c r="EX22" s="713"/>
      <c r="EY22" s="713"/>
      <c r="EZ22" s="713"/>
      <c r="FA22" s="713"/>
      <c r="FB22" s="713"/>
      <c r="FC22" s="713"/>
      <c r="FD22" s="713"/>
      <c r="FE22" s="713"/>
      <c r="FF22" s="713"/>
      <c r="FG22" s="713"/>
      <c r="FH22" s="713"/>
      <c r="FI22" s="713"/>
      <c r="FJ22" s="713"/>
      <c r="FK22" s="713"/>
      <c r="FL22" s="713"/>
      <c r="FM22" s="713"/>
      <c r="FN22" s="713"/>
      <c r="FO22" s="713"/>
      <c r="FP22" s="713"/>
      <c r="FQ22" s="713"/>
      <c r="FR22" s="713"/>
      <c r="FS22" s="713"/>
      <c r="FT22" s="713"/>
      <c r="FU22" s="713"/>
      <c r="FV22" s="713"/>
      <c r="FW22" s="713"/>
      <c r="FX22" s="713"/>
      <c r="FY22" s="713"/>
      <c r="FZ22" s="713"/>
      <c r="GA22" s="713"/>
      <c r="GB22" s="713"/>
      <c r="GC22" s="713"/>
      <c r="GD22" s="713"/>
      <c r="GE22" s="713"/>
      <c r="GF22" s="713"/>
      <c r="GG22" s="713"/>
      <c r="GH22" s="713"/>
      <c r="GI22" s="713"/>
      <c r="GJ22" s="713"/>
      <c r="GK22" s="713"/>
      <c r="GL22" s="713"/>
      <c r="GM22" s="713"/>
      <c r="GN22" s="713"/>
      <c r="GO22" s="713"/>
      <c r="GP22" s="713"/>
      <c r="GQ22" s="713"/>
      <c r="GR22" s="713"/>
      <c r="GS22" s="713"/>
      <c r="GT22" s="713"/>
      <c r="GU22" s="713"/>
      <c r="GV22" s="713"/>
      <c r="GW22" s="713"/>
      <c r="GX22" s="713"/>
      <c r="GY22" s="713"/>
      <c r="GZ22" s="713"/>
      <c r="HA22" s="713"/>
      <c r="HB22" s="713"/>
      <c r="HC22" s="713"/>
      <c r="HD22" s="713"/>
      <c r="HE22" s="713"/>
      <c r="HF22" s="713"/>
      <c r="HG22" s="713"/>
      <c r="HH22" s="713"/>
      <c r="HI22" s="713"/>
      <c r="HJ22" s="713"/>
      <c r="HK22" s="713"/>
      <c r="HL22" s="713"/>
      <c r="HM22" s="713"/>
      <c r="HN22" s="713"/>
      <c r="HO22" s="713"/>
      <c r="HP22" s="713"/>
      <c r="HQ22" s="713"/>
      <c r="HR22" s="713"/>
      <c r="HS22" s="713"/>
      <c r="HT22" s="713"/>
      <c r="HU22" s="713"/>
      <c r="HV22" s="713"/>
      <c r="HW22" s="713"/>
      <c r="HX22" s="713"/>
      <c r="HY22" s="713"/>
      <c r="HZ22" s="713"/>
      <c r="IA22" s="713"/>
      <c r="IB22" s="713"/>
      <c r="IC22" s="713"/>
      <c r="ID22" s="713"/>
      <c r="IE22" s="713"/>
      <c r="IF22" s="713"/>
      <c r="IG22" s="713"/>
      <c r="IH22" s="713"/>
      <c r="II22" s="713"/>
      <c r="IJ22" s="713"/>
      <c r="IK22" s="713"/>
      <c r="IL22" s="713"/>
      <c r="IM22" s="713"/>
      <c r="IN22" s="713"/>
      <c r="IO22" s="713"/>
      <c r="IP22" s="713"/>
      <c r="IQ22" s="713"/>
      <c r="IR22" s="713"/>
      <c r="IS22" s="713"/>
      <c r="IT22" s="713"/>
      <c r="IU22" s="713"/>
      <c r="IV22" s="713"/>
      <c r="IW22" s="713"/>
    </row>
    <row r="23" customFormat="false" ht="12.6" hidden="false" customHeight="true" outlineLevel="0" collapsed="false">
      <c r="A23" s="557"/>
      <c r="B23" s="557"/>
      <c r="C23" s="557"/>
      <c r="D23" s="557"/>
      <c r="E23" s="557"/>
      <c r="F23" s="557"/>
      <c r="G23" s="557"/>
      <c r="H23" s="557"/>
      <c r="I23" s="557"/>
      <c r="J23" s="557"/>
      <c r="K23" s="557"/>
      <c r="L23" s="557"/>
      <c r="M23" s="557"/>
      <c r="N23" s="557"/>
      <c r="O23" s="557"/>
      <c r="P23" s="557"/>
      <c r="Q23" s="557"/>
      <c r="R23" s="557"/>
      <c r="S23" s="557"/>
      <c r="T23" s="557"/>
      <c r="U23" s="557"/>
      <c r="V23" s="557"/>
      <c r="W23" s="557"/>
      <c r="X23" s="557"/>
      <c r="Y23" s="557"/>
      <c r="Z23" s="557"/>
      <c r="AA23" s="557"/>
      <c r="AB23" s="557"/>
      <c r="AC23" s="557"/>
      <c r="AD23" s="558"/>
      <c r="AE23" s="558"/>
      <c r="AF23" s="558"/>
      <c r="AG23" s="558"/>
      <c r="AH23" s="558"/>
      <c r="AI23" s="558"/>
      <c r="AJ23" s="558"/>
      <c r="AK23" s="558"/>
      <c r="AL23" s="558"/>
      <c r="AM23" s="558"/>
      <c r="AN23" s="558"/>
      <c r="AO23" s="558"/>
      <c r="AP23" s="558"/>
      <c r="AQ23" s="558"/>
      <c r="AR23" s="558"/>
      <c r="AS23" s="558"/>
      <c r="AT23" s="558"/>
      <c r="AU23" s="558"/>
      <c r="AV23" s="558"/>
      <c r="AW23" s="558"/>
      <c r="AX23" s="558"/>
      <c r="AY23" s="558"/>
      <c r="AZ23" s="558"/>
      <c r="BA23" s="558"/>
      <c r="BB23" s="558"/>
      <c r="BC23" s="558"/>
      <c r="BD23" s="558"/>
      <c r="BE23" s="558"/>
      <c r="BF23" s="558"/>
      <c r="BG23" s="558"/>
      <c r="BH23" s="558"/>
      <c r="BI23" s="558"/>
      <c r="BJ23" s="558"/>
      <c r="BK23" s="558"/>
      <c r="BL23" s="558"/>
      <c r="BM23" s="558"/>
      <c r="BN23" s="558"/>
      <c r="BO23" s="558"/>
      <c r="BP23" s="558"/>
      <c r="BQ23" s="558"/>
      <c r="BR23" s="558"/>
      <c r="BS23" s="558"/>
      <c r="BT23" s="558"/>
      <c r="BU23" s="558"/>
      <c r="BV23" s="558"/>
      <c r="BW23" s="558"/>
      <c r="BX23" s="558"/>
      <c r="BY23" s="558"/>
      <c r="BZ23" s="558"/>
      <c r="CA23" s="558"/>
      <c r="CB23" s="558"/>
      <c r="CC23" s="558"/>
      <c r="CD23" s="558"/>
      <c r="CE23" s="558"/>
      <c r="CF23" s="558"/>
      <c r="CG23" s="558"/>
      <c r="CH23" s="558"/>
      <c r="CI23" s="558"/>
      <c r="CJ23" s="558"/>
      <c r="CK23" s="558"/>
      <c r="CL23" s="558"/>
      <c r="CM23" s="558"/>
      <c r="CN23" s="558"/>
      <c r="CO23" s="558"/>
      <c r="CP23" s="558"/>
      <c r="CQ23" s="558"/>
      <c r="CR23" s="558"/>
      <c r="CS23" s="558"/>
      <c r="CT23" s="558"/>
      <c r="CU23" s="558"/>
      <c r="CV23" s="558"/>
      <c r="CW23" s="558"/>
      <c r="CX23" s="558"/>
      <c r="CY23" s="558"/>
      <c r="CZ23" s="558"/>
      <c r="DA23" s="558"/>
      <c r="DB23" s="558"/>
      <c r="DC23" s="558"/>
      <c r="DD23" s="558"/>
      <c r="DE23" s="558"/>
      <c r="DF23" s="558"/>
      <c r="DG23" s="558"/>
      <c r="DH23" s="558"/>
      <c r="DI23" s="558"/>
      <c r="DJ23" s="558"/>
      <c r="DK23" s="558"/>
      <c r="DL23" s="558"/>
      <c r="DM23" s="558"/>
      <c r="DN23" s="558"/>
      <c r="DO23" s="558"/>
      <c r="DP23" s="558"/>
      <c r="DQ23" s="558"/>
      <c r="DR23" s="558"/>
      <c r="DS23" s="558"/>
      <c r="DT23" s="558"/>
      <c r="DU23" s="558"/>
      <c r="DV23" s="558"/>
      <c r="DW23" s="558"/>
      <c r="DX23" s="558"/>
      <c r="DY23" s="558"/>
      <c r="DZ23" s="558"/>
      <c r="EA23" s="558"/>
      <c r="EB23" s="558"/>
      <c r="EC23" s="558"/>
      <c r="ED23" s="558"/>
      <c r="EE23" s="558"/>
      <c r="EF23" s="558"/>
      <c r="EG23" s="558"/>
      <c r="EH23" s="558"/>
      <c r="EI23" s="558"/>
      <c r="EJ23" s="558"/>
      <c r="EK23" s="558"/>
      <c r="EL23" s="558"/>
      <c r="EM23" s="558"/>
      <c r="EN23" s="558"/>
      <c r="EO23" s="558"/>
      <c r="EP23" s="558"/>
      <c r="EQ23" s="558"/>
      <c r="ER23" s="558"/>
      <c r="ES23" s="558"/>
      <c r="ET23" s="558"/>
      <c r="EU23" s="558"/>
      <c r="EV23" s="558"/>
      <c r="EW23" s="558"/>
      <c r="EX23" s="558"/>
      <c r="EY23" s="558"/>
      <c r="EZ23" s="558"/>
      <c r="FA23" s="558"/>
      <c r="FB23" s="558"/>
      <c r="FC23" s="558"/>
      <c r="FD23" s="558"/>
      <c r="FE23" s="558"/>
      <c r="FF23" s="558"/>
      <c r="FG23" s="558"/>
      <c r="FH23" s="558"/>
      <c r="FI23" s="558"/>
      <c r="FJ23" s="558"/>
      <c r="FK23" s="558"/>
      <c r="FL23" s="558"/>
      <c r="FM23" s="558"/>
      <c r="FN23" s="558"/>
      <c r="FO23" s="558"/>
      <c r="FP23" s="558"/>
      <c r="FQ23" s="558"/>
      <c r="FR23" s="558"/>
      <c r="FS23" s="558"/>
      <c r="FT23" s="558"/>
      <c r="FU23" s="558"/>
      <c r="FV23" s="558"/>
      <c r="FW23" s="558"/>
      <c r="FX23" s="558"/>
      <c r="FY23" s="558"/>
      <c r="FZ23" s="558"/>
      <c r="GA23" s="558"/>
      <c r="GB23" s="558"/>
      <c r="GC23" s="558"/>
      <c r="GD23" s="558"/>
      <c r="GE23" s="558"/>
      <c r="GF23" s="558"/>
      <c r="GG23" s="558"/>
      <c r="GH23" s="558"/>
      <c r="GI23" s="558"/>
      <c r="GJ23" s="558"/>
      <c r="GK23" s="558"/>
      <c r="GL23" s="558"/>
      <c r="GM23" s="558"/>
      <c r="GN23" s="558"/>
      <c r="GO23" s="558"/>
      <c r="GP23" s="558"/>
      <c r="GQ23" s="558"/>
      <c r="GR23" s="558"/>
      <c r="GS23" s="558"/>
      <c r="GT23" s="558"/>
      <c r="GU23" s="558"/>
      <c r="GV23" s="558"/>
      <c r="GW23" s="558"/>
      <c r="GX23" s="558"/>
      <c r="GY23" s="558"/>
      <c r="GZ23" s="558"/>
      <c r="HA23" s="558"/>
      <c r="HB23" s="558"/>
      <c r="HC23" s="558"/>
      <c r="HD23" s="558"/>
      <c r="HE23" s="558"/>
      <c r="HF23" s="558"/>
      <c r="HG23" s="558"/>
      <c r="HH23" s="558"/>
      <c r="HI23" s="558"/>
      <c r="HJ23" s="558"/>
      <c r="HK23" s="558"/>
      <c r="HL23" s="558"/>
      <c r="HM23" s="558"/>
      <c r="HN23" s="558"/>
      <c r="HO23" s="558"/>
      <c r="HP23" s="558"/>
      <c r="HQ23" s="558"/>
      <c r="HR23" s="558"/>
      <c r="HS23" s="558"/>
      <c r="HT23" s="558"/>
      <c r="HU23" s="558"/>
      <c r="HV23" s="558"/>
      <c r="HW23" s="558"/>
      <c r="HX23" s="558"/>
      <c r="HY23" s="558"/>
      <c r="HZ23" s="558"/>
      <c r="IA23" s="558"/>
      <c r="IB23" s="558"/>
      <c r="IC23" s="558"/>
      <c r="ID23" s="558"/>
      <c r="IE23" s="558"/>
      <c r="IF23" s="558"/>
      <c r="IG23" s="558"/>
      <c r="IH23" s="558"/>
      <c r="II23" s="558"/>
      <c r="IJ23" s="558"/>
      <c r="IK23" s="558"/>
      <c r="IL23" s="558"/>
      <c r="IM23" s="558"/>
      <c r="IN23" s="558"/>
      <c r="IO23" s="558"/>
      <c r="IP23" s="558"/>
      <c r="IQ23" s="558"/>
      <c r="IR23" s="558"/>
      <c r="IS23" s="558"/>
      <c r="IT23" s="558"/>
      <c r="IU23" s="558"/>
      <c r="IV23" s="558"/>
      <c r="IW23" s="558"/>
    </row>
    <row r="25" customFormat="false" ht="12.6" hidden="false" customHeight="true" outlineLevel="0" collapsed="false">
      <c r="A25" s="813" t="s">
        <v>287</v>
      </c>
      <c r="B25" s="380"/>
      <c r="C25" s="380"/>
      <c r="D25" s="814"/>
      <c r="E25" s="380"/>
      <c r="F25" s="380"/>
      <c r="G25" s="380"/>
      <c r="H25" s="380"/>
      <c r="I25" s="380"/>
      <c r="J25" s="380"/>
      <c r="K25" s="380"/>
      <c r="L25" s="380"/>
      <c r="M25" s="380"/>
      <c r="N25" s="380"/>
      <c r="O25" s="380"/>
      <c r="P25" s="380"/>
      <c r="Q25" s="380"/>
      <c r="R25" s="380"/>
      <c r="S25" s="380"/>
      <c r="T25" s="380"/>
      <c r="U25" s="380"/>
      <c r="V25" s="380"/>
      <c r="W25" s="380"/>
      <c r="X25" s="380"/>
      <c r="Y25" s="380"/>
      <c r="Z25" s="380"/>
      <c r="AA25" s="380"/>
      <c r="AB25" s="540"/>
    </row>
    <row r="26" customFormat="false" ht="12.6" hidden="false" customHeight="true" outlineLevel="0" collapsed="false">
      <c r="A26" s="412"/>
      <c r="B26" s="697"/>
      <c r="C26" s="385"/>
      <c r="D26" s="815"/>
      <c r="E26" s="385"/>
      <c r="F26" s="385"/>
      <c r="G26" s="385"/>
      <c r="H26" s="385"/>
      <c r="I26" s="385"/>
      <c r="J26" s="385"/>
      <c r="K26" s="385"/>
      <c r="L26" s="385"/>
      <c r="M26" s="385"/>
      <c r="N26" s="385"/>
      <c r="O26" s="385"/>
      <c r="P26" s="385"/>
      <c r="Q26" s="385"/>
      <c r="R26" s="385"/>
      <c r="S26" s="385"/>
      <c r="T26" s="385"/>
      <c r="U26" s="385"/>
      <c r="V26" s="385"/>
      <c r="W26" s="385"/>
      <c r="X26" s="385"/>
      <c r="Y26" s="385"/>
      <c r="Z26" s="385"/>
      <c r="AA26" s="385"/>
      <c r="AB26" s="416"/>
    </row>
    <row r="27" customFormat="false" ht="12.6" hidden="false" customHeight="true" outlineLevel="0" collapsed="false">
      <c r="A27" s="412" t="s">
        <v>564</v>
      </c>
      <c r="B27" s="697"/>
      <c r="C27" s="385"/>
      <c r="D27" s="404" t="n">
        <f aca="false">+IF(OR(AND(D3&gt;'Project Assumptions'!$I$54,D30=0),'Project Assumptions'!$I$54=0),0,IF(D22&gt;0,D22,0))</f>
        <v>0</v>
      </c>
      <c r="E27" s="404" t="n">
        <f aca="false">+IF(OR(AND(E3&gt;'Project Assumptions'!$I$54,E30=0),'Project Assumptions'!$I$54=0),0,IF(E22&gt;0,E22,0))</f>
        <v>0</v>
      </c>
      <c r="F27" s="404" t="n">
        <f aca="false">+IF(OR(AND(F3&gt;'Project Assumptions'!$I$54,F30=0),'Project Assumptions'!$I$54=0),0,IF(F22&gt;0,F22,0))</f>
        <v>0</v>
      </c>
      <c r="G27" s="404" t="n">
        <f aca="false">+IF(OR(AND(G3&gt;'Project Assumptions'!$I$54,G30=0),'Project Assumptions'!$I$54=0),0,IF(G22&gt;0,G22,0))</f>
        <v>0</v>
      </c>
      <c r="H27" s="404" t="n">
        <f aca="false">+IF(OR(AND(H3&gt;'Project Assumptions'!$I$54,H30=0),'Project Assumptions'!$I$54=0),0,IF(H22&gt;0,H22,0))</f>
        <v>0</v>
      </c>
      <c r="I27" s="404" t="n">
        <f aca="false">+IF(OR(AND(I3&gt;'Project Assumptions'!$I$54,I30=0),'Project Assumptions'!$I$54=0),0,IF(I22&gt;0,I22,0))</f>
        <v>0</v>
      </c>
      <c r="J27" s="404" t="n">
        <f aca="false">+IF(OR(AND(J3&gt;'Project Assumptions'!$I$54,J30=0),'Project Assumptions'!$I$54=0),0,IF(J22&gt;0,J22,0))</f>
        <v>0</v>
      </c>
      <c r="K27" s="404" t="n">
        <f aca="false">+IF(OR(AND(K3&gt;'Project Assumptions'!$I$54,K30=0),'Project Assumptions'!$I$54=0),0,IF(K22&gt;0,K22,0))</f>
        <v>0</v>
      </c>
      <c r="L27" s="404" t="n">
        <f aca="false">+IF(OR(AND(L3&gt;'Project Assumptions'!$I$54,L30=0),'Project Assumptions'!$I$54=0),0,IF(L22&gt;0,L22,0))</f>
        <v>0</v>
      </c>
      <c r="M27" s="404" t="n">
        <f aca="false">+IF(OR(AND(M3&gt;'Project Assumptions'!$I$54,M30=0),'Project Assumptions'!$I$54=0),0,IF(M22&gt;0,M22,0))</f>
        <v>0</v>
      </c>
      <c r="N27" s="404" t="n">
        <f aca="false">+IF(OR(AND(N3&gt;'Project Assumptions'!$I$54,N30=0),'Project Assumptions'!$I$54=0),0,IF(N22&gt;0,N22,0))</f>
        <v>0</v>
      </c>
      <c r="O27" s="404" t="n">
        <f aca="false">+IF(OR(AND(O3&gt;'Project Assumptions'!$I$54,O30=0),'Project Assumptions'!$I$54=0),0,IF(O22&gt;0,O22,0))</f>
        <v>0</v>
      </c>
      <c r="P27" s="404" t="n">
        <f aca="false">+IF(OR(AND(P3&gt;'Project Assumptions'!$I$54,P30=0),'Project Assumptions'!$I$54=0),0,IF(P22&gt;0,P22,0))</f>
        <v>0</v>
      </c>
      <c r="Q27" s="404" t="n">
        <f aca="false">+IF(OR(AND(Q3&gt;'Project Assumptions'!$I$54,Q30=0),'Project Assumptions'!$I$54=0),0,IF(Q22&gt;0,Q22,0))</f>
        <v>0</v>
      </c>
      <c r="R27" s="404" t="n">
        <f aca="false">+IF(OR(AND(R3&gt;'Project Assumptions'!$I$54,R30=0),'Project Assumptions'!$I$54=0),0,IF(R22&gt;0,R22,0))</f>
        <v>0</v>
      </c>
      <c r="S27" s="404" t="n">
        <f aca="false">+IF(OR(AND(S3&gt;'Project Assumptions'!$I$54,S30=0),'Project Assumptions'!$I$54=0),0,IF(S22&gt;0,S22,0))</f>
        <v>0</v>
      </c>
      <c r="T27" s="404" t="n">
        <f aca="false">+IF(OR(AND(T3&gt;'Project Assumptions'!$I$54,T30=0),'Project Assumptions'!$I$54=0),0,IF(T22&gt;0,T22,0))</f>
        <v>0</v>
      </c>
      <c r="U27" s="404" t="n">
        <f aca="false">+IF(OR(AND(U3&gt;'Project Assumptions'!$I$54,U30=0),'Project Assumptions'!$I$54=0),0,IF(U22&gt;0,U22,0))</f>
        <v>0</v>
      </c>
      <c r="V27" s="404" t="n">
        <f aca="false">+IF(OR(AND(V3&gt;'Project Assumptions'!$I$54,V30=0),'Project Assumptions'!$I$54=0),0,IF(V22&gt;0,V22,0))</f>
        <v>0</v>
      </c>
      <c r="W27" s="404" t="n">
        <f aca="false">+IF(OR(AND(W3&gt;'Project Assumptions'!$I$54,W30=0),'Project Assumptions'!$I$54=0),0,IF(W22&gt;0,W22,0))</f>
        <v>0</v>
      </c>
      <c r="X27" s="404" t="n">
        <f aca="false">+IF(OR(AND(X3&gt;'Project Assumptions'!$I$54,X30=0),'Project Assumptions'!$I$54=0),0,IF(X22&gt;0,X22,0))</f>
        <v>0</v>
      </c>
      <c r="Y27" s="404" t="n">
        <f aca="false">+IF(OR(AND(Y3&gt;'Project Assumptions'!$I$54,Y30=0),'Project Assumptions'!$I$54=0),0,IF(Y22&gt;0,Y22,0))</f>
        <v>0</v>
      </c>
      <c r="Z27" s="404" t="n">
        <f aca="false">+IF(OR(AND(Z3&gt;'Project Assumptions'!$I$54,Z30=0),'Project Assumptions'!$I$54=0),0,IF(Z22&gt;0,Z22,0))</f>
        <v>0</v>
      </c>
      <c r="AA27" s="404" t="n">
        <f aca="false">+IF(OR(AND(AA3&gt;'Project Assumptions'!$I$54,AA30=0),'Project Assumptions'!$I$54=0),0,IF(AA22&gt;0,AA22,0))</f>
        <v>0</v>
      </c>
      <c r="AB27" s="816" t="n">
        <f aca="false">+IF(OR(AND(AB3&gt;'Project Assumptions'!$I$54,AB30=0),'Project Assumptions'!$I$54=0),0,IF(AB22&gt;0,AB22,0))</f>
        <v>0</v>
      </c>
    </row>
    <row r="28" customFormat="false" ht="12.6" hidden="false" customHeight="true" outlineLevel="0" collapsed="false">
      <c r="A28" s="412" t="s">
        <v>455</v>
      </c>
      <c r="B28" s="817"/>
      <c r="C28" s="385"/>
      <c r="D28" s="818" t="n">
        <f aca="false">IF('Project Assumptions'!$I$54=0,0,+'Project Assumptions'!$I$56)</f>
        <v>0</v>
      </c>
      <c r="E28" s="385"/>
      <c r="F28" s="385"/>
      <c r="G28" s="385"/>
      <c r="H28" s="385"/>
      <c r="I28" s="385"/>
      <c r="J28" s="385"/>
      <c r="K28" s="385"/>
      <c r="L28" s="385"/>
      <c r="M28" s="385"/>
      <c r="N28" s="385"/>
      <c r="O28" s="385"/>
      <c r="P28" s="385"/>
      <c r="Q28" s="385"/>
      <c r="R28" s="385"/>
      <c r="S28" s="385"/>
      <c r="T28" s="385"/>
      <c r="U28" s="385"/>
      <c r="V28" s="385"/>
      <c r="W28" s="385"/>
      <c r="X28" s="385"/>
      <c r="Y28" s="385"/>
      <c r="Z28" s="385"/>
      <c r="AA28" s="385"/>
      <c r="AB28" s="416"/>
    </row>
    <row r="29" customFormat="false" ht="12.6" hidden="false" customHeight="true" outlineLevel="0" collapsed="false">
      <c r="A29" s="412" t="s">
        <v>565</v>
      </c>
      <c r="B29" s="697"/>
      <c r="C29" s="385"/>
      <c r="D29" s="792" t="n">
        <f aca="false">D28*'Project Assumptions'!$I$55</f>
        <v>0</v>
      </c>
      <c r="E29" s="792" t="n">
        <f aca="false">+D32*'Project Assumptions'!$I$55</f>
        <v>0</v>
      </c>
      <c r="F29" s="792" t="n">
        <f aca="false">+E32*'Project Assumptions'!$I$55</f>
        <v>0</v>
      </c>
      <c r="G29" s="792" t="n">
        <f aca="false">+F32*'Project Assumptions'!$I$55</f>
        <v>0</v>
      </c>
      <c r="H29" s="792" t="n">
        <f aca="false">+G32*'Project Assumptions'!$I$55</f>
        <v>0</v>
      </c>
      <c r="I29" s="792" t="n">
        <f aca="false">+H32*'Project Assumptions'!$I$55</f>
        <v>0</v>
      </c>
      <c r="J29" s="792" t="n">
        <f aca="false">+I32*'Project Assumptions'!$I$55</f>
        <v>0</v>
      </c>
      <c r="K29" s="792" t="n">
        <f aca="false">+J32*'Project Assumptions'!$I$55</f>
        <v>0</v>
      </c>
      <c r="L29" s="792" t="n">
        <f aca="false">+K32*'Project Assumptions'!$I$55</f>
        <v>0</v>
      </c>
      <c r="M29" s="792" t="n">
        <f aca="false">+L32*'Project Assumptions'!$I$55</f>
        <v>0</v>
      </c>
      <c r="N29" s="792" t="n">
        <f aca="false">+M32*'Project Assumptions'!$I$55</f>
        <v>0</v>
      </c>
      <c r="O29" s="792" t="n">
        <f aca="false">+N32*'Project Assumptions'!$I$55</f>
        <v>0</v>
      </c>
      <c r="P29" s="792" t="n">
        <f aca="false">+O32*'Project Assumptions'!$I$55</f>
        <v>0</v>
      </c>
      <c r="Q29" s="792" t="n">
        <f aca="false">+P32*'Project Assumptions'!$I$55</f>
        <v>0</v>
      </c>
      <c r="R29" s="792" t="n">
        <f aca="false">+Q32*'Project Assumptions'!$I$55</f>
        <v>0</v>
      </c>
      <c r="S29" s="792" t="n">
        <f aca="false">+R32*'Project Assumptions'!$I$55</f>
        <v>0</v>
      </c>
      <c r="T29" s="792" t="n">
        <f aca="false">+S32*'Project Assumptions'!$I$55</f>
        <v>0</v>
      </c>
      <c r="U29" s="792" t="n">
        <f aca="false">+T32*'Project Assumptions'!$I$55</f>
        <v>0</v>
      </c>
      <c r="V29" s="792" t="n">
        <f aca="false">+U32*'Project Assumptions'!$I$55</f>
        <v>0</v>
      </c>
      <c r="W29" s="792" t="n">
        <f aca="false">+V32*'Project Assumptions'!$I$55</f>
        <v>0</v>
      </c>
      <c r="X29" s="792" t="n">
        <f aca="false">+W32*'Project Assumptions'!$I$55</f>
        <v>0</v>
      </c>
      <c r="Y29" s="792" t="n">
        <f aca="false">+X32*'Project Assumptions'!$I$55</f>
        <v>0</v>
      </c>
      <c r="Z29" s="792" t="n">
        <f aca="false">+Y32*'Project Assumptions'!$I$55</f>
        <v>0</v>
      </c>
      <c r="AA29" s="792" t="n">
        <f aca="false">+Z32*'Project Assumptions'!$I$55</f>
        <v>0</v>
      </c>
      <c r="AB29" s="793" t="n">
        <f aca="false">+AA32*'Project Assumptions'!$I$55</f>
        <v>0</v>
      </c>
    </row>
    <row r="30" customFormat="false" ht="12.6" hidden="false" customHeight="true" outlineLevel="0" collapsed="false">
      <c r="A30" s="412" t="s">
        <v>566</v>
      </c>
      <c r="B30" s="697"/>
      <c r="C30" s="560" t="n">
        <v>0</v>
      </c>
      <c r="D30" s="818" t="n">
        <f aca="false">+C30+D29</f>
        <v>0</v>
      </c>
      <c r="E30" s="819" t="n">
        <f aca="false">+D30-D31+E29</f>
        <v>0</v>
      </c>
      <c r="F30" s="819" t="n">
        <f aca="false">+E30-E31+F29</f>
        <v>0</v>
      </c>
      <c r="G30" s="819" t="n">
        <f aca="false">+F30-F31+G29</f>
        <v>0</v>
      </c>
      <c r="H30" s="819" t="n">
        <f aca="false">+G30-G31+H29</f>
        <v>0</v>
      </c>
      <c r="I30" s="819" t="n">
        <f aca="false">+H30-H31+I29</f>
        <v>0</v>
      </c>
      <c r="J30" s="819" t="n">
        <f aca="false">+I30-I31+J29</f>
        <v>0</v>
      </c>
      <c r="K30" s="819" t="n">
        <f aca="false">+J30-J31+K29</f>
        <v>0</v>
      </c>
      <c r="L30" s="819" t="n">
        <f aca="false">+K30-K31+L29</f>
        <v>0</v>
      </c>
      <c r="M30" s="819" t="n">
        <f aca="false">+L30-L31+M29</f>
        <v>0</v>
      </c>
      <c r="N30" s="819" t="n">
        <f aca="false">+M30-M31+N29</f>
        <v>0</v>
      </c>
      <c r="O30" s="819" t="n">
        <f aca="false">+N30-N31+O29</f>
        <v>0</v>
      </c>
      <c r="P30" s="819" t="n">
        <f aca="false">+O30-O31+P29</f>
        <v>0</v>
      </c>
      <c r="Q30" s="819" t="n">
        <f aca="false">+P30-P31+Q29</f>
        <v>0</v>
      </c>
      <c r="R30" s="819" t="n">
        <f aca="false">+Q30-Q31+R29</f>
        <v>0</v>
      </c>
      <c r="S30" s="819" t="n">
        <f aca="false">+R30-R31+S29</f>
        <v>0</v>
      </c>
      <c r="T30" s="819" t="n">
        <f aca="false">+S30-S31+T29</f>
        <v>0</v>
      </c>
      <c r="U30" s="819" t="n">
        <f aca="false">+T30-T31+U29</f>
        <v>0</v>
      </c>
      <c r="V30" s="819" t="n">
        <f aca="false">+U30-U31+V29</f>
        <v>0</v>
      </c>
      <c r="W30" s="819" t="n">
        <f aca="false">+V30-V31+W29</f>
        <v>0</v>
      </c>
      <c r="X30" s="819" t="n">
        <f aca="false">+W30-W31+X29</f>
        <v>0</v>
      </c>
      <c r="Y30" s="819" t="n">
        <f aca="false">+X30-X31+Y29</f>
        <v>0</v>
      </c>
      <c r="Z30" s="819" t="n">
        <f aca="false">+Y30-Y31+Z29</f>
        <v>0</v>
      </c>
      <c r="AA30" s="819" t="n">
        <f aca="false">+Z30-Z31+AA29</f>
        <v>0</v>
      </c>
      <c r="AB30" s="820" t="n">
        <f aca="false">+AA30-AA31+AB29</f>
        <v>0</v>
      </c>
    </row>
    <row r="31" customFormat="false" ht="12.6" hidden="false" customHeight="true" outlineLevel="0" collapsed="false">
      <c r="A31" s="412" t="s">
        <v>567</v>
      </c>
      <c r="B31" s="385"/>
      <c r="C31" s="385"/>
      <c r="D31" s="557" t="n">
        <f aca="false">+IF(D27&gt;D30,D30,D27)</f>
        <v>0</v>
      </c>
      <c r="E31" s="557" t="n">
        <f aca="false">+IF(E27&gt;E30,E30,E27)</f>
        <v>0</v>
      </c>
      <c r="F31" s="557" t="n">
        <f aca="false">+IF(F27&gt;F30,F30,F27)</f>
        <v>0</v>
      </c>
      <c r="G31" s="557" t="n">
        <f aca="false">+IF(G27&gt;G30,G30,G27)</f>
        <v>0</v>
      </c>
      <c r="H31" s="557" t="n">
        <f aca="false">+IF(H27&gt;H30,H30,H27)</f>
        <v>0</v>
      </c>
      <c r="I31" s="557" t="n">
        <f aca="false">+IF(I27&gt;I30,I30,I27)</f>
        <v>0</v>
      </c>
      <c r="J31" s="557" t="n">
        <f aca="false">+IF(J27&gt;J30,J30,J27)</f>
        <v>0</v>
      </c>
      <c r="K31" s="557" t="n">
        <f aca="false">+IF(K27&gt;K30,K30,K27)</f>
        <v>0</v>
      </c>
      <c r="L31" s="557" t="n">
        <f aca="false">+IF(L27&gt;L30,L30,L27)</f>
        <v>0</v>
      </c>
      <c r="M31" s="557" t="n">
        <f aca="false">+IF(M27&gt;M30,M30,M27)</f>
        <v>0</v>
      </c>
      <c r="N31" s="557" t="n">
        <f aca="false">+IF(N27&gt;N30,N30,N27)</f>
        <v>0</v>
      </c>
      <c r="O31" s="557" t="n">
        <f aca="false">+IF(O27&gt;O30,O30,O27)</f>
        <v>0</v>
      </c>
      <c r="P31" s="557" t="n">
        <f aca="false">+IF(P27&gt;P30,P30,P27)</f>
        <v>0</v>
      </c>
      <c r="Q31" s="557" t="n">
        <f aca="false">+IF(Q27&gt;Q30,Q30,Q27)</f>
        <v>0</v>
      </c>
      <c r="R31" s="557" t="n">
        <f aca="false">+IF(R27&gt;R30,R30,R27)</f>
        <v>0</v>
      </c>
      <c r="S31" s="557" t="n">
        <f aca="false">+IF(S27&gt;S30,S30,S27)</f>
        <v>0</v>
      </c>
      <c r="T31" s="557" t="n">
        <f aca="false">+IF(T27&gt;T30,T30,T27)</f>
        <v>0</v>
      </c>
      <c r="U31" s="557" t="n">
        <f aca="false">+IF(U27&gt;U30,U30,U27)</f>
        <v>0</v>
      </c>
      <c r="V31" s="557" t="n">
        <f aca="false">+IF(V27&gt;V30,V30,V27)</f>
        <v>0</v>
      </c>
      <c r="W31" s="557" t="n">
        <f aca="false">+IF(W27&gt;W30,W30,W27)</f>
        <v>0</v>
      </c>
      <c r="X31" s="557" t="n">
        <f aca="false">+IF(X27&gt;X30,X30,X27)</f>
        <v>0</v>
      </c>
      <c r="Y31" s="557" t="n">
        <f aca="false">+IF(Y27&gt;Y30,Y30,Y27)</f>
        <v>0</v>
      </c>
      <c r="Z31" s="557" t="n">
        <f aca="false">+IF(Z27&gt;Z30,Z30,Z27)</f>
        <v>0</v>
      </c>
      <c r="AA31" s="557" t="n">
        <f aca="false">+IF(AA27&gt;AA30,AA30,AA27)</f>
        <v>0</v>
      </c>
      <c r="AB31" s="795" t="n">
        <f aca="false">+IF(AB27&gt;AB30,AB30,AB27)</f>
        <v>0</v>
      </c>
    </row>
    <row r="32" customFormat="false" ht="12.6" hidden="false" customHeight="true" outlineLevel="0" collapsed="false">
      <c r="A32" s="412" t="s">
        <v>568</v>
      </c>
      <c r="B32" s="385"/>
      <c r="C32" s="385"/>
      <c r="D32" s="819" t="n">
        <f aca="false">+IF(D3&lt;'Project Assumptions'!$I$54,'Project Assumptions'!$I$56,0)</f>
        <v>0</v>
      </c>
      <c r="E32" s="819" t="n">
        <f aca="false">+IF(E3&lt;'Project Assumptions'!$I$54,D32,0)</f>
        <v>0</v>
      </c>
      <c r="F32" s="819" t="n">
        <f aca="false">+IF(F3&lt;'Project Assumptions'!$I$54,E32,0)</f>
        <v>0</v>
      </c>
      <c r="G32" s="819" t="n">
        <f aca="false">+IF(G3&lt;'Project Assumptions'!$I$54,F32,0)</f>
        <v>0</v>
      </c>
      <c r="H32" s="819" t="n">
        <f aca="false">+IF(H3&lt;'Project Assumptions'!$I$54,G32,0)</f>
        <v>0</v>
      </c>
      <c r="I32" s="819" t="n">
        <f aca="false">+IF(I3&lt;'Project Assumptions'!$I$54,H32,0)</f>
        <v>0</v>
      </c>
      <c r="J32" s="819" t="n">
        <f aca="false">+IF(J3&lt;'Project Assumptions'!$I$54,I32,0)</f>
        <v>0</v>
      </c>
      <c r="K32" s="819" t="n">
        <f aca="false">+IF(K3&lt;'Project Assumptions'!$I$54,J32,0)</f>
        <v>0</v>
      </c>
      <c r="L32" s="819" t="n">
        <f aca="false">+IF(L3&lt;'Project Assumptions'!$I$54,K32,0)</f>
        <v>0</v>
      </c>
      <c r="M32" s="819" t="n">
        <f aca="false">+IF(M3&lt;'Project Assumptions'!$I$54,L32,0)</f>
        <v>0</v>
      </c>
      <c r="N32" s="819" t="n">
        <f aca="false">+IF(N3&lt;'Project Assumptions'!$I$54,M32,0)</f>
        <v>0</v>
      </c>
      <c r="O32" s="819" t="n">
        <f aca="false">+IF(O3&lt;'Project Assumptions'!$I$54,N32,0)</f>
        <v>0</v>
      </c>
      <c r="P32" s="819" t="n">
        <f aca="false">+IF(P3&lt;'Project Assumptions'!$I$54,O32,0)</f>
        <v>0</v>
      </c>
      <c r="Q32" s="819" t="n">
        <f aca="false">+IF(Q3&lt;'Project Assumptions'!$I$54,P32,0)</f>
        <v>0</v>
      </c>
      <c r="R32" s="819" t="n">
        <f aca="false">+IF(R3&lt;'Project Assumptions'!$I$54,Q32,0)</f>
        <v>0</v>
      </c>
      <c r="S32" s="819" t="n">
        <f aca="false">+IF(S3&lt;'Project Assumptions'!$I$54,R32,0)</f>
        <v>0</v>
      </c>
      <c r="T32" s="819" t="n">
        <f aca="false">+IF(T3&lt;'Project Assumptions'!$I$54,S32,0)</f>
        <v>0</v>
      </c>
      <c r="U32" s="819" t="n">
        <f aca="false">+IF(U3&lt;'Project Assumptions'!$I$54,T32,0)</f>
        <v>0</v>
      </c>
      <c r="V32" s="819" t="n">
        <f aca="false">+IF(V3&lt;'Project Assumptions'!$I$54,U32,0)</f>
        <v>0</v>
      </c>
      <c r="W32" s="819" t="n">
        <f aca="false">+IF(W3&lt;'Project Assumptions'!$I$54,V32,0)</f>
        <v>0</v>
      </c>
      <c r="X32" s="819" t="n">
        <f aca="false">+IF(X3&lt;'Project Assumptions'!$I$54+1,W32,0)</f>
        <v>0</v>
      </c>
      <c r="Y32" s="819" t="n">
        <f aca="false">+IF(Y3&lt;'Project Assumptions'!$I$54,X32,0)</f>
        <v>0</v>
      </c>
      <c r="Z32" s="819" t="n">
        <f aca="false">+IF(Z3&lt;'Project Assumptions'!$I$54,Y32,0)</f>
        <v>0</v>
      </c>
      <c r="AA32" s="819" t="n">
        <f aca="false">+IF(AA3&lt;'Project Assumptions'!$I$54,Z32,0)</f>
        <v>0</v>
      </c>
      <c r="AB32" s="820" t="n">
        <f aca="false">+IF(AB3&lt;'Project Assumptions'!$I$54,AA32,0)</f>
        <v>0</v>
      </c>
    </row>
    <row r="33" customFormat="false" ht="12.6" hidden="false" customHeight="true" outlineLevel="0" collapsed="false">
      <c r="A33" s="412"/>
      <c r="B33" s="385"/>
      <c r="C33" s="385"/>
      <c r="D33" s="385"/>
      <c r="E33" s="385"/>
      <c r="F33" s="385"/>
      <c r="G33" s="385"/>
      <c r="H33" s="385"/>
      <c r="I33" s="385"/>
      <c r="J33" s="385"/>
      <c r="K33" s="385"/>
      <c r="L33" s="385"/>
      <c r="M33" s="385"/>
      <c r="N33" s="385"/>
      <c r="O33" s="385"/>
      <c r="P33" s="385"/>
      <c r="Q33" s="385"/>
      <c r="R33" s="385"/>
      <c r="S33" s="385"/>
      <c r="T33" s="385"/>
      <c r="U33" s="385"/>
      <c r="V33" s="385"/>
      <c r="W33" s="385"/>
      <c r="X33" s="385"/>
      <c r="Y33" s="385"/>
      <c r="Z33" s="385"/>
      <c r="AA33" s="385"/>
      <c r="AB33" s="416"/>
    </row>
    <row r="34" customFormat="false" ht="12.6" hidden="false" customHeight="true" outlineLevel="0" collapsed="false">
      <c r="A34" s="435" t="s">
        <v>569</v>
      </c>
      <c r="B34" s="385"/>
      <c r="C34" s="385"/>
      <c r="D34" s="385"/>
      <c r="E34" s="385"/>
      <c r="F34" s="385"/>
      <c r="G34" s="385"/>
      <c r="H34" s="385"/>
      <c r="I34" s="385"/>
      <c r="J34" s="385"/>
      <c r="K34" s="385"/>
      <c r="L34" s="385"/>
      <c r="M34" s="385"/>
      <c r="N34" s="385"/>
      <c r="O34" s="385"/>
      <c r="P34" s="385"/>
      <c r="Q34" s="385"/>
      <c r="R34" s="385"/>
      <c r="S34" s="385"/>
      <c r="T34" s="385"/>
      <c r="U34" s="385"/>
      <c r="V34" s="385"/>
      <c r="W34" s="385"/>
      <c r="X34" s="385"/>
      <c r="Y34" s="385"/>
      <c r="Z34" s="385"/>
      <c r="AA34" s="385"/>
      <c r="AB34" s="416"/>
    </row>
    <row r="35" customFormat="false" ht="12.6" hidden="false" customHeight="true" outlineLevel="0" collapsed="false">
      <c r="A35" s="412"/>
      <c r="B35" s="385"/>
      <c r="C35" s="385"/>
      <c r="D35" s="385"/>
      <c r="E35" s="385"/>
      <c r="F35" s="385"/>
      <c r="G35" s="385"/>
      <c r="H35" s="385"/>
      <c r="I35" s="385"/>
      <c r="J35" s="385"/>
      <c r="K35" s="385"/>
      <c r="L35" s="385"/>
      <c r="M35" s="385"/>
      <c r="N35" s="385"/>
      <c r="O35" s="385"/>
      <c r="P35" s="385"/>
      <c r="Q35" s="385"/>
      <c r="R35" s="385"/>
      <c r="S35" s="385"/>
      <c r="T35" s="385"/>
      <c r="U35" s="385"/>
      <c r="V35" s="385"/>
      <c r="W35" s="385"/>
      <c r="X35" s="385"/>
      <c r="Y35" s="385"/>
      <c r="Z35" s="385"/>
      <c r="AA35" s="385"/>
      <c r="AB35" s="416"/>
    </row>
    <row r="36" customFormat="false" ht="12.6" hidden="false" customHeight="true" outlineLevel="0" collapsed="false">
      <c r="A36" s="412" t="s">
        <v>570</v>
      </c>
      <c r="B36" s="385"/>
      <c r="C36" s="385"/>
      <c r="D36" s="557" t="n">
        <f aca="false">+D22-D31+(D32-'Project Assumptions'!$I$56)</f>
        <v>-5718.33482201103</v>
      </c>
      <c r="E36" s="819" t="n">
        <f aca="false">+E22-E31+(E32-D32)</f>
        <v>3459.97284195981</v>
      </c>
      <c r="F36" s="819" t="n">
        <f aca="false">+F22-F31+(F32-E32)</f>
        <v>4731.46710293299</v>
      </c>
      <c r="G36" s="819" t="n">
        <f aca="false">+G22-G31+(G32-F32)</f>
        <v>3389.98466285842</v>
      </c>
      <c r="H36" s="819" t="n">
        <f aca="false">+H22-H31+(H32-G32)</f>
        <v>13139.5347754599</v>
      </c>
      <c r="I36" s="819" t="n">
        <f aca="false">+I22-I31+(I32-H32)</f>
        <v>16843.5536218872</v>
      </c>
      <c r="J36" s="819" t="n">
        <f aca="false">+J22-J31+(J32-I32)</f>
        <v>12517.027147933</v>
      </c>
      <c r="K36" s="819" t="n">
        <f aca="false">+K22-K31+(K32-J32)</f>
        <v>12967.9864798995</v>
      </c>
      <c r="L36" s="819" t="n">
        <f aca="false">+L22-L31+(L32-K32)</f>
        <v>10312.7117910115</v>
      </c>
      <c r="M36" s="819" t="n">
        <f aca="false">+M22-M31+(M32-L32)</f>
        <v>8551.3940666988</v>
      </c>
      <c r="N36" s="819" t="n">
        <f aca="false">+N22-N31+(N32-M32)</f>
        <v>18418.6529152764</v>
      </c>
      <c r="O36" s="819" t="n">
        <f aca="false">+O22-O31+(O32-N32)</f>
        <v>18410.8714290889</v>
      </c>
      <c r="P36" s="819" t="n">
        <f aca="false">+P22-P31+(P32-O32)</f>
        <v>18377.3971622813</v>
      </c>
      <c r="Q36" s="819" t="n">
        <f aca="false">+Q22-Q31+(Q32-P32)</f>
        <v>18769.9000795902</v>
      </c>
      <c r="R36" s="819" t="n">
        <f aca="false">+R22-R31+(R32-Q32)</f>
        <v>19159.4821795131</v>
      </c>
      <c r="S36" s="819" t="n">
        <f aca="false">+S22-S31+(S32-R32)</f>
        <v>17853.6664310001</v>
      </c>
      <c r="T36" s="819" t="n">
        <f aca="false">+T22-T31+(T32-S32)</f>
        <v>13303.2147242007</v>
      </c>
      <c r="U36" s="819" t="n">
        <f aca="false">+U22-U31+(U32-T32)</f>
        <v>12535.6460145798</v>
      </c>
      <c r="V36" s="819" t="n">
        <f aca="false">+V22-V31+(V32-U32)</f>
        <v>11234.0826454369</v>
      </c>
      <c r="W36" s="819" t="n">
        <f aca="false">+W22-W31+(W32-V32)</f>
        <v>10692.3686283766</v>
      </c>
      <c r="X36" s="819" t="n">
        <f aca="false">+X22-X31+(X32-W32)</f>
        <v>22214.6232567682</v>
      </c>
      <c r="Y36" s="819" t="n">
        <f aca="false">+Y22-Y31+(Y32-X32)</f>
        <v>0</v>
      </c>
      <c r="Z36" s="819" t="n">
        <f aca="false">+Z22-Z31+(Z32-Y32)</f>
        <v>0</v>
      </c>
      <c r="AA36" s="819" t="n">
        <f aca="false">+AA22-AA31+(AA32-Z32)</f>
        <v>0</v>
      </c>
      <c r="AB36" s="820" t="n">
        <f aca="false">+AB22-AB31+(AB32-AA32)</f>
        <v>0</v>
      </c>
    </row>
    <row r="37" customFormat="false" ht="12.6" hidden="false" customHeight="true" outlineLevel="0" collapsed="false">
      <c r="A37" s="412" t="s">
        <v>571</v>
      </c>
      <c r="B37" s="385"/>
      <c r="C37" s="385"/>
      <c r="D37" s="819" t="n">
        <f aca="false">D36</f>
        <v>-5718.33482201103</v>
      </c>
      <c r="E37" s="819" t="n">
        <f aca="false">E36</f>
        <v>3459.97284195981</v>
      </c>
      <c r="F37" s="819" t="n">
        <f aca="false">F36</f>
        <v>4731.46710293299</v>
      </c>
      <c r="G37" s="819" t="n">
        <f aca="false">G36</f>
        <v>3389.98466285842</v>
      </c>
      <c r="H37" s="819" t="n">
        <f aca="false">H36</f>
        <v>13139.5347754599</v>
      </c>
      <c r="I37" s="819" t="n">
        <f aca="false">I36</f>
        <v>16843.5536218872</v>
      </c>
      <c r="J37" s="819" t="n">
        <f aca="false">J36</f>
        <v>12517.027147933</v>
      </c>
      <c r="K37" s="819" t="n">
        <f aca="false">K36</f>
        <v>12967.9864798995</v>
      </c>
      <c r="L37" s="819" t="n">
        <f aca="false">L36</f>
        <v>10312.7117910115</v>
      </c>
      <c r="M37" s="819" t="n">
        <f aca="false">M36</f>
        <v>8551.3940666988</v>
      </c>
      <c r="N37" s="819" t="n">
        <f aca="false">N36</f>
        <v>18418.6529152764</v>
      </c>
      <c r="O37" s="819" t="n">
        <f aca="false">O36</f>
        <v>18410.8714290889</v>
      </c>
      <c r="P37" s="819" t="n">
        <f aca="false">P36</f>
        <v>18377.3971622813</v>
      </c>
      <c r="Q37" s="819" t="n">
        <f aca="false">Q36</f>
        <v>18769.9000795902</v>
      </c>
      <c r="R37" s="819" t="n">
        <f aca="false">R36</f>
        <v>19159.4821795131</v>
      </c>
      <c r="S37" s="819" t="n">
        <f aca="false">S36</f>
        <v>17853.6664310001</v>
      </c>
      <c r="T37" s="819" t="n">
        <f aca="false">T36</f>
        <v>13303.2147242007</v>
      </c>
      <c r="U37" s="819" t="n">
        <f aca="false">U36</f>
        <v>12535.6460145798</v>
      </c>
      <c r="V37" s="819" t="n">
        <f aca="false">V36</f>
        <v>11234.0826454369</v>
      </c>
      <c r="W37" s="819" t="n">
        <f aca="false">W36</f>
        <v>10692.3686283766</v>
      </c>
      <c r="X37" s="819" t="n">
        <f aca="false">X36</f>
        <v>22214.6232567682</v>
      </c>
      <c r="Y37" s="819" t="n">
        <f aca="false">Y36</f>
        <v>0</v>
      </c>
      <c r="Z37" s="819" t="n">
        <f aca="false">Z36</f>
        <v>0</v>
      </c>
      <c r="AA37" s="819" t="n">
        <f aca="false">AA36</f>
        <v>0</v>
      </c>
      <c r="AB37" s="820" t="n">
        <f aca="false">AB36</f>
        <v>0</v>
      </c>
      <c r="AC37" s="821" t="n">
        <f aca="false">AC36</f>
        <v>0</v>
      </c>
      <c r="AD37" s="822" t="n">
        <f aca="false">AD36</f>
        <v>0</v>
      </c>
    </row>
    <row r="38" customFormat="false" ht="12.6" hidden="false" customHeight="true" outlineLevel="0" collapsed="false">
      <c r="A38" s="787" t="s">
        <v>572</v>
      </c>
      <c r="B38" s="385"/>
      <c r="C38" s="385"/>
      <c r="D38" s="819" t="n">
        <f aca="false">D36-D37</f>
        <v>0</v>
      </c>
      <c r="E38" s="819" t="n">
        <f aca="false">E36-E37</f>
        <v>0</v>
      </c>
      <c r="F38" s="819" t="n">
        <f aca="false">F36-F37</f>
        <v>0</v>
      </c>
      <c r="G38" s="819" t="n">
        <f aca="false">G36-G37</f>
        <v>0</v>
      </c>
      <c r="H38" s="819" t="n">
        <f aca="false">H36-H37</f>
        <v>0</v>
      </c>
      <c r="I38" s="819" t="n">
        <f aca="false">I36-I37</f>
        <v>0</v>
      </c>
      <c r="J38" s="819" t="n">
        <f aca="false">J36-J37</f>
        <v>0</v>
      </c>
      <c r="K38" s="819" t="n">
        <f aca="false">K36-K37</f>
        <v>0</v>
      </c>
      <c r="L38" s="819" t="n">
        <f aca="false">L36-L37</f>
        <v>0</v>
      </c>
      <c r="M38" s="819" t="n">
        <f aca="false">M36-M37</f>
        <v>0</v>
      </c>
      <c r="N38" s="819" t="n">
        <f aca="false">N36-N37</f>
        <v>0</v>
      </c>
      <c r="O38" s="819" t="n">
        <f aca="false">O36-O37</f>
        <v>0</v>
      </c>
      <c r="P38" s="819" t="n">
        <f aca="false">P36-P37</f>
        <v>0</v>
      </c>
      <c r="Q38" s="819" t="n">
        <f aca="false">Q36-Q37</f>
        <v>0</v>
      </c>
      <c r="R38" s="819" t="n">
        <f aca="false">R36-R37</f>
        <v>0</v>
      </c>
      <c r="S38" s="819" t="n">
        <f aca="false">S36-S37</f>
        <v>0</v>
      </c>
      <c r="T38" s="819" t="n">
        <f aca="false">T36-T37</f>
        <v>0</v>
      </c>
      <c r="U38" s="819" t="n">
        <f aca="false">U36-U37</f>
        <v>0</v>
      </c>
      <c r="V38" s="819" t="n">
        <f aca="false">V36-V37</f>
        <v>0</v>
      </c>
      <c r="W38" s="819" t="n">
        <f aca="false">W36-W37</f>
        <v>0</v>
      </c>
      <c r="X38" s="819" t="n">
        <f aca="false">X36-X37</f>
        <v>0</v>
      </c>
      <c r="Y38" s="819" t="n">
        <f aca="false">Y36-Y37</f>
        <v>0</v>
      </c>
      <c r="Z38" s="819" t="n">
        <f aca="false">Z36-Z37</f>
        <v>0</v>
      </c>
      <c r="AA38" s="819" t="n">
        <f aca="false">AA36-AA37</f>
        <v>0</v>
      </c>
      <c r="AB38" s="416"/>
    </row>
    <row r="39" customFormat="false" ht="12.6" hidden="false" customHeight="true" outlineLevel="0" collapsed="false">
      <c r="A39" s="412"/>
      <c r="B39" s="385"/>
      <c r="C39" s="385"/>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795"/>
    </row>
    <row r="40" customFormat="false" ht="12.6" hidden="false" customHeight="true" outlineLevel="0" collapsed="false">
      <c r="A40" s="412" t="s">
        <v>573</v>
      </c>
      <c r="B40" s="385"/>
      <c r="C40" s="385"/>
      <c r="D40" s="385" t="n">
        <v>0</v>
      </c>
      <c r="E40" s="819" t="n">
        <f aca="false">D42</f>
        <v>0</v>
      </c>
      <c r="F40" s="819" t="n">
        <f aca="false">E42</f>
        <v>0</v>
      </c>
      <c r="G40" s="819" t="n">
        <f aca="false">F42</f>
        <v>0</v>
      </c>
      <c r="H40" s="819" t="n">
        <f aca="false">G42</f>
        <v>0</v>
      </c>
      <c r="I40" s="819" t="n">
        <f aca="false">H42</f>
        <v>0</v>
      </c>
      <c r="J40" s="819" t="n">
        <f aca="false">I42</f>
        <v>0</v>
      </c>
      <c r="K40" s="819" t="n">
        <f aca="false">J42</f>
        <v>0</v>
      </c>
      <c r="L40" s="819" t="n">
        <f aca="false">K42</f>
        <v>0</v>
      </c>
      <c r="M40" s="819" t="n">
        <f aca="false">L42</f>
        <v>0</v>
      </c>
      <c r="N40" s="819" t="n">
        <f aca="false">M42</f>
        <v>0</v>
      </c>
      <c r="O40" s="819" t="n">
        <f aca="false">N42</f>
        <v>0</v>
      </c>
      <c r="P40" s="819" t="n">
        <f aca="false">O42</f>
        <v>0</v>
      </c>
      <c r="Q40" s="819" t="n">
        <f aca="false">P42</f>
        <v>0</v>
      </c>
      <c r="R40" s="819" t="n">
        <f aca="false">Q42</f>
        <v>0</v>
      </c>
      <c r="S40" s="819" t="n">
        <f aca="false">R42</f>
        <v>0</v>
      </c>
      <c r="T40" s="819" t="n">
        <f aca="false">S42</f>
        <v>0</v>
      </c>
      <c r="U40" s="819" t="n">
        <f aca="false">T42</f>
        <v>0</v>
      </c>
      <c r="V40" s="819" t="n">
        <f aca="false">U42</f>
        <v>0</v>
      </c>
      <c r="W40" s="819" t="n">
        <f aca="false">V42</f>
        <v>0</v>
      </c>
      <c r="X40" s="819" t="n">
        <f aca="false">W42</f>
        <v>0</v>
      </c>
      <c r="Y40" s="819" t="n">
        <f aca="false">X42</f>
        <v>0</v>
      </c>
      <c r="Z40" s="819" t="n">
        <f aca="false">Y42</f>
        <v>0</v>
      </c>
      <c r="AA40" s="819" t="n">
        <f aca="false">Z42</f>
        <v>0</v>
      </c>
      <c r="AB40" s="820" t="n">
        <f aca="false">AA42</f>
        <v>0</v>
      </c>
    </row>
    <row r="41" customFormat="false" ht="12.6" hidden="false" customHeight="true" outlineLevel="0" collapsed="false">
      <c r="A41" s="412" t="s">
        <v>574</v>
      </c>
      <c r="B41" s="385"/>
      <c r="C41" s="385"/>
      <c r="D41" s="819" t="n">
        <f aca="false">D38</f>
        <v>0</v>
      </c>
      <c r="E41" s="819" t="n">
        <f aca="false">E38</f>
        <v>0</v>
      </c>
      <c r="F41" s="819" t="n">
        <f aca="false">F38</f>
        <v>0</v>
      </c>
      <c r="G41" s="819" t="n">
        <f aca="false">G38</f>
        <v>0</v>
      </c>
      <c r="H41" s="819" t="n">
        <f aca="false">H38</f>
        <v>0</v>
      </c>
      <c r="I41" s="819" t="n">
        <f aca="false">I38</f>
        <v>0</v>
      </c>
      <c r="J41" s="819" t="n">
        <f aca="false">J38</f>
        <v>0</v>
      </c>
      <c r="K41" s="819" t="n">
        <f aca="false">K38</f>
        <v>0</v>
      </c>
      <c r="L41" s="819" t="n">
        <f aca="false">L38</f>
        <v>0</v>
      </c>
      <c r="M41" s="819" t="n">
        <f aca="false">M38</f>
        <v>0</v>
      </c>
      <c r="N41" s="819" t="n">
        <f aca="false">N38</f>
        <v>0</v>
      </c>
      <c r="O41" s="819" t="n">
        <f aca="false">O38</f>
        <v>0</v>
      </c>
      <c r="P41" s="819" t="n">
        <f aca="false">P38</f>
        <v>0</v>
      </c>
      <c r="Q41" s="819" t="n">
        <f aca="false">Q38</f>
        <v>0</v>
      </c>
      <c r="R41" s="819" t="n">
        <f aca="false">R38</f>
        <v>0</v>
      </c>
      <c r="S41" s="819" t="n">
        <f aca="false">S38</f>
        <v>0</v>
      </c>
      <c r="T41" s="819" t="n">
        <f aca="false">T38</f>
        <v>0</v>
      </c>
      <c r="U41" s="819" t="n">
        <f aca="false">U38</f>
        <v>0</v>
      </c>
      <c r="V41" s="819" t="n">
        <f aca="false">V38</f>
        <v>0</v>
      </c>
      <c r="W41" s="819" t="n">
        <f aca="false">W38</f>
        <v>0</v>
      </c>
      <c r="X41" s="819" t="n">
        <f aca="false">X38</f>
        <v>0</v>
      </c>
      <c r="Y41" s="819" t="n">
        <f aca="false">Y38</f>
        <v>0</v>
      </c>
      <c r="Z41" s="819" t="n">
        <f aca="false">Z38</f>
        <v>0</v>
      </c>
      <c r="AA41" s="819" t="n">
        <f aca="false">AA38</f>
        <v>0</v>
      </c>
      <c r="AB41" s="820" t="n">
        <f aca="false">AB38</f>
        <v>0</v>
      </c>
    </row>
    <row r="42" customFormat="false" ht="12.6" hidden="false" customHeight="true" outlineLevel="0" collapsed="false">
      <c r="A42" s="412" t="s">
        <v>575</v>
      </c>
      <c r="B42" s="385"/>
      <c r="C42" s="385"/>
      <c r="D42" s="819" t="n">
        <f aca="false">D40+D41</f>
        <v>0</v>
      </c>
      <c r="E42" s="819" t="n">
        <f aca="false">E40+E41</f>
        <v>0</v>
      </c>
      <c r="F42" s="819" t="n">
        <f aca="false">F40+F41</f>
        <v>0</v>
      </c>
      <c r="G42" s="819" t="n">
        <f aca="false">G40+G41</f>
        <v>0</v>
      </c>
      <c r="H42" s="819" t="n">
        <f aca="false">H40+H41</f>
        <v>0</v>
      </c>
      <c r="I42" s="819" t="n">
        <f aca="false">I40+I41</f>
        <v>0</v>
      </c>
      <c r="J42" s="819" t="n">
        <f aca="false">J40+J41</f>
        <v>0</v>
      </c>
      <c r="K42" s="819" t="n">
        <f aca="false">K40+K41</f>
        <v>0</v>
      </c>
      <c r="L42" s="819" t="n">
        <f aca="false">L40+L41</f>
        <v>0</v>
      </c>
      <c r="M42" s="819" t="n">
        <f aca="false">M40+M41</f>
        <v>0</v>
      </c>
      <c r="N42" s="819" t="n">
        <f aca="false">N40+N41</f>
        <v>0</v>
      </c>
      <c r="O42" s="819" t="n">
        <f aca="false">O40+O41</f>
        <v>0</v>
      </c>
      <c r="P42" s="819" t="n">
        <f aca="false">P40+P41</f>
        <v>0</v>
      </c>
      <c r="Q42" s="819" t="n">
        <f aca="false">Q40+Q41</f>
        <v>0</v>
      </c>
      <c r="R42" s="819" t="n">
        <f aca="false">R40+R41</f>
        <v>0</v>
      </c>
      <c r="S42" s="819" t="n">
        <f aca="false">S40+S41</f>
        <v>0</v>
      </c>
      <c r="T42" s="819" t="n">
        <f aca="false">T40+T41</f>
        <v>0</v>
      </c>
      <c r="U42" s="819" t="n">
        <f aca="false">U40+U41</f>
        <v>0</v>
      </c>
      <c r="V42" s="819" t="n">
        <f aca="false">V40+V41</f>
        <v>0</v>
      </c>
      <c r="W42" s="819" t="n">
        <f aca="false">W40+W41</f>
        <v>0</v>
      </c>
      <c r="X42" s="819" t="n">
        <f aca="false">X40+X41</f>
        <v>0</v>
      </c>
      <c r="Y42" s="819" t="n">
        <f aca="false">Y40+Y41</f>
        <v>0</v>
      </c>
      <c r="Z42" s="819" t="n">
        <f aca="false">Z40+Z41</f>
        <v>0</v>
      </c>
      <c r="AA42" s="819" t="n">
        <f aca="false">AA40+AA41</f>
        <v>0</v>
      </c>
      <c r="AB42" s="820" t="n">
        <f aca="false">AB40+AB41</f>
        <v>0</v>
      </c>
      <c r="AF42" s="794"/>
      <c r="AU42" s="794"/>
    </row>
    <row r="43" customFormat="false" ht="12.6" hidden="false" customHeight="true" outlineLevel="0" collapsed="false">
      <c r="A43" s="412"/>
      <c r="B43" s="149"/>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455"/>
      <c r="AC43" s="5"/>
      <c r="AD43" s="0"/>
      <c r="AE43" s="0"/>
      <c r="AF43" s="0"/>
      <c r="AG43" s="0"/>
      <c r="AH43" s="0"/>
      <c r="AI43" s="0"/>
      <c r="AJ43" s="0"/>
      <c r="AK43" s="0"/>
      <c r="AL43" s="0"/>
      <c r="AM43" s="0"/>
      <c r="AN43" s="0"/>
      <c r="AO43" s="0"/>
      <c r="AP43" s="0"/>
      <c r="AQ43" s="0"/>
      <c r="AR43" s="0"/>
      <c r="AS43" s="0"/>
      <c r="AT43" s="0"/>
      <c r="AU43" s="0"/>
      <c r="AV43" s="0"/>
      <c r="AW43" s="0"/>
      <c r="AX43" s="0"/>
      <c r="AY43" s="0"/>
      <c r="AZ43" s="0"/>
      <c r="BA43" s="0"/>
      <c r="BB43" s="0"/>
      <c r="BC43" s="0"/>
      <c r="BD43" s="0"/>
      <c r="BE43" s="0"/>
      <c r="BF43" s="0"/>
      <c r="BG43" s="0"/>
      <c r="BH43" s="0"/>
      <c r="BI43" s="0"/>
      <c r="BJ43" s="0"/>
      <c r="BK43" s="0"/>
      <c r="BL43" s="0"/>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IQ43" s="0"/>
      <c r="IR43" s="0"/>
      <c r="IS43" s="0"/>
      <c r="IT43" s="0"/>
      <c r="IU43" s="0"/>
      <c r="IV43" s="0"/>
      <c r="IW43" s="0"/>
    </row>
    <row r="44" customFormat="false" ht="12.6" hidden="false" customHeight="true" outlineLevel="0" collapsed="false">
      <c r="A44" s="468" t="s">
        <v>572</v>
      </c>
      <c r="B44" s="492"/>
      <c r="C44" s="492"/>
      <c r="D44" s="823" t="n">
        <f aca="false">'Book Income Statement'!D72-'Cash Flow Statement'!D37</f>
        <v>3789.14443708589</v>
      </c>
      <c r="E44" s="823" t="n">
        <f aca="false">'Book Income Statement'!E72-'Cash Flow Statement'!E37</f>
        <v>-91.6061633956447</v>
      </c>
      <c r="F44" s="823" t="n">
        <f aca="false">'Book Income Statement'!F72-'Cash Flow Statement'!F37</f>
        <v>-1038.51020601235</v>
      </c>
      <c r="G44" s="823" t="n">
        <f aca="false">'Book Income Statement'!G72-'Cash Flow Statement'!G37</f>
        <v>553.008827316172</v>
      </c>
      <c r="H44" s="823" t="n">
        <f aca="false">'Book Income Statement'!H72-'Cash Flow Statement'!H37</f>
        <v>-5319.22784075388</v>
      </c>
      <c r="I44" s="823" t="n">
        <f aca="false">'Book Income Statement'!I72-'Cash Flow Statement'!I37</f>
        <v>-5902.05126704055</v>
      </c>
      <c r="J44" s="823" t="n">
        <f aca="false">'Book Income Statement'!J72-'Cash Flow Statement'!J37</f>
        <v>-933.610322391234</v>
      </c>
      <c r="K44" s="823" t="n">
        <f aca="false">'Book Income Statement'!K72-'Cash Flow Statement'!K37</f>
        <v>-930.011791114848</v>
      </c>
      <c r="L44" s="823" t="n">
        <f aca="false">'Book Income Statement'!L72-'Cash Flow Statement'!L37</f>
        <v>2568.40878567316</v>
      </c>
      <c r="M44" s="823" t="n">
        <f aca="false">'Book Income Statement'!M72-'Cash Flow Statement'!M37</f>
        <v>4946.93820888515</v>
      </c>
      <c r="N44" s="823" t="n">
        <f aca="false">'Book Income Statement'!N72-'Cash Flow Statement'!N37</f>
        <v>-3773.89410626246</v>
      </c>
      <c r="O44" s="823" t="n">
        <f aca="false">'Book Income Statement'!O72-'Cash Flow Statement'!O37</f>
        <v>-3940.5482443219</v>
      </c>
      <c r="P44" s="823" t="n">
        <f aca="false">'Book Income Statement'!P72-'Cash Flow Statement'!P37</f>
        <v>-3075.12591755423</v>
      </c>
      <c r="Q44" s="823" t="n">
        <f aca="false">'Book Income Statement'!Q72-'Cash Flow Statement'!Q37</f>
        <v>-3064.10517014907</v>
      </c>
      <c r="R44" s="823" t="n">
        <f aca="false">'Book Income Statement'!R72-'Cash Flow Statement'!R37</f>
        <v>-3058.48459336107</v>
      </c>
      <c r="S44" s="823" t="n">
        <f aca="false">'Book Income Statement'!S72-'Cash Flow Statement'!S37</f>
        <v>-1366.44844090107</v>
      </c>
      <c r="T44" s="823" t="n">
        <f aca="false">'Book Income Statement'!T72-'Cash Flow Statement'!T37</f>
        <v>3581.35685994524</v>
      </c>
      <c r="U44" s="823" t="n">
        <f aca="false">'Book Income Statement'!U72-'Cash Flow Statement'!U37</f>
        <v>4907.3494341384</v>
      </c>
      <c r="V44" s="823" t="n">
        <f aca="false">'Book Income Statement'!V72-'Cash Flow Statement'!V37</f>
        <v>6820.5994341384</v>
      </c>
      <c r="W44" s="823" t="n">
        <f aca="false">'Book Income Statement'!W72-'Cash Flow Statement'!W37</f>
        <v>7996.25148897946</v>
      </c>
      <c r="X44" s="823" t="n">
        <f aca="false">'Book Income Statement'!X72-'Cash Flow Statement'!X37</f>
        <v>-2855.65943151667</v>
      </c>
      <c r="Y44" s="823" t="n">
        <f aca="false">'Book Income Statement'!Y72-'Cash Flow Statement'!Y37</f>
        <v>0</v>
      </c>
      <c r="Z44" s="823" t="n">
        <f aca="false">'Book Income Statement'!Z72-'Cash Flow Statement'!Z37</f>
        <v>0</v>
      </c>
      <c r="AA44" s="823" t="n">
        <f aca="false">'Book Income Statement'!AA72-'Cash Flow Statement'!AA37</f>
        <v>0</v>
      </c>
      <c r="AB44" s="824" t="n">
        <f aca="false">'Book Income Statement'!AB72-'Cash Flow Statement'!AB37</f>
        <v>0</v>
      </c>
      <c r="AC44" s="5"/>
      <c r="AD44" s="0"/>
      <c r="AE44" s="0"/>
      <c r="AF44" s="0"/>
      <c r="AG44" s="0"/>
      <c r="AH44" s="0"/>
      <c r="AI44" s="0"/>
      <c r="AJ44" s="0"/>
      <c r="AK44" s="0"/>
      <c r="AL44" s="0"/>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c r="HZ44" s="0"/>
      <c r="IA44" s="0"/>
      <c r="IB44" s="0"/>
      <c r="IC44" s="0"/>
      <c r="ID44" s="0"/>
      <c r="IE44" s="0"/>
      <c r="IF44" s="0"/>
      <c r="IG44" s="0"/>
      <c r="IH44" s="0"/>
      <c r="II44" s="0"/>
      <c r="IJ44" s="0"/>
      <c r="IK44" s="0"/>
      <c r="IL44" s="0"/>
      <c r="IM44" s="0"/>
      <c r="IN44" s="0"/>
      <c r="IO44" s="0"/>
      <c r="IP44" s="0"/>
      <c r="IQ44" s="0"/>
      <c r="IR44" s="0"/>
      <c r="IS44" s="0"/>
      <c r="IT44" s="0"/>
      <c r="IU44" s="0"/>
      <c r="IV44" s="0"/>
      <c r="IW44" s="0"/>
    </row>
    <row r="45" customFormat="false" ht="12.6" hidden="false" customHeight="true" outlineLevel="0" collapsed="false">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0"/>
      <c r="AE45" s="0"/>
      <c r="AF45" s="0"/>
      <c r="AG45" s="0"/>
      <c r="AH45" s="0"/>
      <c r="AI45" s="0"/>
      <c r="AJ45" s="0"/>
      <c r="AK45" s="0"/>
      <c r="AL45" s="0"/>
      <c r="AM45" s="0"/>
      <c r="AN45" s="0"/>
      <c r="AO45" s="0"/>
      <c r="AP45" s="0"/>
      <c r="AQ45" s="0"/>
      <c r="AR45" s="0"/>
      <c r="AS45" s="0"/>
      <c r="AT45" s="0"/>
      <c r="AU45" s="0"/>
      <c r="AV45" s="0"/>
      <c r="AW45" s="0"/>
      <c r="AX45" s="0"/>
      <c r="AY45" s="0"/>
      <c r="AZ45" s="0"/>
      <c r="BA45" s="0"/>
      <c r="BB45" s="0"/>
      <c r="BC45" s="0"/>
      <c r="BD45" s="0"/>
      <c r="BE45" s="0"/>
      <c r="BF45" s="0"/>
      <c r="BG45" s="0"/>
      <c r="BH45" s="0"/>
      <c r="BI45" s="0"/>
      <c r="BJ45" s="0"/>
      <c r="BK45" s="0"/>
      <c r="BL45" s="0"/>
      <c r="BM45" s="0"/>
      <c r="BN45" s="0"/>
      <c r="BO45" s="0"/>
      <c r="BP45" s="0"/>
      <c r="BQ45" s="0"/>
      <c r="BR45" s="0"/>
      <c r="BS45" s="0"/>
      <c r="BT45" s="0"/>
      <c r="BU45" s="0"/>
      <c r="BV45" s="0"/>
      <c r="BW45" s="0"/>
      <c r="BX45" s="0"/>
      <c r="BY45" s="0"/>
      <c r="BZ45" s="0"/>
      <c r="CA45" s="0"/>
      <c r="CB45" s="0"/>
      <c r="CC45" s="0"/>
      <c r="CD45" s="0"/>
      <c r="CE45" s="0"/>
      <c r="CF45" s="0"/>
      <c r="CG45" s="0"/>
      <c r="CH45" s="0"/>
      <c r="CI45" s="0"/>
      <c r="CJ45" s="0"/>
      <c r="CK45" s="0"/>
      <c r="CL45" s="0"/>
      <c r="CM45" s="0"/>
      <c r="CN45" s="0"/>
      <c r="CO45" s="0"/>
      <c r="CP45" s="0"/>
      <c r="CQ45" s="0"/>
      <c r="CR45" s="0"/>
      <c r="CS45" s="0"/>
      <c r="CT45" s="0"/>
      <c r="CU45" s="0"/>
      <c r="CV45" s="0"/>
      <c r="CW45" s="0"/>
      <c r="CX45" s="0"/>
      <c r="CY45" s="0"/>
      <c r="CZ45" s="0"/>
      <c r="DA45" s="0"/>
      <c r="DB45" s="0"/>
      <c r="DC45" s="0"/>
      <c r="DD45" s="0"/>
      <c r="DE45" s="0"/>
      <c r="DF45" s="0"/>
      <c r="DG45" s="0"/>
      <c r="DH45" s="0"/>
      <c r="DI45" s="0"/>
      <c r="DJ45" s="0"/>
      <c r="DK45" s="0"/>
      <c r="DL45" s="0"/>
      <c r="DM45" s="0"/>
      <c r="DN45" s="0"/>
      <c r="DO45" s="0"/>
      <c r="DP45" s="0"/>
      <c r="DQ45" s="0"/>
      <c r="DR45" s="0"/>
      <c r="DS45" s="0"/>
      <c r="DT45" s="0"/>
      <c r="DU45" s="0"/>
      <c r="DV45" s="0"/>
      <c r="DW45" s="0"/>
      <c r="DX45" s="0"/>
      <c r="DY45" s="0"/>
      <c r="DZ45" s="0"/>
      <c r="EA45" s="0"/>
      <c r="EB45" s="0"/>
      <c r="EC45" s="0"/>
      <c r="ED45" s="0"/>
      <c r="EE45" s="0"/>
      <c r="EF45" s="0"/>
      <c r="EG45" s="0"/>
      <c r="EH45" s="0"/>
      <c r="EI45" s="0"/>
      <c r="EJ45" s="0"/>
      <c r="EK45" s="0"/>
      <c r="EL45" s="0"/>
      <c r="EM45" s="0"/>
      <c r="EN45" s="0"/>
      <c r="EO45" s="0"/>
      <c r="EP45" s="0"/>
      <c r="EQ45" s="0"/>
      <c r="ER45" s="0"/>
      <c r="ES45" s="0"/>
      <c r="ET45" s="0"/>
      <c r="EU45" s="0"/>
      <c r="EV45" s="0"/>
      <c r="EW45" s="0"/>
      <c r="EX45" s="0"/>
      <c r="EY45" s="0"/>
      <c r="EZ45" s="0"/>
      <c r="FA45" s="0"/>
      <c r="FB45" s="0"/>
      <c r="FC45" s="0"/>
      <c r="FD45" s="0"/>
      <c r="FE45" s="0"/>
      <c r="FF45" s="0"/>
      <c r="FG45" s="0"/>
      <c r="FH45" s="0"/>
      <c r="FI45" s="0"/>
      <c r="FJ45" s="0"/>
      <c r="FK45" s="0"/>
      <c r="FL45" s="0"/>
      <c r="FM45" s="0"/>
      <c r="FN45" s="0"/>
      <c r="FO45" s="0"/>
      <c r="FP45" s="0"/>
      <c r="FQ45" s="0"/>
      <c r="FR45" s="0"/>
      <c r="FS45" s="0"/>
      <c r="FT45" s="0"/>
      <c r="FU45" s="0"/>
      <c r="FV45" s="0"/>
      <c r="FW45" s="0"/>
      <c r="FX45" s="0"/>
      <c r="FY45" s="0"/>
      <c r="FZ45" s="0"/>
      <c r="GA45" s="0"/>
      <c r="GB45" s="0"/>
      <c r="GC45" s="0"/>
      <c r="GD45" s="0"/>
      <c r="GE45" s="0"/>
      <c r="GF45" s="0"/>
      <c r="GG45" s="0"/>
      <c r="GH45" s="0"/>
      <c r="GI45" s="0"/>
      <c r="GJ45" s="0"/>
      <c r="GK45" s="0"/>
      <c r="GL45" s="0"/>
      <c r="GM45" s="0"/>
      <c r="GN45" s="0"/>
      <c r="GO45" s="0"/>
      <c r="GP45" s="0"/>
      <c r="GQ45" s="0"/>
      <c r="GR45" s="0"/>
      <c r="GS45" s="0"/>
      <c r="GT45" s="0"/>
      <c r="GU45" s="0"/>
      <c r="GV45" s="0"/>
      <c r="GW45" s="0"/>
      <c r="GX45" s="0"/>
      <c r="GY45" s="0"/>
      <c r="GZ45" s="0"/>
      <c r="HA45" s="0"/>
      <c r="HB45" s="0"/>
      <c r="HC45" s="0"/>
      <c r="HD45" s="0"/>
      <c r="HE45" s="0"/>
      <c r="HF45" s="0"/>
      <c r="HG45" s="0"/>
      <c r="HH45" s="0"/>
      <c r="HI45" s="0"/>
      <c r="HJ45" s="0"/>
      <c r="HK45" s="0"/>
      <c r="HL45" s="0"/>
      <c r="HM45" s="0"/>
      <c r="HN45" s="0"/>
      <c r="HO45" s="0"/>
      <c r="HP45" s="0"/>
      <c r="HQ45" s="0"/>
      <c r="HR45" s="0"/>
      <c r="HS45" s="0"/>
      <c r="HT45" s="0"/>
      <c r="HU45" s="0"/>
      <c r="HV45" s="0"/>
      <c r="HW45" s="0"/>
      <c r="HX45" s="0"/>
      <c r="HY45" s="0"/>
      <c r="HZ45" s="0"/>
      <c r="IA45" s="0"/>
      <c r="IB45" s="0"/>
      <c r="IC45" s="0"/>
      <c r="ID45" s="0"/>
      <c r="IE45" s="0"/>
      <c r="IF45" s="0"/>
      <c r="IG45" s="0"/>
      <c r="IH45" s="0"/>
      <c r="II45" s="0"/>
      <c r="IJ45" s="0"/>
      <c r="IK45" s="0"/>
      <c r="IL45" s="0"/>
      <c r="IM45" s="0"/>
      <c r="IN45" s="0"/>
      <c r="IO45" s="0"/>
      <c r="IP45" s="0"/>
      <c r="IQ45" s="0"/>
      <c r="IR45" s="0"/>
      <c r="IS45" s="0"/>
      <c r="IT45" s="0"/>
      <c r="IU45" s="0"/>
      <c r="IV45" s="0"/>
      <c r="IW45" s="0"/>
    </row>
    <row r="46" customFormat="false" ht="12.6" hidden="false" customHeight="true" outlineLevel="0" collapsed="false">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0"/>
      <c r="AE46" s="0"/>
      <c r="AF46" s="0"/>
      <c r="AG46" s="0"/>
      <c r="AH46" s="0"/>
      <c r="AI46" s="0"/>
      <c r="AJ46" s="0"/>
      <c r="AK46" s="0"/>
      <c r="AL46" s="0"/>
      <c r="AM46" s="0"/>
      <c r="AN46" s="0"/>
      <c r="AO46" s="0"/>
      <c r="AP46" s="0"/>
      <c r="AQ46" s="0"/>
      <c r="AR46" s="0"/>
      <c r="AS46" s="0"/>
      <c r="AT46" s="0"/>
      <c r="AU46" s="0"/>
      <c r="AV46" s="0"/>
      <c r="AW46" s="0"/>
      <c r="AX46" s="0"/>
      <c r="AY46" s="0"/>
      <c r="AZ46" s="0"/>
      <c r="BA46" s="0"/>
      <c r="BB46" s="0"/>
      <c r="BC46" s="0"/>
      <c r="BD46" s="0"/>
      <c r="BE46" s="0"/>
      <c r="BF46" s="0"/>
      <c r="BG46" s="0"/>
      <c r="BH46" s="0"/>
      <c r="BI46" s="0"/>
      <c r="BJ46" s="0"/>
      <c r="BK46" s="0"/>
      <c r="BL46" s="0"/>
      <c r="BM46" s="0"/>
      <c r="BN46" s="0"/>
      <c r="BO46" s="0"/>
      <c r="BP46" s="0"/>
      <c r="BQ46" s="0"/>
      <c r="BR46" s="0"/>
      <c r="BS46" s="0"/>
      <c r="BT46" s="0"/>
      <c r="BU46" s="0"/>
      <c r="BV46" s="0"/>
      <c r="BW46" s="0"/>
      <c r="BX46" s="0"/>
      <c r="BY46" s="0"/>
      <c r="BZ46" s="0"/>
      <c r="CA46" s="0"/>
      <c r="CB46" s="0"/>
      <c r="CC46" s="0"/>
      <c r="CD46" s="0"/>
      <c r="CE46" s="0"/>
      <c r="CF46" s="0"/>
      <c r="CG46" s="0"/>
      <c r="CH46" s="0"/>
      <c r="CI46" s="0"/>
      <c r="CJ46" s="0"/>
      <c r="CK46" s="0"/>
      <c r="CL46" s="0"/>
      <c r="CM46" s="0"/>
      <c r="CN46" s="0"/>
      <c r="CO46" s="0"/>
      <c r="CP46" s="0"/>
      <c r="CQ46" s="0"/>
      <c r="CR46" s="0"/>
      <c r="CS46" s="0"/>
      <c r="CT46" s="0"/>
      <c r="CU46" s="0"/>
      <c r="CV46" s="0"/>
      <c r="CW46" s="0"/>
      <c r="CX46" s="0"/>
      <c r="CY46" s="0"/>
      <c r="CZ46" s="0"/>
      <c r="DA46" s="0"/>
      <c r="DB46" s="0"/>
      <c r="DC46" s="0"/>
      <c r="DD46" s="0"/>
      <c r="DE46" s="0"/>
      <c r="DF46" s="0"/>
      <c r="DG46" s="0"/>
      <c r="DH46" s="0"/>
      <c r="DI46" s="0"/>
      <c r="DJ46" s="0"/>
      <c r="DK46" s="0"/>
      <c r="DL46" s="0"/>
      <c r="DM46" s="0"/>
      <c r="DN46" s="0"/>
      <c r="DO46" s="0"/>
      <c r="DP46" s="0"/>
      <c r="DQ46" s="0"/>
      <c r="DR46" s="0"/>
      <c r="DS46" s="0"/>
      <c r="DT46" s="0"/>
      <c r="DU46" s="0"/>
      <c r="DV46" s="0"/>
      <c r="DW46" s="0"/>
      <c r="DX46" s="0"/>
      <c r="DY46" s="0"/>
      <c r="DZ46" s="0"/>
      <c r="EA46" s="0"/>
      <c r="EB46" s="0"/>
      <c r="EC46" s="0"/>
      <c r="ED46" s="0"/>
      <c r="EE46" s="0"/>
      <c r="EF46" s="0"/>
      <c r="EG46" s="0"/>
      <c r="EH46" s="0"/>
      <c r="EI46" s="0"/>
      <c r="EJ46" s="0"/>
      <c r="EK46" s="0"/>
      <c r="EL46" s="0"/>
      <c r="EM46" s="0"/>
      <c r="EN46" s="0"/>
      <c r="EO46" s="0"/>
      <c r="EP46" s="0"/>
      <c r="EQ46" s="0"/>
      <c r="ER46" s="0"/>
      <c r="ES46" s="0"/>
      <c r="ET46" s="0"/>
      <c r="EU46" s="0"/>
      <c r="EV46" s="0"/>
      <c r="EW46" s="0"/>
      <c r="EX46" s="0"/>
      <c r="EY46" s="0"/>
      <c r="EZ46" s="0"/>
      <c r="FA46" s="0"/>
      <c r="FB46" s="0"/>
      <c r="FC46" s="0"/>
      <c r="FD46" s="0"/>
      <c r="FE46" s="0"/>
      <c r="FF46" s="0"/>
      <c r="FG46" s="0"/>
      <c r="FH46" s="0"/>
      <c r="FI46" s="0"/>
      <c r="FJ46" s="0"/>
      <c r="FK46" s="0"/>
      <c r="FL46" s="0"/>
      <c r="FM46" s="0"/>
      <c r="FN46" s="0"/>
      <c r="FO46" s="0"/>
      <c r="FP46" s="0"/>
      <c r="FQ46" s="0"/>
      <c r="FR46" s="0"/>
      <c r="FS46" s="0"/>
      <c r="FT46" s="0"/>
      <c r="FU46" s="0"/>
      <c r="FV46" s="0"/>
      <c r="FW46" s="0"/>
      <c r="FX46" s="0"/>
      <c r="FY46" s="0"/>
      <c r="FZ46" s="0"/>
      <c r="GA46" s="0"/>
      <c r="GB46" s="0"/>
      <c r="GC46" s="0"/>
      <c r="GD46" s="0"/>
      <c r="GE46" s="0"/>
      <c r="GF46" s="0"/>
      <c r="GG46" s="0"/>
      <c r="GH46" s="0"/>
      <c r="GI46" s="0"/>
      <c r="GJ46" s="0"/>
      <c r="GK46" s="0"/>
      <c r="GL46" s="0"/>
      <c r="GM46" s="0"/>
      <c r="GN46" s="0"/>
      <c r="GO46" s="0"/>
      <c r="GP46" s="0"/>
      <c r="GQ46" s="0"/>
      <c r="GR46" s="0"/>
      <c r="GS46" s="0"/>
      <c r="GT46" s="0"/>
      <c r="GU46" s="0"/>
      <c r="GV46" s="0"/>
      <c r="GW46" s="0"/>
      <c r="GX46" s="0"/>
      <c r="GY46" s="0"/>
      <c r="GZ46" s="0"/>
      <c r="HA46" s="0"/>
      <c r="HB46" s="0"/>
      <c r="HC46" s="0"/>
      <c r="HD46" s="0"/>
      <c r="HE46" s="0"/>
      <c r="HF46" s="0"/>
      <c r="HG46" s="0"/>
      <c r="HH46" s="0"/>
      <c r="HI46" s="0"/>
      <c r="HJ46" s="0"/>
      <c r="HK46" s="0"/>
      <c r="HL46" s="0"/>
      <c r="HM46" s="0"/>
      <c r="HN46" s="0"/>
      <c r="HO46" s="0"/>
      <c r="HP46" s="0"/>
      <c r="HQ46" s="0"/>
      <c r="HR46" s="0"/>
      <c r="HS46" s="0"/>
      <c r="HT46" s="0"/>
      <c r="HU46" s="0"/>
      <c r="HV46" s="0"/>
      <c r="HW46" s="0"/>
      <c r="HX46" s="0"/>
      <c r="HY46" s="0"/>
      <c r="HZ46" s="0"/>
      <c r="IA46" s="0"/>
      <c r="IB46" s="0"/>
      <c r="IC46" s="0"/>
      <c r="ID46" s="0"/>
      <c r="IE46" s="0"/>
      <c r="IF46" s="0"/>
      <c r="IG46" s="0"/>
      <c r="IH46" s="0"/>
      <c r="II46" s="0"/>
      <c r="IJ46" s="0"/>
      <c r="IK46" s="0"/>
      <c r="IL46" s="0"/>
      <c r="IM46" s="0"/>
      <c r="IN46" s="0"/>
      <c r="IO46" s="0"/>
      <c r="IP46" s="0"/>
      <c r="IQ46" s="0"/>
      <c r="IR46" s="0"/>
      <c r="IS46" s="0"/>
      <c r="IT46" s="0"/>
      <c r="IU46" s="0"/>
      <c r="IV46" s="0"/>
      <c r="IW46" s="0"/>
    </row>
    <row r="47" customFormat="false" ht="12.6" hidden="false" customHeight="true" outlineLevel="0" collapsed="false">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0"/>
      <c r="AE47" s="0"/>
      <c r="AF47" s="0"/>
      <c r="AG47" s="0"/>
      <c r="AH47" s="0"/>
      <c r="AI47" s="0"/>
      <c r="AJ47" s="0"/>
      <c r="AK47" s="0"/>
      <c r="AL47" s="0"/>
      <c r="AM47" s="0"/>
      <c r="AN47" s="0"/>
      <c r="AO47" s="0"/>
      <c r="AP47" s="0"/>
      <c r="AQ47" s="0"/>
      <c r="AR47" s="0"/>
      <c r="AS47" s="0"/>
      <c r="AT47" s="0"/>
      <c r="AU47" s="0"/>
      <c r="AV47" s="0"/>
      <c r="AW47" s="0"/>
      <c r="AX47" s="0"/>
      <c r="AY47" s="0"/>
      <c r="AZ47" s="0"/>
      <c r="BA47" s="0"/>
      <c r="BB47" s="0"/>
      <c r="BC47" s="0"/>
      <c r="BD47" s="0"/>
      <c r="BE47" s="0"/>
      <c r="BF47" s="0"/>
      <c r="BG47" s="0"/>
      <c r="BH47" s="0"/>
      <c r="BI47" s="0"/>
      <c r="BJ47" s="0"/>
      <c r="BK47" s="0"/>
      <c r="BL47" s="0"/>
      <c r="BM47" s="0"/>
      <c r="BN47" s="0"/>
      <c r="BO47" s="0"/>
      <c r="BP47" s="0"/>
      <c r="BQ47" s="0"/>
      <c r="BR47" s="0"/>
      <c r="BS47" s="0"/>
      <c r="BT47" s="0"/>
      <c r="BU47" s="0"/>
      <c r="BV47" s="0"/>
      <c r="BW47" s="0"/>
      <c r="BX47" s="0"/>
      <c r="BY47" s="0"/>
      <c r="BZ47" s="0"/>
      <c r="CA47" s="0"/>
      <c r="CB47" s="0"/>
      <c r="CC47" s="0"/>
      <c r="CD47" s="0"/>
      <c r="CE47" s="0"/>
      <c r="CF47" s="0"/>
      <c r="CG47" s="0"/>
      <c r="CH47" s="0"/>
      <c r="CI47" s="0"/>
      <c r="CJ47" s="0"/>
      <c r="CK47" s="0"/>
      <c r="CL47" s="0"/>
      <c r="CM47" s="0"/>
      <c r="CN47" s="0"/>
      <c r="CO47" s="0"/>
      <c r="CP47" s="0"/>
      <c r="CQ47" s="0"/>
      <c r="CR47" s="0"/>
      <c r="CS47" s="0"/>
      <c r="CT47" s="0"/>
      <c r="CU47" s="0"/>
      <c r="CV47" s="0"/>
      <c r="CW47" s="0"/>
      <c r="CX47" s="0"/>
      <c r="CY47" s="0"/>
      <c r="CZ47" s="0"/>
      <c r="DA47" s="0"/>
      <c r="DB47" s="0"/>
      <c r="DC47" s="0"/>
      <c r="DD47" s="0"/>
      <c r="DE47" s="0"/>
      <c r="DF47" s="0"/>
      <c r="DG47" s="0"/>
      <c r="DH47" s="0"/>
      <c r="DI47" s="0"/>
      <c r="DJ47" s="0"/>
      <c r="DK47" s="0"/>
      <c r="DL47" s="0"/>
      <c r="DM47" s="0"/>
      <c r="DN47" s="0"/>
      <c r="DO47" s="0"/>
      <c r="DP47" s="0"/>
      <c r="DQ47" s="0"/>
      <c r="DR47" s="0"/>
      <c r="DS47" s="0"/>
      <c r="DT47" s="0"/>
      <c r="DU47" s="0"/>
      <c r="DV47" s="0"/>
      <c r="DW47" s="0"/>
      <c r="DX47" s="0"/>
      <c r="DY47" s="0"/>
      <c r="DZ47" s="0"/>
      <c r="EA47" s="0"/>
      <c r="EB47" s="0"/>
      <c r="EC47" s="0"/>
      <c r="ED47" s="0"/>
      <c r="EE47" s="0"/>
      <c r="EF47" s="0"/>
      <c r="EG47" s="0"/>
      <c r="EH47" s="0"/>
      <c r="EI47" s="0"/>
      <c r="EJ47" s="0"/>
      <c r="EK47" s="0"/>
      <c r="EL47" s="0"/>
      <c r="EM47" s="0"/>
      <c r="EN47" s="0"/>
      <c r="EO47" s="0"/>
      <c r="EP47" s="0"/>
      <c r="EQ47" s="0"/>
      <c r="ER47" s="0"/>
      <c r="ES47" s="0"/>
      <c r="ET47" s="0"/>
      <c r="EU47" s="0"/>
      <c r="EV47" s="0"/>
      <c r="EW47" s="0"/>
      <c r="EX47" s="0"/>
      <c r="EY47" s="0"/>
      <c r="EZ47" s="0"/>
      <c r="FA47" s="0"/>
      <c r="FB47" s="0"/>
      <c r="FC47" s="0"/>
      <c r="FD47" s="0"/>
      <c r="FE47" s="0"/>
      <c r="FF47" s="0"/>
      <c r="FG47" s="0"/>
      <c r="FH47" s="0"/>
      <c r="FI47" s="0"/>
      <c r="FJ47" s="0"/>
      <c r="FK47" s="0"/>
      <c r="FL47" s="0"/>
      <c r="FM47" s="0"/>
      <c r="FN47" s="0"/>
      <c r="FO47" s="0"/>
      <c r="FP47" s="0"/>
      <c r="FQ47" s="0"/>
      <c r="FR47" s="0"/>
      <c r="FS47" s="0"/>
      <c r="FT47" s="0"/>
      <c r="FU47" s="0"/>
      <c r="FV47" s="0"/>
      <c r="FW47" s="0"/>
      <c r="FX47" s="0"/>
      <c r="FY47" s="0"/>
      <c r="FZ47" s="0"/>
      <c r="GA47" s="0"/>
      <c r="GB47" s="0"/>
      <c r="GC47" s="0"/>
      <c r="GD47" s="0"/>
      <c r="GE47" s="0"/>
      <c r="GF47" s="0"/>
      <c r="GG47" s="0"/>
      <c r="GH47" s="0"/>
      <c r="GI47" s="0"/>
      <c r="GJ47" s="0"/>
      <c r="GK47" s="0"/>
      <c r="GL47" s="0"/>
      <c r="GM47" s="0"/>
      <c r="GN47" s="0"/>
      <c r="GO47" s="0"/>
      <c r="GP47" s="0"/>
      <c r="GQ47" s="0"/>
      <c r="GR47" s="0"/>
      <c r="GS47" s="0"/>
      <c r="GT47" s="0"/>
      <c r="GU47" s="0"/>
      <c r="GV47" s="0"/>
      <c r="GW47" s="0"/>
      <c r="GX47" s="0"/>
      <c r="GY47" s="0"/>
      <c r="GZ47" s="0"/>
      <c r="HA47" s="0"/>
      <c r="HB47" s="0"/>
      <c r="HC47" s="0"/>
      <c r="HD47" s="0"/>
      <c r="HE47" s="0"/>
      <c r="HF47" s="0"/>
      <c r="HG47" s="0"/>
      <c r="HH47" s="0"/>
      <c r="HI47" s="0"/>
      <c r="HJ47" s="0"/>
      <c r="HK47" s="0"/>
      <c r="HL47" s="0"/>
      <c r="HM47" s="0"/>
      <c r="HN47" s="0"/>
      <c r="HO47" s="0"/>
      <c r="HP47" s="0"/>
      <c r="HQ47" s="0"/>
      <c r="HR47" s="0"/>
      <c r="HS47" s="0"/>
      <c r="HT47" s="0"/>
      <c r="HU47" s="0"/>
      <c r="HV47" s="0"/>
      <c r="HW47" s="0"/>
      <c r="HX47" s="0"/>
      <c r="HY47" s="0"/>
      <c r="HZ47" s="0"/>
      <c r="IA47" s="0"/>
      <c r="IB47" s="0"/>
      <c r="IC47" s="0"/>
      <c r="ID47" s="0"/>
      <c r="IE47" s="0"/>
      <c r="IF47" s="0"/>
      <c r="IG47" s="0"/>
      <c r="IH47" s="0"/>
      <c r="II47" s="0"/>
      <c r="IJ47" s="0"/>
      <c r="IK47" s="0"/>
      <c r="IL47" s="0"/>
      <c r="IM47" s="0"/>
      <c r="IN47" s="0"/>
      <c r="IO47" s="0"/>
      <c r="IP47" s="0"/>
      <c r="IQ47" s="0"/>
      <c r="IR47" s="0"/>
      <c r="IS47" s="0"/>
      <c r="IT47" s="0"/>
      <c r="IU47" s="0"/>
      <c r="IV47" s="0"/>
      <c r="IW47" s="0"/>
    </row>
    <row r="48" customFormat="false" ht="12.6" hidden="false" customHeight="true" outlineLevel="0" collapsed="false">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0"/>
      <c r="AE48" s="0"/>
      <c r="AF48" s="0"/>
      <c r="AG48" s="0"/>
      <c r="AH48" s="0"/>
      <c r="AI48" s="0"/>
      <c r="AJ48" s="0"/>
      <c r="AK48" s="0"/>
      <c r="AL48" s="0"/>
      <c r="AM48" s="0"/>
      <c r="AN48" s="0"/>
      <c r="AO48" s="0"/>
      <c r="AP48" s="0"/>
      <c r="AQ48" s="0"/>
      <c r="AR48" s="0"/>
      <c r="AS48" s="0"/>
      <c r="AT48" s="0"/>
      <c r="AU48" s="0"/>
      <c r="AV48" s="0"/>
      <c r="AW48" s="0"/>
      <c r="AX48" s="0"/>
      <c r="AY48" s="0"/>
      <c r="AZ48" s="0"/>
      <c r="BA48" s="0"/>
      <c r="BB48" s="0"/>
      <c r="BC48" s="0"/>
      <c r="BD48" s="0"/>
      <c r="BE48" s="0"/>
      <c r="BF48" s="0"/>
      <c r="BG48" s="0"/>
      <c r="BH48" s="0"/>
      <c r="BI48" s="0"/>
      <c r="BJ48" s="0"/>
      <c r="BK48" s="0"/>
      <c r="BL48" s="0"/>
      <c r="BM48" s="0"/>
      <c r="BN48" s="0"/>
      <c r="BO48" s="0"/>
      <c r="BP48" s="0"/>
      <c r="BQ48" s="0"/>
      <c r="BR48" s="0"/>
      <c r="BS48" s="0"/>
      <c r="BT48" s="0"/>
      <c r="BU48" s="0"/>
      <c r="BV48" s="0"/>
      <c r="BW48" s="0"/>
      <c r="BX48" s="0"/>
      <c r="BY48" s="0"/>
      <c r="BZ48" s="0"/>
      <c r="CA48" s="0"/>
      <c r="CB48" s="0"/>
      <c r="CC48" s="0"/>
      <c r="CD48" s="0"/>
      <c r="CE48" s="0"/>
      <c r="CF48" s="0"/>
      <c r="CG48" s="0"/>
      <c r="CH48" s="0"/>
      <c r="CI48" s="0"/>
      <c r="CJ48" s="0"/>
      <c r="CK48" s="0"/>
      <c r="CL48" s="0"/>
      <c r="CM48" s="0"/>
      <c r="CN48" s="0"/>
      <c r="CO48" s="0"/>
      <c r="CP48" s="0"/>
      <c r="CQ48" s="0"/>
      <c r="CR48" s="0"/>
      <c r="CS48" s="0"/>
      <c r="CT48" s="0"/>
      <c r="CU48" s="0"/>
      <c r="CV48" s="0"/>
      <c r="CW48" s="0"/>
      <c r="CX48" s="0"/>
      <c r="CY48" s="0"/>
      <c r="CZ48" s="0"/>
      <c r="DA48" s="0"/>
      <c r="DB48" s="0"/>
      <c r="DC48" s="0"/>
      <c r="DD48" s="0"/>
      <c r="DE48" s="0"/>
      <c r="DF48" s="0"/>
      <c r="DG48" s="0"/>
      <c r="DH48" s="0"/>
      <c r="DI48" s="0"/>
      <c r="DJ48" s="0"/>
      <c r="DK48" s="0"/>
      <c r="DL48" s="0"/>
      <c r="DM48" s="0"/>
      <c r="DN48" s="0"/>
      <c r="DO48" s="0"/>
      <c r="DP48" s="0"/>
      <c r="DQ48" s="0"/>
      <c r="DR48" s="0"/>
      <c r="DS48" s="0"/>
      <c r="DT48" s="0"/>
      <c r="DU48" s="0"/>
      <c r="DV48" s="0"/>
      <c r="DW48" s="0"/>
      <c r="DX48" s="0"/>
      <c r="DY48" s="0"/>
      <c r="DZ48" s="0"/>
      <c r="EA48" s="0"/>
      <c r="EB48" s="0"/>
      <c r="EC48" s="0"/>
      <c r="ED48" s="0"/>
      <c r="EE48" s="0"/>
      <c r="EF48" s="0"/>
      <c r="EG48" s="0"/>
      <c r="EH48" s="0"/>
      <c r="EI48" s="0"/>
      <c r="EJ48" s="0"/>
      <c r="EK48" s="0"/>
      <c r="EL48" s="0"/>
      <c r="EM48" s="0"/>
      <c r="EN48" s="0"/>
      <c r="EO48" s="0"/>
      <c r="EP48" s="0"/>
      <c r="EQ48" s="0"/>
      <c r="ER48" s="0"/>
      <c r="ES48" s="0"/>
      <c r="ET48" s="0"/>
      <c r="EU48" s="0"/>
      <c r="EV48" s="0"/>
      <c r="EW48" s="0"/>
      <c r="EX48" s="0"/>
      <c r="EY48" s="0"/>
      <c r="EZ48" s="0"/>
      <c r="FA48" s="0"/>
      <c r="FB48" s="0"/>
      <c r="FC48" s="0"/>
      <c r="FD48" s="0"/>
      <c r="FE48" s="0"/>
      <c r="FF48" s="0"/>
      <c r="FG48" s="0"/>
      <c r="FH48" s="0"/>
      <c r="FI48" s="0"/>
      <c r="FJ48" s="0"/>
      <c r="FK48" s="0"/>
      <c r="FL48" s="0"/>
      <c r="FM48" s="0"/>
      <c r="FN48" s="0"/>
      <c r="FO48" s="0"/>
      <c r="FP48" s="0"/>
      <c r="FQ48" s="0"/>
      <c r="FR48" s="0"/>
      <c r="FS48" s="0"/>
      <c r="FT48" s="0"/>
      <c r="FU48" s="0"/>
      <c r="FV48" s="0"/>
      <c r="FW48" s="0"/>
      <c r="FX48" s="0"/>
      <c r="FY48" s="0"/>
      <c r="FZ48" s="0"/>
      <c r="GA48" s="0"/>
      <c r="GB48" s="0"/>
      <c r="GC48" s="0"/>
      <c r="GD48" s="0"/>
      <c r="GE48" s="0"/>
      <c r="GF48" s="0"/>
      <c r="GG48" s="0"/>
      <c r="GH48" s="0"/>
      <c r="GI48" s="0"/>
      <c r="GJ48" s="0"/>
      <c r="GK48" s="0"/>
      <c r="GL48" s="0"/>
      <c r="GM48" s="0"/>
      <c r="GN48" s="0"/>
      <c r="GO48" s="0"/>
      <c r="GP48" s="0"/>
      <c r="GQ48" s="0"/>
      <c r="GR48" s="0"/>
      <c r="GS48" s="0"/>
      <c r="GT48" s="0"/>
      <c r="GU48" s="0"/>
      <c r="GV48" s="0"/>
      <c r="GW48" s="0"/>
      <c r="GX48" s="0"/>
      <c r="GY48" s="0"/>
      <c r="GZ48" s="0"/>
      <c r="HA48" s="0"/>
      <c r="HB48" s="0"/>
      <c r="HC48" s="0"/>
      <c r="HD48" s="0"/>
      <c r="HE48" s="0"/>
      <c r="HF48" s="0"/>
      <c r="HG48" s="0"/>
      <c r="HH48" s="0"/>
      <c r="HI48" s="0"/>
      <c r="HJ48" s="0"/>
      <c r="HK48" s="0"/>
      <c r="HL48" s="0"/>
      <c r="HM48" s="0"/>
      <c r="HN48" s="0"/>
      <c r="HO48" s="0"/>
      <c r="HP48" s="0"/>
      <c r="HQ48" s="0"/>
      <c r="HR48" s="0"/>
      <c r="HS48" s="0"/>
      <c r="HT48" s="0"/>
      <c r="HU48" s="0"/>
      <c r="HV48" s="0"/>
      <c r="HW48" s="0"/>
      <c r="HX48" s="0"/>
      <c r="HY48" s="0"/>
      <c r="HZ48" s="0"/>
      <c r="IA48" s="0"/>
      <c r="IB48" s="0"/>
      <c r="IC48" s="0"/>
      <c r="ID48" s="0"/>
      <c r="IE48" s="0"/>
      <c r="IF48" s="0"/>
      <c r="IG48" s="0"/>
      <c r="IH48" s="0"/>
      <c r="II48" s="0"/>
      <c r="IJ48" s="0"/>
      <c r="IK48" s="0"/>
      <c r="IL48" s="0"/>
      <c r="IM48" s="0"/>
      <c r="IN48" s="0"/>
      <c r="IO48" s="0"/>
      <c r="IP48" s="0"/>
      <c r="IQ48" s="0"/>
      <c r="IR48" s="0"/>
      <c r="IS48" s="0"/>
      <c r="IT48" s="0"/>
      <c r="IU48" s="0"/>
      <c r="IV48" s="0"/>
      <c r="IW48" s="0"/>
    </row>
    <row r="49" customFormat="false" ht="12.6" hidden="false" customHeight="true" outlineLevel="0" collapsed="false">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0"/>
      <c r="AE49" s="0"/>
      <c r="AF49" s="0"/>
      <c r="AG49" s="0"/>
      <c r="AH49" s="0"/>
      <c r="AI49" s="0"/>
      <c r="AJ49" s="0"/>
      <c r="AK49" s="0"/>
      <c r="AL49" s="0"/>
      <c r="AM49" s="0"/>
      <c r="AN49" s="0"/>
      <c r="AO49" s="0"/>
      <c r="AP49" s="0"/>
      <c r="AQ49" s="0"/>
      <c r="AR49" s="0"/>
      <c r="AS49" s="0"/>
      <c r="AT49" s="0"/>
      <c r="AU49" s="0"/>
      <c r="AV49" s="0"/>
      <c r="AW49" s="0"/>
      <c r="AX49" s="0"/>
      <c r="AY49" s="0"/>
      <c r="AZ49" s="0"/>
      <c r="BA49" s="0"/>
      <c r="BB49" s="0"/>
      <c r="BC49" s="0"/>
      <c r="BD49" s="0"/>
      <c r="BE49" s="0"/>
      <c r="BF49" s="0"/>
      <c r="BG49" s="0"/>
      <c r="BH49" s="0"/>
      <c r="BI49" s="0"/>
      <c r="BJ49" s="0"/>
      <c r="BK49" s="0"/>
      <c r="BL49" s="0"/>
      <c r="BM49" s="0"/>
      <c r="BN49" s="0"/>
      <c r="BO49" s="0"/>
      <c r="BP49" s="0"/>
      <c r="BQ49" s="0"/>
      <c r="BR49" s="0"/>
      <c r="BS49" s="0"/>
      <c r="BT49" s="0"/>
      <c r="BU49" s="0"/>
      <c r="BV49" s="0"/>
      <c r="BW49" s="0"/>
      <c r="BX49" s="0"/>
      <c r="BY49" s="0"/>
      <c r="BZ49" s="0"/>
      <c r="CA49" s="0"/>
      <c r="CB49" s="0"/>
      <c r="CC49" s="0"/>
      <c r="CD49" s="0"/>
      <c r="CE49" s="0"/>
      <c r="CF49" s="0"/>
      <c r="CG49" s="0"/>
      <c r="CH49" s="0"/>
      <c r="CI49" s="0"/>
      <c r="CJ49" s="0"/>
      <c r="CK49" s="0"/>
      <c r="CL49" s="0"/>
      <c r="CM49" s="0"/>
      <c r="CN49" s="0"/>
      <c r="CO49" s="0"/>
      <c r="CP49" s="0"/>
      <c r="CQ49" s="0"/>
      <c r="CR49" s="0"/>
      <c r="CS49" s="0"/>
      <c r="CT49" s="0"/>
      <c r="CU49" s="0"/>
      <c r="CV49" s="0"/>
      <c r="CW49" s="0"/>
      <c r="CX49" s="0"/>
      <c r="CY49" s="0"/>
      <c r="CZ49" s="0"/>
      <c r="DA49" s="0"/>
      <c r="DB49" s="0"/>
      <c r="DC49" s="0"/>
      <c r="DD49" s="0"/>
      <c r="DE49" s="0"/>
      <c r="DF49" s="0"/>
      <c r="DG49" s="0"/>
      <c r="DH49" s="0"/>
      <c r="DI49" s="0"/>
      <c r="DJ49" s="0"/>
      <c r="DK49" s="0"/>
      <c r="DL49" s="0"/>
      <c r="DM49" s="0"/>
      <c r="DN49" s="0"/>
      <c r="DO49" s="0"/>
      <c r="DP49" s="0"/>
      <c r="DQ49" s="0"/>
      <c r="DR49" s="0"/>
      <c r="DS49" s="0"/>
      <c r="DT49" s="0"/>
      <c r="DU49" s="0"/>
      <c r="DV49" s="0"/>
      <c r="DW49" s="0"/>
      <c r="DX49" s="0"/>
      <c r="DY49" s="0"/>
      <c r="DZ49" s="0"/>
      <c r="EA49" s="0"/>
      <c r="EB49" s="0"/>
      <c r="EC49" s="0"/>
      <c r="ED49" s="0"/>
      <c r="EE49" s="0"/>
      <c r="EF49" s="0"/>
      <c r="EG49" s="0"/>
      <c r="EH49" s="0"/>
      <c r="EI49" s="0"/>
      <c r="EJ49" s="0"/>
      <c r="EK49" s="0"/>
      <c r="EL49" s="0"/>
      <c r="EM49" s="0"/>
      <c r="EN49" s="0"/>
      <c r="EO49" s="0"/>
      <c r="EP49" s="0"/>
      <c r="EQ49" s="0"/>
      <c r="ER49" s="0"/>
      <c r="ES49" s="0"/>
      <c r="ET49" s="0"/>
      <c r="EU49" s="0"/>
      <c r="EV49" s="0"/>
      <c r="EW49" s="0"/>
      <c r="EX49" s="0"/>
      <c r="EY49" s="0"/>
      <c r="EZ49" s="0"/>
      <c r="FA49" s="0"/>
      <c r="FB49" s="0"/>
      <c r="FC49" s="0"/>
      <c r="FD49" s="0"/>
      <c r="FE49" s="0"/>
      <c r="FF49" s="0"/>
      <c r="FG49" s="0"/>
      <c r="FH49" s="0"/>
      <c r="FI49" s="0"/>
      <c r="FJ49" s="0"/>
      <c r="FK49" s="0"/>
      <c r="FL49" s="0"/>
      <c r="FM49" s="0"/>
      <c r="FN49" s="0"/>
      <c r="FO49" s="0"/>
      <c r="FP49" s="0"/>
      <c r="FQ49" s="0"/>
      <c r="FR49" s="0"/>
      <c r="FS49" s="0"/>
      <c r="FT49" s="0"/>
      <c r="FU49" s="0"/>
      <c r="FV49" s="0"/>
      <c r="FW49" s="0"/>
      <c r="FX49" s="0"/>
      <c r="FY49" s="0"/>
      <c r="FZ49" s="0"/>
      <c r="GA49" s="0"/>
      <c r="GB49" s="0"/>
      <c r="GC49" s="0"/>
      <c r="GD49" s="0"/>
      <c r="GE49" s="0"/>
      <c r="GF49" s="0"/>
      <c r="GG49" s="0"/>
      <c r="GH49" s="0"/>
      <c r="GI49" s="0"/>
      <c r="GJ49" s="0"/>
      <c r="GK49" s="0"/>
      <c r="GL49" s="0"/>
      <c r="GM49" s="0"/>
      <c r="GN49" s="0"/>
      <c r="GO49" s="0"/>
      <c r="GP49" s="0"/>
      <c r="GQ49" s="0"/>
      <c r="GR49" s="0"/>
      <c r="GS49" s="0"/>
      <c r="GT49" s="0"/>
      <c r="GU49" s="0"/>
      <c r="GV49" s="0"/>
      <c r="GW49" s="0"/>
      <c r="GX49" s="0"/>
      <c r="GY49" s="0"/>
      <c r="GZ49" s="0"/>
      <c r="HA49" s="0"/>
      <c r="HB49" s="0"/>
      <c r="HC49" s="0"/>
      <c r="HD49" s="0"/>
      <c r="HE49" s="0"/>
      <c r="HF49" s="0"/>
      <c r="HG49" s="0"/>
      <c r="HH49" s="0"/>
      <c r="HI49" s="0"/>
      <c r="HJ49" s="0"/>
      <c r="HK49" s="0"/>
      <c r="HL49" s="0"/>
      <c r="HM49" s="0"/>
      <c r="HN49" s="0"/>
      <c r="HO49" s="0"/>
      <c r="HP49" s="0"/>
      <c r="HQ49" s="0"/>
      <c r="HR49" s="0"/>
      <c r="HS49" s="0"/>
      <c r="HT49" s="0"/>
      <c r="HU49" s="0"/>
      <c r="HV49" s="0"/>
      <c r="HW49" s="0"/>
      <c r="HX49" s="0"/>
      <c r="HY49" s="0"/>
      <c r="HZ49" s="0"/>
      <c r="IA49" s="0"/>
      <c r="IB49" s="0"/>
      <c r="IC49" s="0"/>
      <c r="ID49" s="0"/>
      <c r="IE49" s="0"/>
      <c r="IF49" s="0"/>
      <c r="IG49" s="0"/>
      <c r="IH49" s="0"/>
      <c r="II49" s="0"/>
      <c r="IJ49" s="0"/>
      <c r="IK49" s="0"/>
      <c r="IL49" s="0"/>
      <c r="IM49" s="0"/>
      <c r="IN49" s="0"/>
      <c r="IO49" s="0"/>
      <c r="IP49" s="0"/>
      <c r="IQ49" s="0"/>
      <c r="IR49" s="0"/>
      <c r="IS49" s="0"/>
      <c r="IT49" s="0"/>
      <c r="IU49" s="0"/>
      <c r="IV49" s="0"/>
      <c r="IW49" s="0"/>
    </row>
    <row r="50" customFormat="false" ht="12.6" hidden="false" customHeight="true" outlineLevel="0" collapsed="false">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0"/>
      <c r="AE50" s="0"/>
      <c r="AF50" s="0"/>
      <c r="AG50" s="0"/>
      <c r="AH50" s="0"/>
      <c r="AI50" s="0"/>
      <c r="AJ50" s="0"/>
      <c r="AK50" s="0"/>
      <c r="AL50" s="0"/>
      <c r="AM50" s="0"/>
      <c r="AN50" s="0"/>
      <c r="AO50" s="0"/>
      <c r="AP50" s="0"/>
      <c r="AQ50" s="0"/>
      <c r="AR50" s="0"/>
      <c r="AS50" s="0"/>
      <c r="AT50" s="0"/>
      <c r="AU50" s="0"/>
      <c r="AV50" s="0"/>
      <c r="AW50" s="0"/>
      <c r="AX50" s="0"/>
      <c r="AY50" s="0"/>
      <c r="AZ50" s="0"/>
      <c r="BA50" s="0"/>
      <c r="BB50" s="0"/>
      <c r="BC50" s="0"/>
      <c r="BD50" s="0"/>
      <c r="BE50" s="0"/>
      <c r="BF50" s="0"/>
      <c r="BG50" s="0"/>
      <c r="BH50" s="0"/>
      <c r="BI50" s="0"/>
      <c r="BJ50" s="0"/>
      <c r="BK50" s="0"/>
      <c r="BL50" s="0"/>
      <c r="BM50" s="0"/>
      <c r="BN50" s="0"/>
      <c r="BO50" s="0"/>
      <c r="BP50" s="0"/>
      <c r="BQ50" s="0"/>
      <c r="BR50" s="0"/>
      <c r="BS50" s="0"/>
      <c r="BT50" s="0"/>
      <c r="BU50" s="0"/>
      <c r="BV50" s="0"/>
      <c r="BW50" s="0"/>
      <c r="BX50" s="0"/>
      <c r="BY50" s="0"/>
      <c r="BZ50" s="0"/>
      <c r="CA50" s="0"/>
      <c r="CB50" s="0"/>
      <c r="CC50" s="0"/>
      <c r="CD50" s="0"/>
      <c r="CE50" s="0"/>
      <c r="CF50" s="0"/>
      <c r="CG50" s="0"/>
      <c r="CH50" s="0"/>
      <c r="CI50" s="0"/>
      <c r="CJ50" s="0"/>
      <c r="CK50" s="0"/>
      <c r="CL50" s="0"/>
      <c r="CM50" s="0"/>
      <c r="CN50" s="0"/>
      <c r="CO50" s="0"/>
      <c r="CP50" s="0"/>
      <c r="CQ50" s="0"/>
      <c r="CR50" s="0"/>
      <c r="CS50" s="0"/>
      <c r="CT50" s="0"/>
      <c r="CU50" s="0"/>
      <c r="CV50" s="0"/>
      <c r="CW50" s="0"/>
      <c r="CX50" s="0"/>
      <c r="CY50" s="0"/>
      <c r="CZ50" s="0"/>
      <c r="DA50" s="0"/>
      <c r="DB50" s="0"/>
      <c r="DC50" s="0"/>
      <c r="DD50" s="0"/>
      <c r="DE50" s="0"/>
      <c r="DF50" s="0"/>
      <c r="DG50" s="0"/>
      <c r="DH50" s="0"/>
      <c r="DI50" s="0"/>
      <c r="DJ50" s="0"/>
      <c r="DK50" s="0"/>
      <c r="DL50" s="0"/>
      <c r="DM50" s="0"/>
      <c r="DN50" s="0"/>
      <c r="DO50" s="0"/>
      <c r="DP50" s="0"/>
      <c r="DQ50" s="0"/>
      <c r="DR50" s="0"/>
      <c r="DS50" s="0"/>
      <c r="DT50" s="0"/>
      <c r="DU50" s="0"/>
      <c r="DV50" s="0"/>
      <c r="DW50" s="0"/>
      <c r="DX50" s="0"/>
      <c r="DY50" s="0"/>
      <c r="DZ50" s="0"/>
      <c r="EA50" s="0"/>
      <c r="EB50" s="0"/>
      <c r="EC50" s="0"/>
      <c r="ED50" s="0"/>
      <c r="EE50" s="0"/>
      <c r="EF50" s="0"/>
      <c r="EG50" s="0"/>
      <c r="EH50" s="0"/>
      <c r="EI50" s="0"/>
      <c r="EJ50" s="0"/>
      <c r="EK50" s="0"/>
      <c r="EL50" s="0"/>
      <c r="EM50" s="0"/>
      <c r="EN50" s="0"/>
      <c r="EO50" s="0"/>
      <c r="EP50" s="0"/>
      <c r="EQ50" s="0"/>
      <c r="ER50" s="0"/>
      <c r="ES50" s="0"/>
      <c r="ET50" s="0"/>
      <c r="EU50" s="0"/>
      <c r="EV50" s="0"/>
      <c r="EW50" s="0"/>
      <c r="EX50" s="0"/>
      <c r="EY50" s="0"/>
      <c r="EZ50" s="0"/>
      <c r="FA50" s="0"/>
      <c r="FB50" s="0"/>
      <c r="FC50" s="0"/>
      <c r="FD50" s="0"/>
      <c r="FE50" s="0"/>
      <c r="FF50" s="0"/>
      <c r="FG50" s="0"/>
      <c r="FH50" s="0"/>
      <c r="FI50" s="0"/>
      <c r="FJ50" s="0"/>
      <c r="FK50" s="0"/>
      <c r="FL50" s="0"/>
      <c r="FM50" s="0"/>
      <c r="FN50" s="0"/>
      <c r="FO50" s="0"/>
      <c r="FP50" s="0"/>
      <c r="FQ50" s="0"/>
      <c r="FR50" s="0"/>
      <c r="FS50" s="0"/>
      <c r="FT50" s="0"/>
      <c r="FU50" s="0"/>
      <c r="FV50" s="0"/>
      <c r="FW50" s="0"/>
      <c r="FX50" s="0"/>
      <c r="FY50" s="0"/>
      <c r="FZ50" s="0"/>
      <c r="GA50" s="0"/>
      <c r="GB50" s="0"/>
      <c r="GC50" s="0"/>
      <c r="GD50" s="0"/>
      <c r="GE50" s="0"/>
      <c r="GF50" s="0"/>
      <c r="GG50" s="0"/>
      <c r="GH50" s="0"/>
      <c r="GI50" s="0"/>
      <c r="GJ50" s="0"/>
      <c r="GK50" s="0"/>
      <c r="GL50" s="0"/>
      <c r="GM50" s="0"/>
      <c r="GN50" s="0"/>
      <c r="GO50" s="0"/>
      <c r="GP50" s="0"/>
      <c r="GQ50" s="0"/>
      <c r="GR50" s="0"/>
      <c r="GS50" s="0"/>
      <c r="GT50" s="0"/>
      <c r="GU50" s="0"/>
      <c r="GV50" s="0"/>
      <c r="GW50" s="0"/>
      <c r="GX50" s="0"/>
      <c r="GY50" s="0"/>
      <c r="GZ50" s="0"/>
      <c r="HA50" s="0"/>
      <c r="HB50" s="0"/>
      <c r="HC50" s="0"/>
      <c r="HD50" s="0"/>
      <c r="HE50" s="0"/>
      <c r="HF50" s="0"/>
      <c r="HG50" s="0"/>
      <c r="HH50" s="0"/>
      <c r="HI50" s="0"/>
      <c r="HJ50" s="0"/>
      <c r="HK50" s="0"/>
      <c r="HL50" s="0"/>
      <c r="HM50" s="0"/>
      <c r="HN50" s="0"/>
      <c r="HO50" s="0"/>
      <c r="HP50" s="0"/>
      <c r="HQ50" s="0"/>
      <c r="HR50" s="0"/>
      <c r="HS50" s="0"/>
      <c r="HT50" s="0"/>
      <c r="HU50" s="0"/>
      <c r="HV50" s="0"/>
      <c r="HW50" s="0"/>
      <c r="HX50" s="0"/>
      <c r="HY50" s="0"/>
      <c r="HZ50" s="0"/>
      <c r="IA50" s="0"/>
      <c r="IB50" s="0"/>
      <c r="IC50" s="0"/>
      <c r="ID50" s="0"/>
      <c r="IE50" s="0"/>
      <c r="IF50" s="0"/>
      <c r="IG50" s="0"/>
      <c r="IH50" s="0"/>
      <c r="II50" s="0"/>
      <c r="IJ50" s="0"/>
      <c r="IK50" s="0"/>
      <c r="IL50" s="0"/>
      <c r="IM50" s="0"/>
      <c r="IN50" s="0"/>
      <c r="IO50" s="0"/>
      <c r="IP50" s="0"/>
      <c r="IQ50" s="0"/>
      <c r="IR50" s="0"/>
      <c r="IS50" s="0"/>
      <c r="IT50" s="0"/>
      <c r="IU50" s="0"/>
      <c r="IV50" s="0"/>
      <c r="IW50" s="0"/>
    </row>
    <row r="51" customFormat="false" ht="12.6" hidden="false" customHeight="true" outlineLevel="0" collapsed="false">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row>
    <row r="52" customFormat="false" ht="12.6" hidden="false" customHeight="true" outlineLevel="0" collapsed="false">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0"/>
      <c r="AE52" s="0"/>
      <c r="AF52" s="0"/>
      <c r="AG52" s="0"/>
      <c r="AH52" s="0"/>
      <c r="AI52" s="0"/>
      <c r="AJ52" s="0"/>
      <c r="AK52" s="0"/>
      <c r="AL52" s="0"/>
      <c r="AM52" s="0"/>
      <c r="AN52" s="0"/>
      <c r="AO52" s="0"/>
      <c r="AP52" s="0"/>
      <c r="AQ52" s="0"/>
      <c r="AR52" s="0"/>
      <c r="AS52" s="0"/>
      <c r="AT52" s="0"/>
      <c r="AU52" s="0"/>
      <c r="AV52" s="0"/>
      <c r="AW52" s="0"/>
      <c r="AX52" s="0"/>
      <c r="AY52" s="0"/>
      <c r="AZ52" s="0"/>
      <c r="BA52" s="0"/>
      <c r="BB52" s="0"/>
      <c r="BC52" s="0"/>
      <c r="BD52" s="0"/>
      <c r="BE52" s="0"/>
      <c r="BF52" s="0"/>
      <c r="BG52" s="0"/>
      <c r="BH52" s="0"/>
      <c r="BI52" s="0"/>
      <c r="BJ52" s="0"/>
      <c r="BK52" s="0"/>
      <c r="BL52" s="0"/>
      <c r="BM52" s="0"/>
      <c r="BN52" s="0"/>
      <c r="BO52" s="0"/>
      <c r="BP52" s="0"/>
      <c r="BQ52" s="0"/>
      <c r="BR52" s="0"/>
      <c r="BS52" s="0"/>
      <c r="BT52" s="0"/>
      <c r="BU52" s="0"/>
      <c r="BV52" s="0"/>
      <c r="BW52" s="0"/>
      <c r="BX52" s="0"/>
      <c r="BY52" s="0"/>
      <c r="BZ52" s="0"/>
      <c r="CA52" s="0"/>
      <c r="CB52" s="0"/>
      <c r="CC52" s="0"/>
      <c r="CD52" s="0"/>
      <c r="CE52" s="0"/>
      <c r="CF52" s="0"/>
      <c r="CG52" s="0"/>
      <c r="CH52" s="0"/>
      <c r="CI52" s="0"/>
      <c r="CJ52" s="0"/>
      <c r="CK52" s="0"/>
      <c r="CL52" s="0"/>
      <c r="CM52" s="0"/>
      <c r="CN52" s="0"/>
      <c r="CO52" s="0"/>
      <c r="CP52" s="0"/>
      <c r="CQ52" s="0"/>
      <c r="CR52" s="0"/>
      <c r="CS52" s="0"/>
      <c r="CT52" s="0"/>
      <c r="CU52" s="0"/>
      <c r="CV52" s="0"/>
      <c r="CW52" s="0"/>
      <c r="CX52" s="0"/>
      <c r="CY52" s="0"/>
      <c r="CZ52" s="0"/>
      <c r="DA52" s="0"/>
      <c r="DB52" s="0"/>
      <c r="DC52" s="0"/>
      <c r="DD52" s="0"/>
      <c r="DE52" s="0"/>
      <c r="DF52" s="0"/>
      <c r="DG52" s="0"/>
      <c r="DH52" s="0"/>
      <c r="DI52" s="0"/>
      <c r="DJ52" s="0"/>
      <c r="DK52" s="0"/>
      <c r="DL52" s="0"/>
      <c r="DM52" s="0"/>
      <c r="DN52" s="0"/>
      <c r="DO52" s="0"/>
      <c r="DP52" s="0"/>
      <c r="DQ52" s="0"/>
      <c r="DR52" s="0"/>
      <c r="DS52" s="0"/>
      <c r="DT52" s="0"/>
      <c r="DU52" s="0"/>
      <c r="DV52" s="0"/>
      <c r="DW52" s="0"/>
      <c r="DX52" s="0"/>
      <c r="DY52" s="0"/>
      <c r="DZ52" s="0"/>
      <c r="EA52" s="0"/>
      <c r="EB52" s="0"/>
      <c r="EC52" s="0"/>
      <c r="ED52" s="0"/>
      <c r="EE52" s="0"/>
      <c r="EF52" s="0"/>
      <c r="EG52" s="0"/>
      <c r="EH52" s="0"/>
      <c r="EI52" s="0"/>
      <c r="EJ52" s="0"/>
      <c r="EK52" s="0"/>
      <c r="EL52" s="0"/>
      <c r="EM52" s="0"/>
      <c r="EN52" s="0"/>
      <c r="EO52" s="0"/>
      <c r="EP52" s="0"/>
      <c r="EQ52" s="0"/>
      <c r="ER52" s="0"/>
      <c r="ES52" s="0"/>
      <c r="ET52" s="0"/>
      <c r="EU52" s="0"/>
      <c r="EV52" s="0"/>
      <c r="EW52" s="0"/>
      <c r="EX52" s="0"/>
      <c r="EY52" s="0"/>
      <c r="EZ52" s="0"/>
      <c r="FA52" s="0"/>
      <c r="FB52" s="0"/>
      <c r="FC52" s="0"/>
      <c r="FD52" s="0"/>
      <c r="FE52" s="0"/>
      <c r="FF52" s="0"/>
      <c r="FG52" s="0"/>
      <c r="FH52" s="0"/>
      <c r="FI52" s="0"/>
      <c r="FJ52" s="0"/>
      <c r="FK52" s="0"/>
      <c r="FL52" s="0"/>
      <c r="FM52" s="0"/>
      <c r="FN52" s="0"/>
      <c r="FO52" s="0"/>
      <c r="FP52" s="0"/>
      <c r="FQ52" s="0"/>
      <c r="FR52" s="0"/>
      <c r="FS52" s="0"/>
      <c r="FT52" s="0"/>
      <c r="FU52" s="0"/>
      <c r="FV52" s="0"/>
      <c r="FW52" s="0"/>
      <c r="FX52" s="0"/>
      <c r="FY52" s="0"/>
      <c r="FZ52" s="0"/>
      <c r="GA52" s="0"/>
      <c r="GB52" s="0"/>
      <c r="GC52" s="0"/>
      <c r="GD52" s="0"/>
      <c r="GE52" s="0"/>
      <c r="GF52" s="0"/>
      <c r="GG52" s="0"/>
      <c r="GH52" s="0"/>
      <c r="GI52" s="0"/>
      <c r="GJ52" s="0"/>
      <c r="GK52" s="0"/>
      <c r="GL52" s="0"/>
      <c r="GM52" s="0"/>
      <c r="GN52" s="0"/>
      <c r="GO52" s="0"/>
      <c r="GP52" s="0"/>
      <c r="GQ52" s="0"/>
      <c r="GR52" s="0"/>
      <c r="GS52" s="0"/>
      <c r="GT52" s="0"/>
      <c r="GU52" s="0"/>
      <c r="GV52" s="0"/>
      <c r="GW52" s="0"/>
      <c r="GX52" s="0"/>
      <c r="GY52" s="0"/>
      <c r="GZ52" s="0"/>
      <c r="HA52" s="0"/>
      <c r="HB52" s="0"/>
      <c r="HC52" s="0"/>
      <c r="HD52" s="0"/>
      <c r="HE52" s="0"/>
      <c r="HF52" s="0"/>
      <c r="HG52" s="0"/>
      <c r="HH52" s="0"/>
      <c r="HI52" s="0"/>
      <c r="HJ52" s="0"/>
      <c r="HK52" s="0"/>
      <c r="HL52" s="0"/>
      <c r="HM52" s="0"/>
      <c r="HN52" s="0"/>
      <c r="HO52" s="0"/>
      <c r="HP52" s="0"/>
      <c r="HQ52" s="0"/>
      <c r="HR52" s="0"/>
      <c r="HS52" s="0"/>
      <c r="HT52" s="0"/>
      <c r="HU52" s="0"/>
      <c r="HV52" s="0"/>
      <c r="HW52" s="0"/>
      <c r="HX52" s="0"/>
      <c r="HY52" s="0"/>
      <c r="HZ52" s="0"/>
      <c r="IA52" s="0"/>
      <c r="IB52" s="0"/>
      <c r="IC52" s="0"/>
      <c r="ID52" s="0"/>
      <c r="IE52" s="0"/>
      <c r="IF52" s="0"/>
      <c r="IG52" s="0"/>
      <c r="IH52" s="0"/>
      <c r="II52" s="0"/>
      <c r="IJ52" s="0"/>
      <c r="IK52" s="0"/>
      <c r="IL52" s="0"/>
      <c r="IM52" s="0"/>
      <c r="IN52" s="0"/>
      <c r="IO52" s="0"/>
      <c r="IP52" s="0"/>
      <c r="IQ52" s="0"/>
      <c r="IR52" s="0"/>
      <c r="IS52" s="0"/>
      <c r="IT52" s="0"/>
      <c r="IU52" s="0"/>
      <c r="IV52" s="0"/>
      <c r="IW52" s="0"/>
    </row>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&amp;L&amp;D   &amp;T&amp;R&amp;F
&amp;A &amp;P</oddFooter>
  </headerFooter>
  <colBreaks count="1" manualBreakCount="1">
    <brk id="23" man="true" max="65535" min="0"/>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54"/>
  <sheetViews>
    <sheetView showFormulas="false" showGridLines="true" showRowColHeaders="true" showZeros="true" rightToLeft="false" tabSelected="false" showOutlineSymbols="true" defaultGridColor="true" view="normal" topLeftCell="D25" colorId="64" zoomScale="100" zoomScaleNormal="100" zoomScalePageLayoutView="100" workbookViewId="0">
      <pane xSplit="14865" ySplit="0" topLeftCell="T4" activePane="topLeft" state="split"/>
      <selection pane="topLeft" activeCell="D46" activeCellId="0" sqref="D46:X46"/>
      <selection pane="topRight" activeCell="T25" activeCellId="0" sqref="T25"/>
    </sheetView>
  </sheetViews>
  <sheetFormatPr defaultColWidth="9.13671875" defaultRowHeight="11.25" customHeight="true" zeroHeight="false" outlineLevelRow="1" outlineLevelCol="0"/>
  <cols>
    <col collapsed="false" customWidth="true" hidden="false" outlineLevel="0" max="1" min="1" style="1" width="17.99"/>
    <col collapsed="false" customWidth="true" hidden="false" outlineLevel="0" max="2" min="2" style="1" width="16.56"/>
    <col collapsed="false" customWidth="true" hidden="false" outlineLevel="0" max="4" min="3" style="1" width="7.7"/>
    <col collapsed="false" customWidth="true" hidden="false" outlineLevel="0" max="22" min="5" style="1" width="8.28"/>
    <col collapsed="false" customWidth="true" hidden="false" outlineLevel="0" max="24" min="23" style="2" width="8.28"/>
    <col collapsed="false" customWidth="false" hidden="false" outlineLevel="0" max="257" min="25" style="2" width="9.14"/>
  </cols>
  <sheetData>
    <row r="1" customFormat="false" ht="20.25" hidden="false" customHeight="false" outlineLevel="0" collapsed="false">
      <c r="A1" s="368" t="str">
        <f aca="false">'Project Assumptions'!$A$2</f>
        <v>CALEDONIA, Lowndes County, MS</v>
      </c>
      <c r="B1" s="369"/>
      <c r="C1" s="369"/>
      <c r="D1" s="370"/>
      <c r="E1" s="5"/>
      <c r="F1" s="5"/>
      <c r="G1" s="5"/>
      <c r="H1" s="5"/>
      <c r="I1" s="5"/>
      <c r="J1" s="5"/>
      <c r="K1" s="5"/>
      <c r="L1" s="5"/>
      <c r="M1" s="5"/>
      <c r="N1" s="5"/>
      <c r="O1" s="5"/>
      <c r="P1" s="5"/>
      <c r="Q1" s="5"/>
      <c r="R1" s="5"/>
      <c r="S1" s="5"/>
      <c r="T1" s="5"/>
      <c r="U1" s="5"/>
      <c r="V1" s="5"/>
      <c r="W1" s="5"/>
      <c r="X1" s="5"/>
    </row>
    <row r="2" customFormat="false" ht="12.75" hidden="false" customHeight="false" outlineLevel="0" collapsed="false">
      <c r="A2" s="371" t="s">
        <v>576</v>
      </c>
      <c r="B2" s="372"/>
      <c r="C2" s="372"/>
      <c r="D2" s="374"/>
      <c r="E2" s="5"/>
      <c r="F2" s="5"/>
      <c r="G2" s="5"/>
      <c r="H2" s="5"/>
      <c r="I2" s="5"/>
      <c r="J2" s="5"/>
      <c r="K2" s="5"/>
      <c r="L2" s="5"/>
      <c r="M2" s="5"/>
      <c r="N2" s="5"/>
      <c r="O2" s="5"/>
      <c r="P2" s="5"/>
      <c r="Q2" s="5"/>
      <c r="R2" s="5"/>
      <c r="S2" s="5"/>
      <c r="T2" s="5"/>
      <c r="U2" s="5"/>
      <c r="V2" s="5"/>
      <c r="W2" s="5"/>
      <c r="X2" s="5"/>
    </row>
    <row r="3" customFormat="false" ht="12.75" hidden="false" customHeight="false" outlineLevel="0" collapsed="false">
      <c r="A3" s="5"/>
      <c r="B3" s="5"/>
      <c r="C3" s="5"/>
      <c r="D3" s="825" t="n">
        <f aca="false">'[7]PPA Assumptions &amp;Summary'!C3</f>
        <v>1</v>
      </c>
      <c r="E3" s="825" t="n">
        <f aca="false">'[7]PPA Assumptions &amp;Summary'!D3</f>
        <v>2</v>
      </c>
      <c r="F3" s="825" t="n">
        <f aca="false">'[7]PPA Assumptions &amp;Summary'!E3</f>
        <v>3</v>
      </c>
      <c r="G3" s="825" t="n">
        <f aca="false">'[7]PPA Assumptions &amp;Summary'!F3</f>
        <v>4</v>
      </c>
      <c r="H3" s="825" t="n">
        <f aca="false">'[7]PPA Assumptions &amp;Summary'!G3</f>
        <v>5</v>
      </c>
      <c r="I3" s="825" t="n">
        <f aca="false">'[7]PPA Assumptions &amp;Summary'!H3</f>
        <v>6</v>
      </c>
      <c r="J3" s="825" t="n">
        <f aca="false">'[7]PPA Assumptions &amp;Summary'!I3</f>
        <v>7</v>
      </c>
      <c r="K3" s="825" t="n">
        <f aca="false">'[7]PPA Assumptions &amp;Summary'!J3</f>
        <v>8</v>
      </c>
      <c r="L3" s="825" t="n">
        <f aca="false">'[7]PPA Assumptions &amp;Summary'!K3</f>
        <v>9</v>
      </c>
      <c r="M3" s="825" t="n">
        <f aca="false">'[7]PPA Assumptions &amp;Summary'!L3</f>
        <v>10</v>
      </c>
      <c r="N3" s="825" t="n">
        <f aca="false">'[7]PPA Assumptions &amp;Summary'!M3</f>
        <v>11</v>
      </c>
      <c r="O3" s="825" t="n">
        <f aca="false">'[7]PPA Assumptions &amp;Summary'!N3</f>
        <v>12</v>
      </c>
      <c r="P3" s="825" t="n">
        <f aca="false">'[7]PPA Assumptions &amp;Summary'!O3</f>
        <v>13</v>
      </c>
      <c r="Q3" s="825" t="n">
        <f aca="false">'[7]PPA Assumptions &amp;Summary'!P3</f>
        <v>14</v>
      </c>
      <c r="R3" s="825" t="n">
        <f aca="false">'[7]PPA Assumptions &amp;Summary'!Q3</f>
        <v>15</v>
      </c>
      <c r="S3" s="825" t="n">
        <f aca="false">'[7]PPA Assumptions &amp;Summary'!R3</f>
        <v>16</v>
      </c>
      <c r="T3" s="825" t="n">
        <f aca="false">'[7]PPA Assumptions &amp;Summary'!S3</f>
        <v>17</v>
      </c>
      <c r="U3" s="825" t="n">
        <f aca="false">'[7]PPA Assumptions &amp;Summary'!T3</f>
        <v>18</v>
      </c>
      <c r="V3" s="825" t="n">
        <f aca="false">'[7]PPA Assumptions &amp;Summary'!U3</f>
        <v>19</v>
      </c>
      <c r="W3" s="825" t="n">
        <f aca="false">'[7]PPA Assumptions &amp;Summary'!V3</f>
        <v>20</v>
      </c>
      <c r="X3" s="825" t="n">
        <f aca="false">'[7]PPA Assumptions &amp;Summary'!W3</f>
        <v>21</v>
      </c>
    </row>
    <row r="4" customFormat="false" ht="12.75" hidden="false" customHeight="false" outlineLevel="0" collapsed="false">
      <c r="A4" s="379"/>
      <c r="B4" s="474"/>
      <c r="C4" s="474"/>
      <c r="D4" s="826" t="n">
        <f aca="false">'PPA Assumptions &amp; Summary'!C5</f>
        <v>1999</v>
      </c>
      <c r="E4" s="826" t="n">
        <f aca="false">'PPA Assumptions &amp; Summary'!D5</f>
        <v>2000</v>
      </c>
      <c r="F4" s="826" t="n">
        <f aca="false">'PPA Assumptions &amp; Summary'!E5</f>
        <v>2001</v>
      </c>
      <c r="G4" s="826" t="n">
        <f aca="false">'PPA Assumptions &amp; Summary'!F5</f>
        <v>2002</v>
      </c>
      <c r="H4" s="826" t="n">
        <f aca="false">'PPA Assumptions &amp; Summary'!G5</f>
        <v>2003</v>
      </c>
      <c r="I4" s="826" t="n">
        <f aca="false">'PPA Assumptions &amp; Summary'!H5</f>
        <v>2004</v>
      </c>
      <c r="J4" s="826" t="n">
        <f aca="false">'PPA Assumptions &amp; Summary'!I5</f>
        <v>2005</v>
      </c>
      <c r="K4" s="826" t="n">
        <f aca="false">'PPA Assumptions &amp; Summary'!J5</f>
        <v>2006</v>
      </c>
      <c r="L4" s="826" t="n">
        <f aca="false">'PPA Assumptions &amp; Summary'!K5</f>
        <v>2007</v>
      </c>
      <c r="M4" s="826" t="n">
        <f aca="false">'PPA Assumptions &amp; Summary'!L5</f>
        <v>2008</v>
      </c>
      <c r="N4" s="826" t="n">
        <f aca="false">'PPA Assumptions &amp; Summary'!M5</f>
        <v>2009</v>
      </c>
      <c r="O4" s="826" t="n">
        <f aca="false">'PPA Assumptions &amp; Summary'!N5</f>
        <v>2010</v>
      </c>
      <c r="P4" s="826" t="n">
        <f aca="false">'PPA Assumptions &amp; Summary'!O5</f>
        <v>2011</v>
      </c>
      <c r="Q4" s="826" t="n">
        <f aca="false">'PPA Assumptions &amp; Summary'!P5</f>
        <v>2012</v>
      </c>
      <c r="R4" s="826" t="n">
        <f aca="false">'PPA Assumptions &amp; Summary'!Q5</f>
        <v>2013</v>
      </c>
      <c r="S4" s="826" t="n">
        <f aca="false">'PPA Assumptions &amp; Summary'!R5</f>
        <v>2014</v>
      </c>
      <c r="T4" s="826" t="n">
        <f aca="false">'PPA Assumptions &amp; Summary'!S5</f>
        <v>2015</v>
      </c>
      <c r="U4" s="826" t="n">
        <f aca="false">'PPA Assumptions &amp; Summary'!T5</f>
        <v>2016</v>
      </c>
      <c r="V4" s="826" t="n">
        <f aca="false">'PPA Assumptions &amp; Summary'!U5</f>
        <v>2017</v>
      </c>
      <c r="W4" s="826" t="n">
        <f aca="false">'PPA Assumptions &amp; Summary'!V5</f>
        <v>2018</v>
      </c>
      <c r="X4" s="827" t="n">
        <f aca="false">'PPA Assumptions &amp; Summary'!W5</f>
        <v>2019</v>
      </c>
    </row>
    <row r="5" customFormat="false" ht="12.75" hidden="false" customHeight="false" outlineLevel="0" collapsed="false">
      <c r="A5" s="828" t="s">
        <v>577</v>
      </c>
      <c r="B5" s="149"/>
      <c r="C5" s="149"/>
      <c r="D5" s="149"/>
      <c r="E5" s="149"/>
      <c r="F5" s="149"/>
      <c r="G5" s="149"/>
      <c r="H5" s="149"/>
      <c r="I5" s="149"/>
      <c r="J5" s="149"/>
      <c r="K5" s="149"/>
      <c r="L5" s="149"/>
      <c r="M5" s="149"/>
      <c r="N5" s="149"/>
      <c r="O5" s="149"/>
      <c r="P5" s="149"/>
      <c r="Q5" s="149"/>
      <c r="R5" s="149"/>
      <c r="S5" s="149"/>
      <c r="T5" s="149"/>
      <c r="U5" s="149"/>
      <c r="V5" s="149"/>
      <c r="W5" s="149"/>
      <c r="X5" s="455"/>
      <c r="Y5" s="558"/>
      <c r="Z5" s="558"/>
      <c r="AA5" s="558"/>
      <c r="AB5" s="558"/>
    </row>
    <row r="6" customFormat="false" ht="12.75" hidden="false" customHeight="false" outlineLevel="0" collapsed="false">
      <c r="A6" s="402"/>
      <c r="B6" s="557" t="s">
        <v>578</v>
      </c>
      <c r="C6" s="149"/>
      <c r="D6" s="149"/>
      <c r="E6" s="149"/>
      <c r="F6" s="149"/>
      <c r="G6" s="149"/>
      <c r="H6" s="149"/>
      <c r="I6" s="149"/>
      <c r="J6" s="149"/>
      <c r="K6" s="149"/>
      <c r="L6" s="149"/>
      <c r="M6" s="149"/>
      <c r="N6" s="149"/>
      <c r="O6" s="149"/>
      <c r="P6" s="149"/>
      <c r="Q6" s="149"/>
      <c r="R6" s="149"/>
      <c r="S6" s="149"/>
      <c r="T6" s="149"/>
      <c r="U6" s="149"/>
      <c r="V6" s="149"/>
      <c r="W6" s="149"/>
      <c r="X6" s="455"/>
      <c r="Y6" s="558"/>
      <c r="Z6" s="558"/>
      <c r="AA6" s="558"/>
      <c r="AB6" s="558"/>
    </row>
    <row r="7" customFormat="false" ht="12.75" hidden="true" customHeight="false" outlineLevel="1" collapsed="false">
      <c r="A7" s="402"/>
      <c r="B7" s="557" t="s">
        <v>579</v>
      </c>
      <c r="C7" s="149"/>
      <c r="D7" s="149"/>
      <c r="E7" s="149"/>
      <c r="F7" s="149"/>
      <c r="G7" s="149"/>
      <c r="H7" s="149"/>
      <c r="I7" s="149"/>
      <c r="J7" s="149"/>
      <c r="K7" s="149"/>
      <c r="L7" s="149"/>
      <c r="M7" s="149"/>
      <c r="N7" s="149"/>
      <c r="O7" s="149"/>
      <c r="P7" s="149"/>
      <c r="Q7" s="149"/>
      <c r="R7" s="149"/>
      <c r="S7" s="149"/>
      <c r="T7" s="149"/>
      <c r="U7" s="149"/>
      <c r="V7" s="149"/>
      <c r="W7" s="149"/>
      <c r="X7" s="455"/>
      <c r="Y7" s="558"/>
      <c r="Z7" s="558"/>
      <c r="AA7" s="558"/>
      <c r="AB7" s="558"/>
    </row>
    <row r="8" customFormat="false" ht="12.75" hidden="true" customHeight="false" outlineLevel="1" collapsed="false">
      <c r="A8" s="402"/>
      <c r="B8" s="557" t="s">
        <v>580</v>
      </c>
      <c r="C8" s="149"/>
      <c r="D8" s="149"/>
      <c r="E8" s="149"/>
      <c r="F8" s="149"/>
      <c r="G8" s="149"/>
      <c r="H8" s="149"/>
      <c r="I8" s="149"/>
      <c r="J8" s="149"/>
      <c r="K8" s="149"/>
      <c r="L8" s="149"/>
      <c r="M8" s="149"/>
      <c r="N8" s="149"/>
      <c r="O8" s="149"/>
      <c r="P8" s="149"/>
      <c r="Q8" s="149"/>
      <c r="R8" s="149"/>
      <c r="S8" s="149"/>
      <c r="T8" s="149"/>
      <c r="U8" s="149"/>
      <c r="V8" s="149"/>
      <c r="W8" s="149"/>
      <c r="X8" s="455"/>
      <c r="Y8" s="558"/>
      <c r="Z8" s="558"/>
      <c r="AA8" s="558"/>
      <c r="AB8" s="558"/>
    </row>
    <row r="9" customFormat="false" ht="12.75" hidden="true" customHeight="false" outlineLevel="1" collapsed="false">
      <c r="A9" s="402"/>
      <c r="B9" s="557" t="s">
        <v>581</v>
      </c>
      <c r="C9" s="149"/>
      <c r="D9" s="149"/>
      <c r="E9" s="149"/>
      <c r="F9" s="149"/>
      <c r="G9" s="149"/>
      <c r="H9" s="149"/>
      <c r="I9" s="149"/>
      <c r="J9" s="149"/>
      <c r="K9" s="149"/>
      <c r="L9" s="149"/>
      <c r="M9" s="149"/>
      <c r="N9" s="149"/>
      <c r="O9" s="149"/>
      <c r="P9" s="149"/>
      <c r="Q9" s="149"/>
      <c r="R9" s="149"/>
      <c r="S9" s="149"/>
      <c r="T9" s="149"/>
      <c r="U9" s="149"/>
      <c r="V9" s="149"/>
      <c r="W9" s="149"/>
      <c r="X9" s="455"/>
      <c r="Y9" s="558"/>
      <c r="Z9" s="558"/>
      <c r="AA9" s="558"/>
      <c r="AB9" s="558"/>
    </row>
    <row r="10" customFormat="false" ht="12.75" hidden="false" customHeight="false" outlineLevel="0" collapsed="false">
      <c r="A10" s="402"/>
      <c r="B10" s="557" t="s">
        <v>582</v>
      </c>
      <c r="C10" s="149"/>
      <c r="D10" s="829" t="n">
        <f aca="false">IF(D3&gt;'Project Assumptions'!$G$40,0,'Project Assumptions'!$C$41+'Cash Flow Statement'!D16-'Cash Flow Statement'!D15)</f>
        <v>0</v>
      </c>
      <c r="E10" s="829" t="n">
        <f aca="false">IF(E3&gt;'Project Assumptions'!$G$40,0,'Project Assumptions'!$C$41+'Cash Flow Statement'!E16-'Cash Flow Statement'!E15)</f>
        <v>0</v>
      </c>
      <c r="F10" s="829" t="n">
        <f aca="false">IF(F3&gt;'Project Assumptions'!$G$40,0,'Project Assumptions'!$C$41+'Cash Flow Statement'!F16-'Cash Flow Statement'!F15)</f>
        <v>0</v>
      </c>
      <c r="G10" s="829" t="n">
        <f aca="false">IF(G3&gt;'Project Assumptions'!$G$40,0,'Project Assumptions'!$C$41+'Cash Flow Statement'!G16-'Cash Flow Statement'!G15)</f>
        <v>0</v>
      </c>
      <c r="H10" s="829" t="n">
        <f aca="false">IF(H3&gt;'Project Assumptions'!$G$40,0,'Project Assumptions'!$C$41+'Cash Flow Statement'!H16-'Cash Flow Statement'!H15)</f>
        <v>0</v>
      </c>
      <c r="I10" s="829" t="n">
        <f aca="false">IF(I3&gt;'Project Assumptions'!$G$40,0,'Project Assumptions'!$C$41+'Cash Flow Statement'!I16-'Cash Flow Statement'!I15)</f>
        <v>0</v>
      </c>
      <c r="J10" s="829" t="n">
        <f aca="false">IF(J3&gt;'Project Assumptions'!$G$40,0,'Project Assumptions'!$C$41+'Cash Flow Statement'!J16-'Cash Flow Statement'!J15)</f>
        <v>0</v>
      </c>
      <c r="K10" s="829" t="n">
        <f aca="false">IF(K3&gt;'Project Assumptions'!$G$40,0,'Project Assumptions'!$C$41+'Cash Flow Statement'!K16-'Cash Flow Statement'!K15)</f>
        <v>0</v>
      </c>
      <c r="L10" s="829" t="n">
        <f aca="false">IF(L3&gt;'Project Assumptions'!$G$40,0,'Project Assumptions'!$C$41+'Cash Flow Statement'!L16-'Cash Flow Statement'!L15)</f>
        <v>0</v>
      </c>
      <c r="M10" s="829" t="n">
        <f aca="false">IF(M3&gt;'Project Assumptions'!$G$40,0,'Project Assumptions'!$C$41+'Cash Flow Statement'!M16-'Cash Flow Statement'!M15)</f>
        <v>0</v>
      </c>
      <c r="N10" s="829" t="n">
        <f aca="false">IF(N3&gt;'Project Assumptions'!$G$40,0,'Project Assumptions'!$C$41+'Cash Flow Statement'!N16-'Cash Flow Statement'!N15)</f>
        <v>0</v>
      </c>
      <c r="O10" s="829" t="n">
        <f aca="false">IF(O3&gt;'Project Assumptions'!$G$40,0,'Project Assumptions'!$C$41+'Cash Flow Statement'!O16-'Cash Flow Statement'!O15)</f>
        <v>0</v>
      </c>
      <c r="P10" s="829" t="n">
        <f aca="false">IF(P3&gt;'Project Assumptions'!$G$40,0,'Project Assumptions'!$C$41+'Cash Flow Statement'!P16-'Cash Flow Statement'!P15)</f>
        <v>0</v>
      </c>
      <c r="Q10" s="829" t="n">
        <f aca="false">IF(Q3&gt;'Project Assumptions'!$G$40,0,'Project Assumptions'!$C$41+'Cash Flow Statement'!Q16-'Cash Flow Statement'!Q15)</f>
        <v>0</v>
      </c>
      <c r="R10" s="829" t="n">
        <f aca="false">IF(R3&gt;'Project Assumptions'!$G$40,0,'Project Assumptions'!$C$41+'Cash Flow Statement'!R16-'Cash Flow Statement'!R15)</f>
        <v>0</v>
      </c>
      <c r="S10" s="829" t="n">
        <f aca="false">IF(S3&gt;'Project Assumptions'!$G$40,0,'Project Assumptions'!$C$41+'Cash Flow Statement'!S16-'Cash Flow Statement'!S15)</f>
        <v>0</v>
      </c>
      <c r="T10" s="829" t="n">
        <f aca="false">IF(T3&gt;'Project Assumptions'!$G$40,0,'Project Assumptions'!$C$41+'Cash Flow Statement'!T16-'Cash Flow Statement'!T15)</f>
        <v>0</v>
      </c>
      <c r="U10" s="829" t="n">
        <f aca="false">IF(U3&gt;'Project Assumptions'!$G$40,0,'Project Assumptions'!$C$41+'Cash Flow Statement'!U16-'Cash Flow Statement'!U15)</f>
        <v>0</v>
      </c>
      <c r="V10" s="829" t="n">
        <f aca="false">IF(V3&gt;'Project Assumptions'!$G$40,0,'Project Assumptions'!$C$41+'Cash Flow Statement'!V16-'Cash Flow Statement'!V15)</f>
        <v>0</v>
      </c>
      <c r="W10" s="829" t="n">
        <f aca="false">IF(W3&gt;'Project Assumptions'!$G$40,0,'Project Assumptions'!$C$41+'Cash Flow Statement'!W16-'Cash Flow Statement'!W15)</f>
        <v>0</v>
      </c>
      <c r="X10" s="830" t="n">
        <f aca="false">IF(X3&gt;'Project Assumptions'!$G$40,0,'Project Assumptions'!$C$41+'Cash Flow Statement'!X16-'Cash Flow Statement'!X15)</f>
        <v>0</v>
      </c>
      <c r="Y10" s="558"/>
      <c r="Z10" s="558"/>
      <c r="AA10" s="558"/>
      <c r="AB10" s="558"/>
    </row>
    <row r="11" customFormat="false" ht="12.75" hidden="false" customHeight="false" outlineLevel="0" collapsed="false">
      <c r="A11" s="402"/>
      <c r="B11" s="557" t="s">
        <v>583</v>
      </c>
      <c r="C11" s="149"/>
      <c r="D11" s="831" t="n">
        <f aca="false">'Maintainance Reserves'!C13</f>
        <v>1349.28</v>
      </c>
      <c r="E11" s="831" t="n">
        <f aca="false">'Maintainance Reserves'!D13</f>
        <v>2739.0384</v>
      </c>
      <c r="F11" s="831" t="n">
        <f aca="false">'Maintainance Reserves'!E13</f>
        <v>4170.489552</v>
      </c>
      <c r="G11" s="831" t="n">
        <f aca="false">'Maintainance Reserves'!F13</f>
        <v>4219.9900851</v>
      </c>
      <c r="H11" s="831" t="n">
        <f aca="false">'Maintainance Reserves'!G13</f>
        <v>5738.6166122568</v>
      </c>
      <c r="I11" s="831" t="n">
        <f aca="false">'Maintainance Reserves'!H13</f>
        <v>7302.80193522831</v>
      </c>
      <c r="J11" s="831" t="n">
        <f aca="false">'Maintainance Reserves'!I13</f>
        <v>7356.89250426107</v>
      </c>
      <c r="K11" s="831" t="n">
        <f aca="false">'Maintainance Reserves'!J13</f>
        <v>9016.33671340154</v>
      </c>
      <c r="L11" s="831" t="n">
        <f aca="false">'Maintainance Reserves'!K13</f>
        <v>10725.5642488162</v>
      </c>
      <c r="M11" s="831" t="n">
        <f aca="false">'Maintainance Reserves'!L13</f>
        <v>3365.01152186784</v>
      </c>
      <c r="N11" s="831" t="n">
        <f aca="false">'Maintainance Reserves'!M13</f>
        <v>5178.33101418928</v>
      </c>
      <c r="O11" s="831" t="n">
        <f aca="false">'Maintainance Reserves'!N13</f>
        <v>7046.05009128036</v>
      </c>
      <c r="P11" s="831" t="n">
        <f aca="false">'Maintainance Reserves'!O13</f>
        <v>8969.80074068417</v>
      </c>
      <c r="Q11" s="831" t="n">
        <f aca="false">'Maintainance Reserves'!P13</f>
        <v>9036.32531790354</v>
      </c>
      <c r="R11" s="831" t="n">
        <f aca="false">'Maintainance Reserves'!Q13</f>
        <v>11077.232381856</v>
      </c>
      <c r="S11" s="831" t="n">
        <f aca="false">'Maintainance Reserves'!R13</f>
        <v>13179.3666577271</v>
      </c>
      <c r="T11" s="831" t="n">
        <f aca="false">'Maintainance Reserves'!S13</f>
        <v>1956.49914047317</v>
      </c>
      <c r="U11" s="831" t="n">
        <f aca="false">'Maintainance Reserves'!T13</f>
        <v>4186.6533937448</v>
      </c>
      <c r="V11" s="831" t="n">
        <f aca="false">'Maintainance Reserves'!U13</f>
        <v>6483.71227461458</v>
      </c>
      <c r="W11" s="831" t="n">
        <f aca="false">'Maintainance Reserves'!V13</f>
        <v>-13393.8914400367</v>
      </c>
      <c r="X11" s="832" t="n">
        <f aca="false">'Maintainance Reserves'!W13</f>
        <v>-10956.9416733219</v>
      </c>
      <c r="Y11" s="558"/>
      <c r="Z11" s="558"/>
      <c r="AA11" s="558"/>
      <c r="AB11" s="558"/>
    </row>
    <row r="12" customFormat="false" ht="12.75" hidden="false" customHeight="false" outlineLevel="0" collapsed="false">
      <c r="A12" s="402"/>
      <c r="B12" s="557" t="s">
        <v>584</v>
      </c>
      <c r="C12" s="149"/>
      <c r="D12" s="19" t="n">
        <f aca="false">SUM(D6:D11)</f>
        <v>1349.28</v>
      </c>
      <c r="E12" s="19" t="n">
        <f aca="false">SUM(E6:E11)</f>
        <v>2739.0384</v>
      </c>
      <c r="F12" s="19" t="n">
        <f aca="false">SUM(F6:F11)</f>
        <v>4170.489552</v>
      </c>
      <c r="G12" s="19" t="n">
        <f aca="false">SUM(G6:G11)</f>
        <v>4219.9900851</v>
      </c>
      <c r="H12" s="19" t="n">
        <f aca="false">SUM(H6:H11)</f>
        <v>5738.6166122568</v>
      </c>
      <c r="I12" s="19" t="n">
        <f aca="false">SUM(I6:I11)</f>
        <v>7302.80193522831</v>
      </c>
      <c r="J12" s="19" t="n">
        <f aca="false">SUM(J6:J11)</f>
        <v>7356.89250426107</v>
      </c>
      <c r="K12" s="19" t="n">
        <f aca="false">SUM(K6:K11)</f>
        <v>9016.33671340154</v>
      </c>
      <c r="L12" s="19" t="n">
        <f aca="false">SUM(L6:L11)</f>
        <v>10725.5642488162</v>
      </c>
      <c r="M12" s="19" t="n">
        <f aca="false">SUM(M6:M11)</f>
        <v>3365.01152186784</v>
      </c>
      <c r="N12" s="19" t="n">
        <f aca="false">SUM(N6:N11)</f>
        <v>5178.33101418928</v>
      </c>
      <c r="O12" s="19" t="n">
        <f aca="false">SUM(O6:O11)</f>
        <v>7046.05009128036</v>
      </c>
      <c r="P12" s="19" t="n">
        <f aca="false">SUM(P6:P11)</f>
        <v>8969.80074068417</v>
      </c>
      <c r="Q12" s="19" t="n">
        <f aca="false">SUM(Q6:Q11)</f>
        <v>9036.32531790354</v>
      </c>
      <c r="R12" s="19" t="n">
        <f aca="false">SUM(R6:R11)</f>
        <v>11077.232381856</v>
      </c>
      <c r="S12" s="19" t="n">
        <f aca="false">SUM(S6:S11)</f>
        <v>13179.3666577271</v>
      </c>
      <c r="T12" s="19" t="n">
        <f aca="false">SUM(T6:T11)</f>
        <v>1956.49914047317</v>
      </c>
      <c r="U12" s="19" t="n">
        <f aca="false">SUM(U6:U11)</f>
        <v>4186.6533937448</v>
      </c>
      <c r="V12" s="19" t="n">
        <f aca="false">SUM(V6:V11)</f>
        <v>6483.71227461458</v>
      </c>
      <c r="W12" s="19" t="n">
        <f aca="false">SUM(W6:W11)</f>
        <v>-13393.8914400367</v>
      </c>
      <c r="X12" s="20" t="n">
        <f aca="false">SUM(X6:X11)</f>
        <v>-10956.9416733219</v>
      </c>
      <c r="Y12" s="558"/>
      <c r="Z12" s="558"/>
      <c r="AA12" s="558"/>
      <c r="AB12" s="558"/>
    </row>
    <row r="13" customFormat="false" ht="12.75" hidden="false" customHeight="false" outlineLevel="0" collapsed="false">
      <c r="A13" s="833"/>
      <c r="B13" s="149"/>
      <c r="C13" s="149"/>
      <c r="D13" s="149"/>
      <c r="E13" s="149"/>
      <c r="F13" s="149"/>
      <c r="G13" s="149"/>
      <c r="H13" s="149"/>
      <c r="I13" s="149"/>
      <c r="J13" s="149"/>
      <c r="K13" s="149"/>
      <c r="L13" s="149"/>
      <c r="M13" s="149"/>
      <c r="N13" s="149"/>
      <c r="O13" s="149"/>
      <c r="P13" s="149"/>
      <c r="Q13" s="149"/>
      <c r="R13" s="149"/>
      <c r="S13" s="149"/>
      <c r="T13" s="149"/>
      <c r="U13" s="149"/>
      <c r="V13" s="149"/>
      <c r="W13" s="149"/>
      <c r="X13" s="455"/>
      <c r="Y13" s="558"/>
      <c r="Z13" s="558"/>
      <c r="AA13" s="558"/>
      <c r="AB13" s="558"/>
    </row>
    <row r="14" customFormat="false" ht="12.75" hidden="false" customHeight="false" outlineLevel="1" collapsed="false">
      <c r="A14" s="833"/>
      <c r="B14" s="149"/>
      <c r="C14" s="149"/>
      <c r="D14" s="149"/>
      <c r="E14" s="149"/>
      <c r="F14" s="149"/>
      <c r="G14" s="149"/>
      <c r="H14" s="149"/>
      <c r="I14" s="149"/>
      <c r="J14" s="149"/>
      <c r="K14" s="149"/>
      <c r="L14" s="149"/>
      <c r="M14" s="149"/>
      <c r="N14" s="149"/>
      <c r="O14" s="149"/>
      <c r="P14" s="149"/>
      <c r="Q14" s="149"/>
      <c r="R14" s="149"/>
      <c r="S14" s="149"/>
      <c r="T14" s="149"/>
      <c r="U14" s="149"/>
      <c r="V14" s="149"/>
      <c r="W14" s="149"/>
      <c r="X14" s="455"/>
      <c r="Y14" s="558"/>
      <c r="Z14" s="558"/>
      <c r="AA14" s="558"/>
      <c r="AB14" s="558"/>
    </row>
    <row r="15" customFormat="false" ht="12.75" hidden="false" customHeight="false" outlineLevel="1" collapsed="false">
      <c r="A15" s="402"/>
      <c r="B15" s="557" t="s">
        <v>585</v>
      </c>
      <c r="C15" s="149"/>
      <c r="D15" s="19" t="n">
        <f aca="false">Depreciation!$B$38+Depreciation!$B$39+Depreciation!$B$40+SUM('Cash Flow Statement'!$D$17:D17)</f>
        <v>154206.278</v>
      </c>
      <c r="E15" s="19" t="n">
        <f aca="false">Depreciation!$B$38+Depreciation!$B$39+Depreciation!$B$40+SUM('Cash Flow Statement'!$D$17:E17)</f>
        <v>157206.278</v>
      </c>
      <c r="F15" s="19" t="n">
        <f aca="false">Depreciation!$B$38+Depreciation!$B$39+Depreciation!$B$40+SUM('Cash Flow Statement'!$D$17:F17)</f>
        <v>157206.278</v>
      </c>
      <c r="G15" s="19" t="n">
        <f aca="false">Depreciation!$B$38+Depreciation!$B$39+Depreciation!$B$40+SUM('Cash Flow Statement'!$D$17:G17)</f>
        <v>157206.278</v>
      </c>
      <c r="H15" s="19" t="n">
        <f aca="false">Depreciation!$B$38+Depreciation!$B$39+Depreciation!$B$40+SUM('Cash Flow Statement'!$D$17:H17)</f>
        <v>157206.278</v>
      </c>
      <c r="I15" s="19" t="n">
        <f aca="false">Depreciation!$B$38+Depreciation!$B$39+Depreciation!$B$40+SUM('Cash Flow Statement'!$D$17:I17)</f>
        <v>157206.278</v>
      </c>
      <c r="J15" s="19" t="n">
        <f aca="false">Depreciation!$B$38+Depreciation!$B$39+Depreciation!$B$40+SUM('Cash Flow Statement'!$D$17:J17)</f>
        <v>157206.278</v>
      </c>
      <c r="K15" s="19" t="n">
        <f aca="false">Depreciation!$B$38+Depreciation!$B$39+Depreciation!$B$40+SUM('Cash Flow Statement'!$D$17:K17)</f>
        <v>157206.278</v>
      </c>
      <c r="L15" s="19" t="n">
        <f aca="false">Depreciation!$B$38+Depreciation!$B$39+Depreciation!$B$40+SUM('Cash Flow Statement'!$D$17:L17)</f>
        <v>157206.278</v>
      </c>
      <c r="M15" s="19" t="n">
        <f aca="false">Depreciation!$B$38+Depreciation!$B$39+Depreciation!$B$40+SUM('Cash Flow Statement'!$D$17:M17)</f>
        <v>157206.278</v>
      </c>
      <c r="N15" s="19" t="n">
        <f aca="false">Depreciation!$B$38+Depreciation!$B$39+Depreciation!$B$40+SUM('Cash Flow Statement'!$D$17:N17)</f>
        <v>157206.278</v>
      </c>
      <c r="O15" s="19" t="n">
        <f aca="false">Depreciation!$B$38+Depreciation!$B$39+Depreciation!$B$40+SUM('Cash Flow Statement'!$D$17:O17)</f>
        <v>157206.278</v>
      </c>
      <c r="P15" s="19" t="n">
        <f aca="false">Depreciation!$B$38+Depreciation!$B$39+Depreciation!$B$40+SUM('Cash Flow Statement'!$D$17:P17)</f>
        <v>157206.278</v>
      </c>
      <c r="Q15" s="19" t="n">
        <f aca="false">Depreciation!$B$38+Depreciation!$B$39+Depreciation!$B$40+SUM('Cash Flow Statement'!$D$17:Q17)</f>
        <v>157206.278</v>
      </c>
      <c r="R15" s="19" t="n">
        <f aca="false">Depreciation!$B$38+Depreciation!$B$39+Depreciation!$B$40+SUM('Cash Flow Statement'!$D$17:R17)</f>
        <v>157206.278</v>
      </c>
      <c r="S15" s="19" t="n">
        <f aca="false">Depreciation!$B$38+Depreciation!$B$39+Depreciation!$B$40+SUM('Cash Flow Statement'!$D$17:S17)</f>
        <v>157206.278</v>
      </c>
      <c r="T15" s="19" t="n">
        <f aca="false">Depreciation!$B$38+Depreciation!$B$39+Depreciation!$B$40+SUM('Cash Flow Statement'!$D$17:T17)</f>
        <v>157206.278</v>
      </c>
      <c r="U15" s="19" t="n">
        <f aca="false">Depreciation!$B$38+Depreciation!$B$39+Depreciation!$B$40+SUM('Cash Flow Statement'!$D$17:U17)</f>
        <v>157206.278</v>
      </c>
      <c r="V15" s="19" t="n">
        <f aca="false">Depreciation!$B$38+Depreciation!$B$39+Depreciation!$B$40+SUM('Cash Flow Statement'!$D$17:V17)</f>
        <v>157206.278</v>
      </c>
      <c r="W15" s="19" t="n">
        <f aca="false">Depreciation!$B$38+Depreciation!$B$39+Depreciation!$B$40+SUM('Cash Flow Statement'!$D$17:W17)</f>
        <v>157206.278</v>
      </c>
      <c r="X15" s="20" t="n">
        <f aca="false">Depreciation!$B$38+Depreciation!$B$39+Depreciation!$B$40+SUM('Cash Flow Statement'!$D$17:X17)</f>
        <v>157206.278</v>
      </c>
      <c r="Y15" s="558"/>
      <c r="Z15" s="558"/>
      <c r="AA15" s="558"/>
      <c r="AB15" s="558"/>
    </row>
    <row r="16" customFormat="false" ht="12.75" hidden="false" customHeight="false" outlineLevel="1" collapsed="false">
      <c r="A16" s="402"/>
      <c r="B16" s="557" t="s">
        <v>586</v>
      </c>
      <c r="C16" s="149"/>
      <c r="D16" s="834" t="n">
        <f aca="false">SUM(Depreciation!$D$43:D43)</f>
        <v>2151.86013333333</v>
      </c>
      <c r="E16" s="834" t="n">
        <f aca="false">SUM(Depreciation!$D$43:E43)</f>
        <v>7353.82445333333</v>
      </c>
      <c r="F16" s="834" t="n">
        <f aca="false">SUM(Depreciation!$D$43:F43)</f>
        <v>12608.2887733333</v>
      </c>
      <c r="G16" s="834" t="n">
        <f aca="false">SUM(Depreciation!$D$43:G43)</f>
        <v>17862.7530933333</v>
      </c>
      <c r="H16" s="834" t="n">
        <f aca="false">SUM(Depreciation!$D$43:H43)</f>
        <v>23117.2174133333</v>
      </c>
      <c r="I16" s="834" t="n">
        <f aca="false">SUM(Depreciation!$D$43:I43)</f>
        <v>28120.0072333333</v>
      </c>
      <c r="J16" s="834" t="n">
        <f aca="false">SUM(Depreciation!$D$43:J43)</f>
        <v>32770.4527533333</v>
      </c>
      <c r="K16" s="834" t="n">
        <f aca="false">SUM(Depreciation!$D$43:K43)</f>
        <v>37420.8982733333</v>
      </c>
      <c r="L16" s="834" t="n">
        <f aca="false">SUM(Depreciation!$D$43:L43)</f>
        <v>42071.3437933333</v>
      </c>
      <c r="M16" s="834" t="n">
        <f aca="false">SUM(Depreciation!$D$43:M43)</f>
        <v>46721.7893133333</v>
      </c>
      <c r="N16" s="834" t="n">
        <f aca="false">SUM(Depreciation!$D$43:N43)</f>
        <v>51372.2348333333</v>
      </c>
      <c r="O16" s="834" t="n">
        <f aca="false">SUM(Depreciation!$D$43:O43)</f>
        <v>56022.6803533333</v>
      </c>
      <c r="P16" s="834" t="n">
        <f aca="false">SUM(Depreciation!$D$43:P43)</f>
        <v>60673.1258733333</v>
      </c>
      <c r="Q16" s="834" t="n">
        <f aca="false">SUM(Depreciation!$D$43:Q43)</f>
        <v>65323.5713933333</v>
      </c>
      <c r="R16" s="834" t="n">
        <f aca="false">SUM(Depreciation!$D$43:R43)</f>
        <v>69974.0169133333</v>
      </c>
      <c r="S16" s="834" t="n">
        <f aca="false">SUM(Depreciation!$D$43:S43)</f>
        <v>74624.4624333333</v>
      </c>
      <c r="T16" s="834" t="n">
        <f aca="false">SUM(Depreciation!$D$43:T43)</f>
        <v>79274.9079533333</v>
      </c>
      <c r="U16" s="834" t="n">
        <f aca="false">SUM(Depreciation!$D$43:U43)</f>
        <v>83925.3534733333</v>
      </c>
      <c r="V16" s="834" t="n">
        <f aca="false">SUM(Depreciation!$D$43:V43)</f>
        <v>88575.7989933333</v>
      </c>
      <c r="W16" s="834" t="n">
        <f aca="false">SUM(Depreciation!$D$43:W43)</f>
        <v>93226.2445133333</v>
      </c>
      <c r="X16" s="835" t="n">
        <f aca="false">SUM(Depreciation!$D$43:X43)</f>
        <v>97850.7942</v>
      </c>
      <c r="Y16" s="558"/>
      <c r="Z16" s="558"/>
      <c r="AA16" s="558"/>
      <c r="AB16" s="558"/>
    </row>
    <row r="17" customFormat="false" ht="12.75" hidden="false" customHeight="false" outlineLevel="0" collapsed="false">
      <c r="A17" s="402"/>
      <c r="B17" s="557" t="s">
        <v>587</v>
      </c>
      <c r="C17" s="149"/>
      <c r="D17" s="19" t="n">
        <f aca="false">D15-D16</f>
        <v>152054.417866667</v>
      </c>
      <c r="E17" s="19" t="n">
        <f aca="false">E15-E16</f>
        <v>149852.453546667</v>
      </c>
      <c r="F17" s="19" t="n">
        <f aca="false">F15-F16</f>
        <v>144597.989226667</v>
      </c>
      <c r="G17" s="19" t="n">
        <f aca="false">G15-G16</f>
        <v>139343.524906667</v>
      </c>
      <c r="H17" s="19" t="n">
        <f aca="false">H15-H16</f>
        <v>134089.060586667</v>
      </c>
      <c r="I17" s="19" t="n">
        <f aca="false">I15-I16</f>
        <v>129086.270766667</v>
      </c>
      <c r="J17" s="19" t="n">
        <f aca="false">J15-J16</f>
        <v>124435.825246667</v>
      </c>
      <c r="K17" s="19" t="n">
        <f aca="false">K15-K16</f>
        <v>119785.379726667</v>
      </c>
      <c r="L17" s="19" t="n">
        <f aca="false">L15-L16</f>
        <v>115134.934206667</v>
      </c>
      <c r="M17" s="19" t="n">
        <f aca="false">M15-M16</f>
        <v>110484.488686667</v>
      </c>
      <c r="N17" s="19" t="n">
        <f aca="false">N15-N16</f>
        <v>105834.043166667</v>
      </c>
      <c r="O17" s="19" t="n">
        <f aca="false">O15-O16</f>
        <v>101183.597646667</v>
      </c>
      <c r="P17" s="19" t="n">
        <f aca="false">P15-P16</f>
        <v>96533.1521266667</v>
      </c>
      <c r="Q17" s="19" t="n">
        <f aca="false">Q15-Q16</f>
        <v>91882.7066066667</v>
      </c>
      <c r="R17" s="19" t="n">
        <f aca="false">R15-R16</f>
        <v>87232.2610866667</v>
      </c>
      <c r="S17" s="19" t="n">
        <f aca="false">S15-S16</f>
        <v>82581.8155666667</v>
      </c>
      <c r="T17" s="19" t="n">
        <f aca="false">T15-T16</f>
        <v>77931.3700466667</v>
      </c>
      <c r="U17" s="19" t="n">
        <f aca="false">U15-U16</f>
        <v>73280.9245266667</v>
      </c>
      <c r="V17" s="19" t="n">
        <f aca="false">V15-V16</f>
        <v>68630.4790066667</v>
      </c>
      <c r="W17" s="19" t="n">
        <f aca="false">W15-W16</f>
        <v>63980.0334866667</v>
      </c>
      <c r="X17" s="20" t="n">
        <f aca="false">X15-X16</f>
        <v>59355.4838</v>
      </c>
      <c r="Y17" s="558"/>
      <c r="Z17" s="558"/>
      <c r="AA17" s="558"/>
      <c r="AB17" s="558"/>
    </row>
    <row r="18" customFormat="false" ht="12.75" hidden="false" customHeight="false" outlineLevel="0" collapsed="false">
      <c r="A18" s="402"/>
      <c r="B18" s="557" t="s">
        <v>588</v>
      </c>
      <c r="C18" s="149"/>
      <c r="D18" s="149" t="n">
        <f aca="false">'Project Assumptions'!$C$18</f>
        <v>557.693</v>
      </c>
      <c r="E18" s="149" t="n">
        <f aca="false">'Project Assumptions'!$C$18</f>
        <v>557.693</v>
      </c>
      <c r="F18" s="149" t="n">
        <f aca="false">'Project Assumptions'!$C$18</f>
        <v>557.693</v>
      </c>
      <c r="G18" s="149" t="n">
        <f aca="false">'Project Assumptions'!$C$18</f>
        <v>557.693</v>
      </c>
      <c r="H18" s="149" t="n">
        <f aca="false">'Project Assumptions'!$C$18</f>
        <v>557.693</v>
      </c>
      <c r="I18" s="149" t="n">
        <f aca="false">'Project Assumptions'!$C$18</f>
        <v>557.693</v>
      </c>
      <c r="J18" s="149" t="n">
        <f aca="false">'Project Assumptions'!$C$18</f>
        <v>557.693</v>
      </c>
      <c r="K18" s="149" t="n">
        <f aca="false">'Project Assumptions'!$C$18</f>
        <v>557.693</v>
      </c>
      <c r="L18" s="149" t="n">
        <f aca="false">'Project Assumptions'!$C$18</f>
        <v>557.693</v>
      </c>
      <c r="M18" s="149" t="n">
        <f aca="false">'Project Assumptions'!$C$18</f>
        <v>557.693</v>
      </c>
      <c r="N18" s="149" t="n">
        <f aca="false">'Project Assumptions'!$C$18</f>
        <v>557.693</v>
      </c>
      <c r="O18" s="149" t="n">
        <f aca="false">'Project Assumptions'!$C$18</f>
        <v>557.693</v>
      </c>
      <c r="P18" s="149" t="n">
        <f aca="false">'Project Assumptions'!$C$18</f>
        <v>557.693</v>
      </c>
      <c r="Q18" s="149" t="n">
        <f aca="false">'Project Assumptions'!$C$18</f>
        <v>557.693</v>
      </c>
      <c r="R18" s="149" t="n">
        <f aca="false">'Project Assumptions'!$C$18</f>
        <v>557.693</v>
      </c>
      <c r="S18" s="149" t="n">
        <f aca="false">'Project Assumptions'!$C$18</f>
        <v>557.693</v>
      </c>
      <c r="T18" s="149" t="n">
        <f aca="false">'Project Assumptions'!$C$18</f>
        <v>557.693</v>
      </c>
      <c r="U18" s="149" t="n">
        <f aca="false">'Project Assumptions'!$C$18</f>
        <v>557.693</v>
      </c>
      <c r="V18" s="149" t="n">
        <f aca="false">'Project Assumptions'!$C$18</f>
        <v>557.693</v>
      </c>
      <c r="W18" s="149" t="n">
        <f aca="false">'Project Assumptions'!$C$18</f>
        <v>557.693</v>
      </c>
      <c r="X18" s="455" t="n">
        <f aca="false">'Project Assumptions'!$C$18</f>
        <v>557.693</v>
      </c>
      <c r="Y18" s="558"/>
      <c r="Z18" s="558"/>
      <c r="AA18" s="558"/>
      <c r="AB18" s="558"/>
    </row>
    <row r="19" customFormat="false" ht="12.75" hidden="false" customHeight="false" outlineLevel="0" collapsed="false">
      <c r="A19" s="402"/>
      <c r="B19" s="557" t="s">
        <v>589</v>
      </c>
      <c r="C19" s="149"/>
      <c r="D19" s="831" t="n">
        <v>0</v>
      </c>
      <c r="E19" s="831" t="n">
        <v>0</v>
      </c>
      <c r="F19" s="831" t="n">
        <v>0</v>
      </c>
      <c r="G19" s="831" t="n">
        <v>0</v>
      </c>
      <c r="H19" s="831" t="n">
        <v>0</v>
      </c>
      <c r="I19" s="831" t="n">
        <v>0</v>
      </c>
      <c r="J19" s="831" t="n">
        <v>0</v>
      </c>
      <c r="K19" s="831" t="n">
        <v>0</v>
      </c>
      <c r="L19" s="831" t="n">
        <v>0</v>
      </c>
      <c r="M19" s="831" t="n">
        <v>0</v>
      </c>
      <c r="N19" s="831" t="n">
        <v>0</v>
      </c>
      <c r="O19" s="831" t="n">
        <v>0</v>
      </c>
      <c r="P19" s="831" t="n">
        <v>0</v>
      </c>
      <c r="Q19" s="831" t="n">
        <v>0</v>
      </c>
      <c r="R19" s="831" t="n">
        <v>0</v>
      </c>
      <c r="S19" s="831" t="n">
        <v>0</v>
      </c>
      <c r="T19" s="831" t="n">
        <v>0</v>
      </c>
      <c r="U19" s="831" t="n">
        <v>0</v>
      </c>
      <c r="V19" s="831" t="n">
        <v>0</v>
      </c>
      <c r="W19" s="831" t="n">
        <v>0</v>
      </c>
      <c r="X19" s="832" t="n">
        <v>0</v>
      </c>
      <c r="Y19" s="558"/>
      <c r="Z19" s="558"/>
      <c r="AA19" s="558"/>
      <c r="AB19" s="558"/>
    </row>
    <row r="20" customFormat="false" ht="12.75" hidden="false" customHeight="false" outlineLevel="0" collapsed="false">
      <c r="A20" s="833"/>
      <c r="B20" s="149"/>
      <c r="C20" s="149"/>
      <c r="D20" s="149"/>
      <c r="E20" s="149"/>
      <c r="F20" s="149"/>
      <c r="G20" s="149"/>
      <c r="H20" s="149"/>
      <c r="I20" s="149"/>
      <c r="J20" s="149"/>
      <c r="K20" s="149"/>
      <c r="L20" s="149"/>
      <c r="M20" s="149"/>
      <c r="N20" s="149"/>
      <c r="O20" s="149"/>
      <c r="P20" s="149"/>
      <c r="Q20" s="149"/>
      <c r="R20" s="149"/>
      <c r="S20" s="149"/>
      <c r="T20" s="149"/>
      <c r="U20" s="149"/>
      <c r="V20" s="149"/>
      <c r="W20" s="149"/>
      <c r="X20" s="455"/>
      <c r="Y20" s="558"/>
      <c r="Z20" s="558"/>
      <c r="AA20" s="558"/>
      <c r="AB20" s="558"/>
    </row>
    <row r="21" customFormat="false" ht="12.75" hidden="false" customHeight="false" outlineLevel="0" collapsed="false">
      <c r="A21" s="836" t="s">
        <v>590</v>
      </c>
      <c r="B21" s="492"/>
      <c r="C21" s="492"/>
      <c r="D21" s="24" t="n">
        <f aca="false">D12+SUM(D17:D19)</f>
        <v>153961.390866667</v>
      </c>
      <c r="E21" s="24" t="n">
        <f aca="false">E12+SUM(E17:E19)</f>
        <v>153149.184946667</v>
      </c>
      <c r="F21" s="24" t="n">
        <f aca="false">F12+SUM(F17:F19)</f>
        <v>149326.171778667</v>
      </c>
      <c r="G21" s="24" t="n">
        <f aca="false">G12+SUM(G17:G19)</f>
        <v>144121.207991767</v>
      </c>
      <c r="H21" s="24" t="n">
        <f aca="false">H12+SUM(H17:H19)</f>
        <v>140385.370198923</v>
      </c>
      <c r="I21" s="24" t="n">
        <f aca="false">I12+SUM(I17:I19)</f>
        <v>136946.765701895</v>
      </c>
      <c r="J21" s="24" t="n">
        <f aca="false">J12+SUM(J17:J19)</f>
        <v>132350.410750928</v>
      </c>
      <c r="K21" s="24" t="n">
        <f aca="false">K12+SUM(K17:K19)</f>
        <v>129359.409440068</v>
      </c>
      <c r="L21" s="24" t="n">
        <f aca="false">L12+SUM(L17:L19)</f>
        <v>126418.191455483</v>
      </c>
      <c r="M21" s="24" t="n">
        <f aca="false">M12+SUM(M17:M19)</f>
        <v>114407.193208535</v>
      </c>
      <c r="N21" s="24" t="n">
        <f aca="false">N12+SUM(N17:N19)</f>
        <v>111570.067180856</v>
      </c>
      <c r="O21" s="24" t="n">
        <f aca="false">O12+SUM(O17:O19)</f>
        <v>108787.340737947</v>
      </c>
      <c r="P21" s="24" t="n">
        <f aca="false">P12+SUM(P17:P19)</f>
        <v>106060.645867351</v>
      </c>
      <c r="Q21" s="24" t="n">
        <f aca="false">Q12+SUM(Q17:Q19)</f>
        <v>101476.72492457</v>
      </c>
      <c r="R21" s="24" t="n">
        <f aca="false">R12+SUM(R17:R19)</f>
        <v>98867.1864685227</v>
      </c>
      <c r="S21" s="24" t="n">
        <f aca="false">S12+SUM(S17:S19)</f>
        <v>96318.8752243938</v>
      </c>
      <c r="T21" s="24" t="n">
        <f aca="false">T12+SUM(T17:T19)</f>
        <v>80445.5621871399</v>
      </c>
      <c r="U21" s="24" t="n">
        <f aca="false">U12+SUM(U17:U19)</f>
        <v>78025.2709204115</v>
      </c>
      <c r="V21" s="24" t="n">
        <f aca="false">V12+SUM(V17:V19)</f>
        <v>75671.8842812813</v>
      </c>
      <c r="W21" s="24" t="n">
        <f aca="false">W12+SUM(W17:W19)</f>
        <v>51143.83504663</v>
      </c>
      <c r="X21" s="25" t="n">
        <f aca="false">X12+SUM(X17:X19)</f>
        <v>48956.2351266781</v>
      </c>
      <c r="Y21" s="558"/>
      <c r="Z21" s="558"/>
      <c r="AA21" s="558"/>
      <c r="AB21" s="558"/>
    </row>
    <row r="22" customFormat="false" ht="12.75" hidden="false" customHeight="false" outlineLevel="0" collapsed="false">
      <c r="A22" s="557"/>
      <c r="B22" s="5"/>
      <c r="C22" s="5"/>
      <c r="D22" s="5"/>
      <c r="E22" s="5"/>
      <c r="F22" s="5"/>
      <c r="G22" s="5"/>
      <c r="H22" s="5"/>
      <c r="I22" s="5"/>
      <c r="J22" s="5"/>
      <c r="K22" s="5"/>
      <c r="L22" s="5"/>
      <c r="M22" s="5"/>
      <c r="N22" s="5"/>
      <c r="O22" s="5"/>
      <c r="P22" s="5"/>
      <c r="Q22" s="5"/>
      <c r="R22" s="5"/>
      <c r="S22" s="5"/>
      <c r="T22" s="5"/>
      <c r="U22" s="5"/>
      <c r="V22" s="5"/>
      <c r="W22" s="5"/>
      <c r="X22" s="5"/>
      <c r="Y22" s="558"/>
      <c r="Z22" s="558"/>
      <c r="AA22" s="558"/>
      <c r="AB22" s="558"/>
    </row>
    <row r="23" customFormat="false" ht="12.75" hidden="false" customHeight="false" outlineLevel="0" collapsed="false">
      <c r="A23" s="837" t="s">
        <v>591</v>
      </c>
      <c r="B23" s="474"/>
      <c r="C23" s="474"/>
      <c r="D23" s="474"/>
      <c r="E23" s="474"/>
      <c r="F23" s="474"/>
      <c r="G23" s="474"/>
      <c r="H23" s="474"/>
      <c r="I23" s="474"/>
      <c r="J23" s="474"/>
      <c r="K23" s="474"/>
      <c r="L23" s="474"/>
      <c r="M23" s="474"/>
      <c r="N23" s="474"/>
      <c r="O23" s="474"/>
      <c r="P23" s="474"/>
      <c r="Q23" s="474"/>
      <c r="R23" s="474"/>
      <c r="S23" s="474"/>
      <c r="T23" s="474"/>
      <c r="U23" s="474"/>
      <c r="V23" s="474"/>
      <c r="W23" s="474"/>
      <c r="X23" s="652"/>
      <c r="Y23" s="558"/>
      <c r="Z23" s="558"/>
      <c r="AA23" s="558"/>
      <c r="AB23" s="558"/>
    </row>
    <row r="24" customFormat="false" ht="12.75" hidden="false" customHeight="false" outlineLevel="0" collapsed="false">
      <c r="A24" s="402"/>
      <c r="B24" s="557" t="s">
        <v>592</v>
      </c>
      <c r="C24" s="149"/>
      <c r="D24" s="838" t="n">
        <f aca="false">'Maintainance Reserves'!C13</f>
        <v>1349.28</v>
      </c>
      <c r="E24" s="838" t="n">
        <f aca="false">'Maintainance Reserves'!D13</f>
        <v>2739.0384</v>
      </c>
      <c r="F24" s="838" t="n">
        <f aca="false">'Maintainance Reserves'!E13</f>
        <v>4170.489552</v>
      </c>
      <c r="G24" s="838" t="n">
        <f aca="false">'Maintainance Reserves'!F13</f>
        <v>4219.9900851</v>
      </c>
      <c r="H24" s="838" t="n">
        <f aca="false">'Maintainance Reserves'!G13</f>
        <v>5738.6166122568</v>
      </c>
      <c r="I24" s="838" t="n">
        <f aca="false">'Maintainance Reserves'!H13</f>
        <v>7302.80193522831</v>
      </c>
      <c r="J24" s="838" t="n">
        <f aca="false">'Maintainance Reserves'!I13</f>
        <v>7356.89250426107</v>
      </c>
      <c r="K24" s="838" t="n">
        <f aca="false">'Maintainance Reserves'!J13</f>
        <v>9016.33671340154</v>
      </c>
      <c r="L24" s="838" t="n">
        <f aca="false">'Maintainance Reserves'!K13</f>
        <v>10725.5642488162</v>
      </c>
      <c r="M24" s="838" t="n">
        <f aca="false">'Maintainance Reserves'!L13</f>
        <v>3365.01152186784</v>
      </c>
      <c r="N24" s="838" t="n">
        <f aca="false">'Maintainance Reserves'!M13</f>
        <v>5178.33101418928</v>
      </c>
      <c r="O24" s="838" t="n">
        <f aca="false">'Maintainance Reserves'!N13</f>
        <v>7046.05009128036</v>
      </c>
      <c r="P24" s="838" t="n">
        <f aca="false">'Maintainance Reserves'!O13</f>
        <v>8969.80074068417</v>
      </c>
      <c r="Q24" s="838" t="n">
        <f aca="false">'Maintainance Reserves'!P13</f>
        <v>9036.32531790354</v>
      </c>
      <c r="R24" s="838" t="n">
        <f aca="false">'Maintainance Reserves'!Q13</f>
        <v>11077.232381856</v>
      </c>
      <c r="S24" s="838" t="n">
        <f aca="false">'Maintainance Reserves'!R13</f>
        <v>13179.3666577271</v>
      </c>
      <c r="T24" s="838" t="n">
        <f aca="false">'Maintainance Reserves'!S13</f>
        <v>1956.49914047317</v>
      </c>
      <c r="U24" s="838" t="n">
        <f aca="false">'Maintainance Reserves'!T13</f>
        <v>4186.6533937448</v>
      </c>
      <c r="V24" s="838" t="n">
        <f aca="false">'Maintainance Reserves'!U13</f>
        <v>6483.71227461458</v>
      </c>
      <c r="W24" s="838" t="n">
        <f aca="false">'Maintainance Reserves'!V13</f>
        <v>-13393.8914400367</v>
      </c>
      <c r="X24" s="839" t="n">
        <f aca="false">'Maintainance Reserves'!W13</f>
        <v>-10956.9416733219</v>
      </c>
      <c r="Y24" s="558"/>
      <c r="Z24" s="558"/>
      <c r="AA24" s="558"/>
      <c r="AB24" s="558"/>
    </row>
    <row r="25" customFormat="false" ht="12.75" hidden="false" customHeight="false" outlineLevel="0" collapsed="false">
      <c r="A25" s="402"/>
      <c r="B25" s="557" t="s">
        <v>593</v>
      </c>
      <c r="C25" s="149"/>
      <c r="D25" s="149"/>
      <c r="E25" s="149"/>
      <c r="F25" s="149"/>
      <c r="G25" s="149"/>
      <c r="H25" s="149"/>
      <c r="I25" s="149"/>
      <c r="J25" s="149"/>
      <c r="K25" s="149"/>
      <c r="L25" s="149"/>
      <c r="M25" s="149"/>
      <c r="N25" s="149"/>
      <c r="O25" s="149"/>
      <c r="P25" s="149"/>
      <c r="Q25" s="149"/>
      <c r="R25" s="149"/>
      <c r="S25" s="149"/>
      <c r="T25" s="149"/>
      <c r="U25" s="149"/>
      <c r="V25" s="149"/>
      <c r="W25" s="149"/>
      <c r="X25" s="455"/>
      <c r="Y25" s="558"/>
      <c r="Z25" s="558"/>
      <c r="AA25" s="558"/>
      <c r="AB25" s="558"/>
    </row>
    <row r="26" customFormat="false" ht="12.75" hidden="false" customHeight="false" outlineLevel="0" collapsed="false">
      <c r="A26" s="402"/>
      <c r="B26" s="557" t="s">
        <v>594</v>
      </c>
      <c r="C26" s="149"/>
      <c r="D26" s="19" t="n">
        <f aca="false">'Tax Calculations'!D63</f>
        <v>-1195.00457041922</v>
      </c>
      <c r="E26" s="19" t="n">
        <f aca="false">'Tax Calculations'!E63</f>
        <v>1440.63727297642</v>
      </c>
      <c r="F26" s="19" t="n">
        <f aca="false">'Tax Calculations'!F63</f>
        <v>3717.08315898878</v>
      </c>
      <c r="G26" s="19" t="n">
        <f aca="false">'Tax Calculations'!G63</f>
        <v>6148.41001167261</v>
      </c>
      <c r="H26" s="19" t="n">
        <f aca="false">'Tax Calculations'!H63</f>
        <v>10981.4735324265</v>
      </c>
      <c r="I26" s="19" t="n">
        <f aca="false">'Tax Calculations'!I63</f>
        <v>16649.034979467</v>
      </c>
      <c r="J26" s="19" t="n">
        <f aca="false">'Tax Calculations'!J63</f>
        <v>18338.2497818583</v>
      </c>
      <c r="K26" s="19" t="n">
        <f aca="false">'Tax Calculations'!K63</f>
        <v>20023.8660529731</v>
      </c>
      <c r="L26" s="19" t="n">
        <f aca="false">'Tax Calculations'!L63</f>
        <v>21703.8617472999</v>
      </c>
      <c r="M26" s="19" t="n">
        <f aca="false">'Tax Calculations'!M63</f>
        <v>23389.4780184148</v>
      </c>
      <c r="N26" s="19" t="n">
        <f aca="false">'Tax Calculations'!N63</f>
        <v>25063.9266046773</v>
      </c>
      <c r="O26" s="19" t="n">
        <f aca="false">'Tax Calculations'!O63</f>
        <v>27542.7793289992</v>
      </c>
      <c r="P26" s="19" t="n">
        <f aca="false">'Tax Calculations'!P63</f>
        <v>29156.2097265534</v>
      </c>
      <c r="Q26" s="19" t="n">
        <f aca="false">'Tax Calculations'!Q63</f>
        <v>30758.6193767024</v>
      </c>
      <c r="R26" s="19" t="n">
        <f aca="false">'Tax Calculations'!R63</f>
        <v>32355.4084500635</v>
      </c>
      <c r="S26" s="19" t="n">
        <f aca="false">'Tax Calculations'!S63</f>
        <v>32260.1613709646</v>
      </c>
      <c r="T26" s="19" t="n">
        <f aca="false">'Tax Calculations'!T63</f>
        <v>30405.8589910193</v>
      </c>
      <c r="U26" s="19" t="n">
        <f aca="false">'Tax Calculations'!U63</f>
        <v>28501.0640368809</v>
      </c>
      <c r="V26" s="19" t="n">
        <f aca="false">'Tax Calculations'!V63</f>
        <v>26596.2690827425</v>
      </c>
      <c r="W26" s="19" t="n">
        <f aca="false">'Tax Calculations'!W63</f>
        <v>24791.3220737631</v>
      </c>
      <c r="X26" s="20" t="n">
        <f aca="false">'Tax Calculations'!X63</f>
        <v>23022.4318186131</v>
      </c>
      <c r="Y26" s="558"/>
      <c r="Z26" s="558"/>
      <c r="AA26" s="558"/>
      <c r="AB26" s="558"/>
    </row>
    <row r="27" customFormat="false" ht="12.75" hidden="false" customHeight="false" outlineLevel="1" collapsed="false">
      <c r="A27" s="402"/>
      <c r="B27" s="557" t="s">
        <v>595</v>
      </c>
      <c r="C27" s="149"/>
      <c r="D27" s="149"/>
      <c r="E27" s="149"/>
      <c r="F27" s="149"/>
      <c r="G27" s="149"/>
      <c r="H27" s="149"/>
      <c r="I27" s="149"/>
      <c r="J27" s="149"/>
      <c r="K27" s="149"/>
      <c r="L27" s="149"/>
      <c r="M27" s="149"/>
      <c r="N27" s="149"/>
      <c r="O27" s="149"/>
      <c r="P27" s="149"/>
      <c r="Q27" s="149"/>
      <c r="R27" s="149"/>
      <c r="S27" s="149"/>
      <c r="T27" s="149"/>
      <c r="U27" s="149"/>
      <c r="V27" s="149"/>
      <c r="W27" s="149"/>
      <c r="X27" s="455"/>
      <c r="Y27" s="558"/>
      <c r="Z27" s="558"/>
      <c r="AA27" s="558"/>
      <c r="AB27" s="558"/>
    </row>
    <row r="28" customFormat="false" ht="12.75" hidden="false" customHeight="false" outlineLevel="1" collapsed="false">
      <c r="A28" s="402"/>
      <c r="B28" s="557" t="s">
        <v>596</v>
      </c>
      <c r="C28" s="149"/>
      <c r="D28" s="19" t="n">
        <f aca="false">'Debt Amortization'!E55</f>
        <v>112941</v>
      </c>
      <c r="E28" s="19" t="n">
        <f aca="false">'Debt Amortization'!F55</f>
        <v>108195</v>
      </c>
      <c r="F28" s="19" t="n">
        <f aca="false">'Debt Amortization'!G55</f>
        <v>101702.6</v>
      </c>
      <c r="G28" s="19" t="n">
        <f aca="false">'Debt Amortization'!H55</f>
        <v>93463.8</v>
      </c>
      <c r="H28" s="19" t="n">
        <f aca="false">'Debt Amortization'!I55</f>
        <v>88695.5</v>
      </c>
      <c r="I28" s="19" t="n">
        <f aca="false">'Debt Amortization'!J55</f>
        <v>83927.2</v>
      </c>
      <c r="J28" s="19" t="n">
        <f aca="false">'Debt Amortization'!K55</f>
        <v>78521.15</v>
      </c>
      <c r="K28" s="19" t="n">
        <f aca="false">'Debt Amortization'!L55</f>
        <v>73115.1</v>
      </c>
      <c r="L28" s="19" t="n">
        <f aca="false">'Debt Amortization'!M55</f>
        <v>64216.25</v>
      </c>
      <c r="M28" s="19" t="n">
        <f aca="false">'Debt Amortization'!N55</f>
        <v>52933.25</v>
      </c>
      <c r="N28" s="19" t="n">
        <f aca="false">'Debt Amortization'!O55</f>
        <v>50382.25</v>
      </c>
      <c r="O28" s="19" t="n">
        <f aca="false">'Debt Amortization'!P55</f>
        <v>47193.5</v>
      </c>
      <c r="P28" s="19" t="n">
        <f aca="false">'Debt Amortization'!Q55</f>
        <v>44004.75</v>
      </c>
      <c r="Q28" s="19" t="n">
        <f aca="false">'Debt Amortization'!R55</f>
        <v>40816</v>
      </c>
      <c r="R28" s="19" t="n">
        <f aca="false">'Debt Amortization'!S55</f>
        <v>37627.25</v>
      </c>
      <c r="S28" s="19" t="n">
        <f aca="false">'Debt Amortization'!T55</f>
        <v>34438.5</v>
      </c>
      <c r="T28" s="19" t="n">
        <f aca="false">'Debt Amortization'!U55</f>
        <v>28061</v>
      </c>
      <c r="U28" s="19" t="n">
        <f aca="false">'Debt Amortization'!V55</f>
        <v>20408</v>
      </c>
      <c r="V28" s="19" t="n">
        <f aca="false">'Debt Amortization'!W55</f>
        <v>10841.75</v>
      </c>
      <c r="W28" s="19" t="n">
        <f aca="false">'Debt Amortization'!X55</f>
        <v>0</v>
      </c>
      <c r="X28" s="20" t="n">
        <f aca="false">'Debt Amortization'!Y55</f>
        <v>0</v>
      </c>
      <c r="Y28" s="558"/>
      <c r="Z28" s="558"/>
      <c r="AA28" s="558"/>
      <c r="AB28" s="558"/>
    </row>
    <row r="29" customFormat="false" ht="12.75" hidden="false" customHeight="false" outlineLevel="0" collapsed="false">
      <c r="A29" s="402"/>
      <c r="B29" s="557" t="s">
        <v>597</v>
      </c>
      <c r="C29" s="149"/>
      <c r="D29" s="831" t="n">
        <v>0</v>
      </c>
      <c r="E29" s="831" t="n">
        <v>0</v>
      </c>
      <c r="F29" s="831" t="n">
        <v>0</v>
      </c>
      <c r="G29" s="831" t="n">
        <v>0</v>
      </c>
      <c r="H29" s="831" t="n">
        <v>0</v>
      </c>
      <c r="I29" s="831" t="n">
        <v>0</v>
      </c>
      <c r="J29" s="831" t="n">
        <v>0</v>
      </c>
      <c r="K29" s="831" t="n">
        <v>0</v>
      </c>
      <c r="L29" s="831" t="n">
        <v>0</v>
      </c>
      <c r="M29" s="831" t="n">
        <v>0</v>
      </c>
      <c r="N29" s="831" t="n">
        <v>0</v>
      </c>
      <c r="O29" s="831" t="n">
        <v>0</v>
      </c>
      <c r="P29" s="831" t="n">
        <v>0</v>
      </c>
      <c r="Q29" s="831" t="n">
        <v>0</v>
      </c>
      <c r="R29" s="831" t="n">
        <v>0</v>
      </c>
      <c r="S29" s="831" t="n">
        <v>0</v>
      </c>
      <c r="T29" s="831" t="n">
        <v>0</v>
      </c>
      <c r="U29" s="831" t="n">
        <v>0</v>
      </c>
      <c r="V29" s="831" t="n">
        <v>0</v>
      </c>
      <c r="W29" s="831" t="n">
        <v>0</v>
      </c>
      <c r="X29" s="832" t="n">
        <v>0</v>
      </c>
      <c r="Y29" s="558"/>
      <c r="Z29" s="558"/>
      <c r="AA29" s="558"/>
      <c r="AB29" s="558"/>
    </row>
    <row r="30" customFormat="false" ht="12.75" hidden="false" customHeight="false" outlineLevel="0" collapsed="false">
      <c r="A30" s="840" t="s">
        <v>598</v>
      </c>
      <c r="B30" s="149"/>
      <c r="C30" s="149"/>
      <c r="D30" s="19" t="n">
        <f aca="false">SUM(D24:D29)</f>
        <v>113095.275429581</v>
      </c>
      <c r="E30" s="19" t="n">
        <f aca="false">SUM(E24:E29)</f>
        <v>112374.675672976</v>
      </c>
      <c r="F30" s="19" t="n">
        <f aca="false">SUM(F24:F29)</f>
        <v>109590.172710989</v>
      </c>
      <c r="G30" s="19" t="n">
        <f aca="false">SUM(G24:G29)</f>
        <v>103832.200096773</v>
      </c>
      <c r="H30" s="19" t="n">
        <f aca="false">SUM(H24:H29)</f>
        <v>105415.590144683</v>
      </c>
      <c r="I30" s="19" t="n">
        <f aca="false">SUM(I24:I29)</f>
        <v>107879.036914695</v>
      </c>
      <c r="J30" s="19" t="n">
        <f aca="false">SUM(J24:J29)</f>
        <v>104216.292286119</v>
      </c>
      <c r="K30" s="19" t="n">
        <f aca="false">SUM(K24:K29)</f>
        <v>102155.302766375</v>
      </c>
      <c r="L30" s="19" t="n">
        <f aca="false">SUM(L24:L29)</f>
        <v>96645.6759961162</v>
      </c>
      <c r="M30" s="19" t="n">
        <f aca="false">SUM(M24:M29)</f>
        <v>79687.7395402826</v>
      </c>
      <c r="N30" s="19" t="n">
        <f aca="false">SUM(N24:N29)</f>
        <v>80624.5076188665</v>
      </c>
      <c r="O30" s="19" t="n">
        <f aca="false">SUM(O24:O29)</f>
        <v>81782.3294202795</v>
      </c>
      <c r="P30" s="19" t="n">
        <f aca="false">SUM(P24:P29)</f>
        <v>82130.7604672376</v>
      </c>
      <c r="Q30" s="19" t="n">
        <f aca="false">SUM(Q24:Q29)</f>
        <v>80610.944694606</v>
      </c>
      <c r="R30" s="19" t="n">
        <f aca="false">SUM(R24:R29)</f>
        <v>81059.8908319196</v>
      </c>
      <c r="S30" s="19" t="n">
        <f aca="false">SUM(S24:S29)</f>
        <v>79878.0280286917</v>
      </c>
      <c r="T30" s="19" t="n">
        <f aca="false">SUM(T24:T29)</f>
        <v>60423.3581314925</v>
      </c>
      <c r="U30" s="19" t="n">
        <f aca="false">SUM(U24:U29)</f>
        <v>53095.7174306257</v>
      </c>
      <c r="V30" s="19" t="n">
        <f aca="false">SUM(V24:V29)</f>
        <v>43921.7313573571</v>
      </c>
      <c r="W30" s="19" t="n">
        <f aca="false">SUM(W24:W29)</f>
        <v>11397.4306337264</v>
      </c>
      <c r="X30" s="20" t="n">
        <f aca="false">SUM(X24:X29)</f>
        <v>12065.4901452912</v>
      </c>
      <c r="Y30" s="558"/>
      <c r="Z30" s="558"/>
      <c r="AA30" s="558"/>
      <c r="AB30" s="558"/>
    </row>
    <row r="31" customFormat="false" ht="12.75" hidden="false" customHeight="false" outlineLevel="0" collapsed="false">
      <c r="A31" s="833"/>
      <c r="B31" s="149"/>
      <c r="C31" s="149"/>
      <c r="D31" s="149"/>
      <c r="E31" s="149"/>
      <c r="F31" s="149"/>
      <c r="G31" s="149"/>
      <c r="H31" s="149"/>
      <c r="I31" s="149"/>
      <c r="J31" s="149"/>
      <c r="K31" s="149"/>
      <c r="L31" s="149"/>
      <c r="M31" s="149"/>
      <c r="N31" s="149"/>
      <c r="O31" s="149"/>
      <c r="P31" s="149"/>
      <c r="Q31" s="149"/>
      <c r="R31" s="149"/>
      <c r="S31" s="149"/>
      <c r="T31" s="149"/>
      <c r="U31" s="149"/>
      <c r="V31" s="149"/>
      <c r="W31" s="149"/>
      <c r="X31" s="455"/>
      <c r="Y31" s="558"/>
      <c r="Z31" s="558"/>
      <c r="AA31" s="558"/>
      <c r="AB31" s="558"/>
    </row>
    <row r="32" customFormat="false" ht="12.75" hidden="false" customHeight="false" outlineLevel="0" collapsed="false">
      <c r="A32" s="828" t="s">
        <v>599</v>
      </c>
      <c r="B32" s="149"/>
      <c r="C32" s="149"/>
      <c r="D32" s="149"/>
      <c r="E32" s="149"/>
      <c r="F32" s="149"/>
      <c r="G32" s="149"/>
      <c r="H32" s="149"/>
      <c r="I32" s="149"/>
      <c r="J32" s="149"/>
      <c r="K32" s="149"/>
      <c r="L32" s="149"/>
      <c r="M32" s="149"/>
      <c r="N32" s="149"/>
      <c r="O32" s="149"/>
      <c r="P32" s="149"/>
      <c r="Q32" s="149"/>
      <c r="R32" s="149"/>
      <c r="S32" s="149"/>
      <c r="T32" s="149"/>
      <c r="U32" s="149"/>
      <c r="V32" s="149"/>
      <c r="W32" s="149"/>
      <c r="X32" s="455"/>
      <c r="Y32" s="558"/>
      <c r="Z32" s="558"/>
      <c r="AA32" s="558"/>
      <c r="AB32" s="558"/>
    </row>
    <row r="33" customFormat="false" ht="12.75" hidden="false" customHeight="false" outlineLevel="0" collapsed="false">
      <c r="A33" s="402"/>
      <c r="B33" s="385" t="s">
        <v>600</v>
      </c>
      <c r="C33" s="149"/>
      <c r="D33" s="19" t="n">
        <f aca="false">'Project Assumptions'!$C$8</f>
        <v>37076.971</v>
      </c>
      <c r="E33" s="19" t="n">
        <f aca="false">'Project Assumptions'!$C$8</f>
        <v>37076.971</v>
      </c>
      <c r="F33" s="19" t="n">
        <f aca="false">'Project Assumptions'!$C$8</f>
        <v>37076.971</v>
      </c>
      <c r="G33" s="19" t="n">
        <f aca="false">'Project Assumptions'!$C$8</f>
        <v>37076.971</v>
      </c>
      <c r="H33" s="19" t="n">
        <f aca="false">'Project Assumptions'!$C$8</f>
        <v>37076.971</v>
      </c>
      <c r="I33" s="19" t="n">
        <f aca="false">'Project Assumptions'!$C$8</f>
        <v>37076.971</v>
      </c>
      <c r="J33" s="19" t="n">
        <f aca="false">'Project Assumptions'!$C$8</f>
        <v>37076.971</v>
      </c>
      <c r="K33" s="19" t="n">
        <f aca="false">'Project Assumptions'!$C$8</f>
        <v>37076.971</v>
      </c>
      <c r="L33" s="19" t="n">
        <f aca="false">'Project Assumptions'!$C$8</f>
        <v>37076.971</v>
      </c>
      <c r="M33" s="19" t="n">
        <f aca="false">'Project Assumptions'!$C$8</f>
        <v>37076.971</v>
      </c>
      <c r="N33" s="19" t="n">
        <f aca="false">'Project Assumptions'!$C$8</f>
        <v>37076.971</v>
      </c>
      <c r="O33" s="19" t="n">
        <f aca="false">'Project Assumptions'!$C$8</f>
        <v>37076.971</v>
      </c>
      <c r="P33" s="19" t="n">
        <f aca="false">'Project Assumptions'!$C$8</f>
        <v>37076.971</v>
      </c>
      <c r="Q33" s="19" t="n">
        <f aca="false">'Project Assumptions'!$C$8</f>
        <v>37076.971</v>
      </c>
      <c r="R33" s="19" t="n">
        <f aca="false">'Project Assumptions'!$C$8</f>
        <v>37076.971</v>
      </c>
      <c r="S33" s="19" t="n">
        <f aca="false">'Project Assumptions'!$C$8</f>
        <v>37076.971</v>
      </c>
      <c r="T33" s="19" t="n">
        <f aca="false">'Project Assumptions'!$C$8</f>
        <v>37076.971</v>
      </c>
      <c r="U33" s="19" t="n">
        <f aca="false">'Project Assumptions'!$C$8</f>
        <v>37076.971</v>
      </c>
      <c r="V33" s="19" t="n">
        <f aca="false">'Project Assumptions'!$C$8</f>
        <v>37076.971</v>
      </c>
      <c r="W33" s="19" t="n">
        <f aca="false">'Project Assumptions'!$C$8</f>
        <v>37076.971</v>
      </c>
      <c r="X33" s="20" t="n">
        <f aca="false">'Project Assumptions'!$C$8</f>
        <v>37076.971</v>
      </c>
      <c r="Y33" s="558"/>
      <c r="Z33" s="558"/>
      <c r="AA33" s="558"/>
      <c r="AB33" s="558"/>
    </row>
    <row r="34" customFormat="false" ht="12.75" hidden="false" customHeight="false" outlineLevel="0" collapsed="false">
      <c r="A34" s="402"/>
      <c r="B34" s="385" t="s">
        <v>601</v>
      </c>
      <c r="C34" s="149"/>
      <c r="D34" s="841" t="n">
        <f aca="false">'Book Income Statement'!D72-'Cash Flow Statement'!D37</f>
        <v>3789.14443708589</v>
      </c>
      <c r="E34" s="841" t="n">
        <f aca="false">'Book Income Statement'!E72-'Cash Flow Statement'!E37+D34</f>
        <v>3697.53827369024</v>
      </c>
      <c r="F34" s="841" t="n">
        <f aca="false">'Book Income Statement'!F72-'Cash Flow Statement'!F37+E34</f>
        <v>2659.02806767789</v>
      </c>
      <c r="G34" s="841" t="n">
        <f aca="false">'Book Income Statement'!G72-'Cash Flow Statement'!G37+F34</f>
        <v>3212.03689499406</v>
      </c>
      <c r="H34" s="841" t="n">
        <f aca="false">'Book Income Statement'!H72-'Cash Flow Statement'!H37+G34</f>
        <v>-2107.19094575982</v>
      </c>
      <c r="I34" s="841" t="n">
        <f aca="false">'Book Income Statement'!I72-'Cash Flow Statement'!I37+H34</f>
        <v>-8009.24221280037</v>
      </c>
      <c r="J34" s="841" t="n">
        <f aca="false">'Book Income Statement'!J72-'Cash Flow Statement'!J37+I34</f>
        <v>-8942.85253519161</v>
      </c>
      <c r="K34" s="841" t="n">
        <f aca="false">'Book Income Statement'!K72-'Cash Flow Statement'!K37+J34</f>
        <v>-9872.86432630646</v>
      </c>
      <c r="L34" s="841" t="n">
        <f aca="false">'Book Income Statement'!L72-'Cash Flow Statement'!L37+K34</f>
        <v>-7304.4555406333</v>
      </c>
      <c r="M34" s="841" t="n">
        <f aca="false">'Book Income Statement'!M72-'Cash Flow Statement'!M37+L34</f>
        <v>-2357.51733174815</v>
      </c>
      <c r="N34" s="841" t="n">
        <f aca="false">'Book Income Statement'!N72-'Cash Flow Statement'!N37+M34</f>
        <v>-6131.4114380106</v>
      </c>
      <c r="O34" s="841" t="n">
        <f aca="false">'Book Income Statement'!O72-'Cash Flow Statement'!O37+N34</f>
        <v>-10071.9596823325</v>
      </c>
      <c r="P34" s="841" t="n">
        <f aca="false">'Book Income Statement'!P72-'Cash Flow Statement'!P37+O34</f>
        <v>-13147.0855998867</v>
      </c>
      <c r="Q34" s="841" t="n">
        <f aca="false">'Book Income Statement'!Q72-'Cash Flow Statement'!Q37+P34</f>
        <v>-16211.1907700358</v>
      </c>
      <c r="R34" s="841" t="n">
        <f aca="false">'Book Income Statement'!R72-'Cash Flow Statement'!R37+Q34</f>
        <v>-19269.6753633969</v>
      </c>
      <c r="S34" s="841" t="n">
        <f aca="false">'Book Income Statement'!S72-'Cash Flow Statement'!S37+R34</f>
        <v>-20636.1238042979</v>
      </c>
      <c r="T34" s="841" t="n">
        <f aca="false">'Book Income Statement'!T72-'Cash Flow Statement'!T37+S34</f>
        <v>-17054.7669443527</v>
      </c>
      <c r="U34" s="841" t="n">
        <f aca="false">'Book Income Statement'!U72-'Cash Flow Statement'!U37+T34</f>
        <v>-12147.4175102143</v>
      </c>
      <c r="V34" s="841" t="n">
        <f aca="false">'Book Income Statement'!V72-'Cash Flow Statement'!V37+U34</f>
        <v>-5326.81807607591</v>
      </c>
      <c r="W34" s="841" t="n">
        <f aca="false">'Book Income Statement'!W72-'Cash Flow Statement'!W37+V34</f>
        <v>2669.43341290356</v>
      </c>
      <c r="X34" s="842" t="n">
        <f aca="false">'Book Income Statement'!X72-'Cash Flow Statement'!X37+W34</f>
        <v>-186.226018613113</v>
      </c>
      <c r="Y34" s="558"/>
      <c r="Z34" s="558"/>
      <c r="AA34" s="558"/>
      <c r="AB34" s="558"/>
    </row>
    <row r="35" customFormat="false" ht="12.75" hidden="false" customHeight="false" outlineLevel="0" collapsed="false">
      <c r="A35" s="402"/>
      <c r="B35" s="385" t="s">
        <v>602</v>
      </c>
      <c r="C35" s="149"/>
      <c r="D35" s="834" t="n">
        <f aca="false">SUM(D33:D34)</f>
        <v>40866.1154370859</v>
      </c>
      <c r="E35" s="834" t="n">
        <f aca="false">SUM(E33:E34)</f>
        <v>40774.5092736903</v>
      </c>
      <c r="F35" s="834" t="n">
        <f aca="false">SUM(F33:F34)</f>
        <v>39735.9990676779</v>
      </c>
      <c r="G35" s="834" t="n">
        <f aca="false">SUM(G33:G34)</f>
        <v>40289.0078949941</v>
      </c>
      <c r="H35" s="834" t="n">
        <f aca="false">SUM(H33:H34)</f>
        <v>34969.7800542402</v>
      </c>
      <c r="I35" s="834" t="n">
        <f aca="false">SUM(I33:I34)</f>
        <v>29067.7287871997</v>
      </c>
      <c r="J35" s="834" t="n">
        <f aca="false">SUM(J33:J34)</f>
        <v>28134.1184648084</v>
      </c>
      <c r="K35" s="834" t="n">
        <f aca="false">SUM(K33:K34)</f>
        <v>27204.1066736936</v>
      </c>
      <c r="L35" s="834" t="n">
        <f aca="false">SUM(L33:L34)</f>
        <v>29772.5154593667</v>
      </c>
      <c r="M35" s="834" t="n">
        <f aca="false">SUM(M33:M34)</f>
        <v>34719.4536682519</v>
      </c>
      <c r="N35" s="834" t="n">
        <f aca="false">SUM(N33:N34)</f>
        <v>30945.5595619894</v>
      </c>
      <c r="O35" s="834" t="n">
        <f aca="false">SUM(O33:O34)</f>
        <v>27005.0113176675</v>
      </c>
      <c r="P35" s="834" t="n">
        <f aca="false">SUM(P33:P34)</f>
        <v>23929.8854001133</v>
      </c>
      <c r="Q35" s="834" t="n">
        <f aca="false">SUM(Q33:Q34)</f>
        <v>20865.7802299642</v>
      </c>
      <c r="R35" s="834" t="n">
        <f aca="false">SUM(R33:R34)</f>
        <v>17807.2956366032</v>
      </c>
      <c r="S35" s="834" t="n">
        <f aca="false">SUM(S33:S34)</f>
        <v>16440.8471957021</v>
      </c>
      <c r="T35" s="834" t="n">
        <f aca="false">SUM(T33:T34)</f>
        <v>20022.2040556473</v>
      </c>
      <c r="U35" s="834" t="n">
        <f aca="false">SUM(U33:U34)</f>
        <v>24929.5534897857</v>
      </c>
      <c r="V35" s="834" t="n">
        <f aca="false">SUM(V33:V34)</f>
        <v>31750.1529239241</v>
      </c>
      <c r="W35" s="834" t="n">
        <f aca="false">SUM(W33:W34)</f>
        <v>39746.4044129036</v>
      </c>
      <c r="X35" s="835" t="n">
        <f aca="false">SUM(X33:X34)</f>
        <v>36890.7449813869</v>
      </c>
      <c r="Y35" s="558"/>
      <c r="Z35" s="558"/>
      <c r="AA35" s="558"/>
      <c r="AB35" s="558"/>
    </row>
    <row r="36" customFormat="false" ht="12.75" hidden="false" customHeight="false" outlineLevel="0" collapsed="false">
      <c r="A36" s="840" t="s">
        <v>603</v>
      </c>
      <c r="B36" s="149"/>
      <c r="C36" s="149"/>
      <c r="D36" s="19" t="n">
        <f aca="false">D30+D35</f>
        <v>153961.390866667</v>
      </c>
      <c r="E36" s="19" t="n">
        <f aca="false">E30+E35</f>
        <v>153149.184946667</v>
      </c>
      <c r="F36" s="19" t="n">
        <f aca="false">F30+F35</f>
        <v>149326.171778667</v>
      </c>
      <c r="G36" s="19" t="n">
        <f aca="false">G30+G35</f>
        <v>144121.207991767</v>
      </c>
      <c r="H36" s="19" t="n">
        <f aca="false">H30+H35</f>
        <v>140385.370198923</v>
      </c>
      <c r="I36" s="19" t="n">
        <f aca="false">I30+I35</f>
        <v>136946.765701895</v>
      </c>
      <c r="J36" s="19" t="n">
        <f aca="false">J30+J35</f>
        <v>132350.410750928</v>
      </c>
      <c r="K36" s="19" t="n">
        <f aca="false">K30+K35</f>
        <v>129359.409440068</v>
      </c>
      <c r="L36" s="19" t="n">
        <f aca="false">L30+L35</f>
        <v>126418.191455483</v>
      </c>
      <c r="M36" s="19" t="n">
        <f aca="false">M30+M35</f>
        <v>114407.193208535</v>
      </c>
      <c r="N36" s="19" t="n">
        <f aca="false">N30+N35</f>
        <v>111570.067180856</v>
      </c>
      <c r="O36" s="19" t="n">
        <f aca="false">O30+O35</f>
        <v>108787.340737947</v>
      </c>
      <c r="P36" s="19" t="n">
        <f aca="false">P30+P35</f>
        <v>106060.645867351</v>
      </c>
      <c r="Q36" s="19" t="n">
        <f aca="false">Q30+Q35</f>
        <v>101476.72492457</v>
      </c>
      <c r="R36" s="19" t="n">
        <f aca="false">R30+R35</f>
        <v>98867.1864685227</v>
      </c>
      <c r="S36" s="19" t="n">
        <f aca="false">S30+S35</f>
        <v>96318.8752243938</v>
      </c>
      <c r="T36" s="19" t="n">
        <f aca="false">T30+T35</f>
        <v>80445.5621871398</v>
      </c>
      <c r="U36" s="19" t="n">
        <f aca="false">U30+U35</f>
        <v>78025.2709204115</v>
      </c>
      <c r="V36" s="19" t="n">
        <f aca="false">V30+V35</f>
        <v>75671.8842812812</v>
      </c>
      <c r="W36" s="19" t="n">
        <f aca="false">W30+W35</f>
        <v>51143.83504663</v>
      </c>
      <c r="X36" s="20" t="n">
        <f aca="false">X30+X35</f>
        <v>48956.2351266781</v>
      </c>
      <c r="Y36" s="558"/>
      <c r="Z36" s="558"/>
      <c r="AA36" s="558"/>
      <c r="AB36" s="558"/>
    </row>
    <row r="37" customFormat="false" ht="12.75" hidden="false" customHeight="false" outlineLevel="0" collapsed="false">
      <c r="A37" s="843"/>
      <c r="B37" s="492"/>
      <c r="C37" s="492"/>
      <c r="D37" s="492"/>
      <c r="E37" s="492"/>
      <c r="F37" s="492"/>
      <c r="G37" s="492"/>
      <c r="H37" s="492"/>
      <c r="I37" s="492"/>
      <c r="J37" s="492"/>
      <c r="K37" s="492"/>
      <c r="L37" s="492"/>
      <c r="M37" s="492"/>
      <c r="N37" s="492"/>
      <c r="O37" s="492"/>
      <c r="P37" s="492"/>
      <c r="Q37" s="492"/>
      <c r="R37" s="492"/>
      <c r="S37" s="492"/>
      <c r="T37" s="492"/>
      <c r="U37" s="492"/>
      <c r="V37" s="492"/>
      <c r="W37" s="492"/>
      <c r="X37" s="494"/>
      <c r="Y37" s="558"/>
      <c r="Z37" s="558"/>
      <c r="AA37" s="558"/>
      <c r="AB37" s="558"/>
    </row>
    <row r="38" customFormat="false" ht="12.75" hidden="false" customHeight="false" outlineLevel="0" collapsed="false">
      <c r="A38" s="844" t="s">
        <v>604</v>
      </c>
      <c r="B38" s="845"/>
      <c r="C38" s="845"/>
      <c r="D38" s="846" t="n">
        <f aca="false">IF(D3&gt;ProjectLife,0,D21-D36)</f>
        <v>0</v>
      </c>
      <c r="E38" s="846" t="n">
        <f aca="false">IF(E3&gt;ProjectLife,0,E21-E36)</f>
        <v>0</v>
      </c>
      <c r="F38" s="846" t="n">
        <f aca="false">IF(F3&gt;ProjectLife,0,F21-F36)</f>
        <v>0</v>
      </c>
      <c r="G38" s="846" t="n">
        <f aca="false">IF(G3&gt;ProjectLife,0,G21-G36)</f>
        <v>0</v>
      </c>
      <c r="H38" s="846" t="n">
        <f aca="false">IF(H3&gt;ProjectLife,0,H21-H36)</f>
        <v>0</v>
      </c>
      <c r="I38" s="846" t="n">
        <f aca="false">IF(I3&gt;ProjectLife,0,I21-I36)</f>
        <v>0</v>
      </c>
      <c r="J38" s="846" t="n">
        <f aca="false">IF(J3&gt;ProjectLife,0,J21-J36)</f>
        <v>0</v>
      </c>
      <c r="K38" s="846" t="n">
        <f aca="false">IF(K3&gt;ProjectLife,0,K21-K36)</f>
        <v>0</v>
      </c>
      <c r="L38" s="846" t="n">
        <f aca="false">IF(L3&gt;ProjectLife,0,L21-L36)</f>
        <v>0</v>
      </c>
      <c r="M38" s="846" t="n">
        <f aca="false">IF(M3&gt;ProjectLife,0,M21-M36)</f>
        <v>0</v>
      </c>
      <c r="N38" s="846" t="n">
        <f aca="false">IF(N3&gt;ProjectLife,0,N21-N36)</f>
        <v>0</v>
      </c>
      <c r="O38" s="846" t="n">
        <f aca="false">IF(O3&gt;ProjectLife,0,O21-O36)</f>
        <v>0</v>
      </c>
      <c r="P38" s="846" t="n">
        <f aca="false">IF(P3&gt;ProjectLife,0,P21-P36)</f>
        <v>0</v>
      </c>
      <c r="Q38" s="846" t="n">
        <f aca="false">IF(Q3&gt;ProjectLife,0,Q21-Q36)</f>
        <v>0</v>
      </c>
      <c r="R38" s="846" t="n">
        <f aca="false">IF(R3&gt;ProjectLife,0,R21-R36)</f>
        <v>0</v>
      </c>
      <c r="S38" s="846" t="n">
        <f aca="false">IF(S3&gt;ProjectLife,0,S21-S36)</f>
        <v>0</v>
      </c>
      <c r="T38" s="846" t="n">
        <f aca="false">IF(T3&gt;ProjectLife,0,T21-T36)</f>
        <v>0</v>
      </c>
      <c r="U38" s="846" t="n">
        <f aca="false">IF(U3&gt;ProjectLife,0,U21-U36)</f>
        <v>0</v>
      </c>
      <c r="V38" s="846" t="n">
        <f aca="false">IF(V3&gt;ProjectLife,0,V21-V36)</f>
        <v>0</v>
      </c>
      <c r="W38" s="846" t="n">
        <f aca="false">IF(W3&gt;ProjectLife,0,W21-W36)</f>
        <v>0</v>
      </c>
      <c r="X38" s="846" t="n">
        <f aca="false">IF(X3&gt;ProjectLife,0,X21-X36)</f>
        <v>0</v>
      </c>
      <c r="Y38" s="558"/>
      <c r="Z38" s="558"/>
      <c r="AA38" s="558"/>
      <c r="AB38" s="558"/>
    </row>
    <row r="39" customFormat="false" ht="11.25" hidden="true" customHeight="false" outlineLevel="1" collapsed="false">
      <c r="A39" s="557" t="s">
        <v>605</v>
      </c>
      <c r="B39" s="557"/>
      <c r="C39" s="557"/>
      <c r="D39" s="557"/>
      <c r="E39" s="557"/>
      <c r="F39" s="557"/>
      <c r="G39" s="557"/>
      <c r="H39" s="557"/>
      <c r="I39" s="557"/>
      <c r="J39" s="557"/>
      <c r="K39" s="557"/>
      <c r="L39" s="557"/>
      <c r="M39" s="557"/>
      <c r="N39" s="557"/>
      <c r="O39" s="557"/>
      <c r="P39" s="557"/>
      <c r="Q39" s="557"/>
      <c r="R39" s="557"/>
      <c r="S39" s="557"/>
      <c r="T39" s="557"/>
      <c r="U39" s="557"/>
      <c r="V39" s="557"/>
      <c r="W39" s="558"/>
      <c r="X39" s="558"/>
      <c r="Y39" s="558"/>
      <c r="Z39" s="558"/>
      <c r="AA39" s="558"/>
      <c r="AB39" s="558"/>
    </row>
    <row r="40" customFormat="false" ht="12.75" hidden="false" customHeight="false" outlineLevel="0" collapsed="false">
      <c r="A40" s="0"/>
      <c r="B40" s="0"/>
      <c r="C40" s="0"/>
      <c r="D40" s="0"/>
      <c r="E40" s="0"/>
      <c r="F40" s="0"/>
      <c r="G40" s="0"/>
      <c r="H40" s="0"/>
      <c r="I40" s="0"/>
      <c r="J40" s="0"/>
      <c r="K40" s="0"/>
      <c r="L40" s="0"/>
      <c r="M40" s="0"/>
      <c r="N40" s="0"/>
      <c r="O40" s="0"/>
      <c r="P40" s="0"/>
      <c r="Q40" s="0"/>
      <c r="R40" s="0"/>
      <c r="S40" s="0"/>
      <c r="T40" s="0"/>
      <c r="U40" s="0"/>
      <c r="V40" s="0"/>
      <c r="W40" s="0"/>
      <c r="X40" s="0"/>
      <c r="Y40" s="0"/>
      <c r="Z40" s="0"/>
      <c r="AA40" s="0"/>
      <c r="AB40" s="0"/>
    </row>
    <row r="41" customFormat="false" ht="12.75" hidden="false" customHeight="false" outlineLevel="0" collapsed="false">
      <c r="A41" s="0"/>
      <c r="B41" s="0"/>
      <c r="C41" s="0"/>
      <c r="D41" s="0"/>
      <c r="E41" s="0"/>
      <c r="F41" s="0"/>
      <c r="G41" s="0"/>
      <c r="H41" s="0"/>
      <c r="I41" s="0"/>
      <c r="J41" s="0"/>
      <c r="K41" s="0"/>
      <c r="L41" s="0"/>
      <c r="M41" s="0"/>
      <c r="N41" s="0"/>
      <c r="O41" s="0"/>
      <c r="P41" s="0"/>
      <c r="Q41" s="0"/>
      <c r="R41" s="0"/>
      <c r="S41" s="0"/>
      <c r="T41" s="0"/>
      <c r="U41" s="0"/>
      <c r="V41" s="0"/>
      <c r="W41" s="0"/>
      <c r="X41" s="0"/>
      <c r="Y41" s="0"/>
      <c r="Z41" s="0"/>
      <c r="AA41" s="0"/>
      <c r="AB41" s="0"/>
    </row>
    <row r="42" customFormat="false" ht="12.75" hidden="false" customHeight="false" outlineLevel="0" collapsed="false">
      <c r="A42" s="0"/>
      <c r="B42" s="0"/>
      <c r="C42" s="0"/>
      <c r="D42" s="0"/>
      <c r="E42" s="0"/>
      <c r="F42" s="0"/>
      <c r="G42" s="0"/>
      <c r="H42" s="0"/>
      <c r="I42" s="0"/>
      <c r="J42" s="0"/>
      <c r="K42" s="0"/>
      <c r="L42" s="0"/>
      <c r="M42" s="0"/>
      <c r="N42" s="0"/>
      <c r="O42" s="0"/>
      <c r="P42" s="0"/>
      <c r="Q42" s="0"/>
      <c r="R42" s="0"/>
      <c r="S42" s="0"/>
      <c r="T42" s="0"/>
      <c r="U42" s="0"/>
      <c r="V42" s="0"/>
      <c r="W42" s="0"/>
      <c r="X42" s="0"/>
      <c r="Y42" s="0"/>
      <c r="Z42" s="0"/>
      <c r="AA42" s="0"/>
      <c r="AB42" s="0"/>
    </row>
    <row r="43" customFormat="false" ht="12.75" hidden="false" customHeight="false" outlineLevel="0" collapsed="false">
      <c r="A43" s="847" t="s">
        <v>606</v>
      </c>
      <c r="B43" s="848"/>
      <c r="C43" s="848"/>
      <c r="D43" s="849" t="s">
        <v>607</v>
      </c>
      <c r="E43" s="848"/>
      <c r="F43" s="848"/>
      <c r="G43" s="848"/>
      <c r="H43" s="848"/>
      <c r="I43" s="848"/>
      <c r="J43" s="848"/>
      <c r="K43" s="848"/>
      <c r="L43" s="848"/>
      <c r="M43" s="848"/>
      <c r="N43" s="848"/>
      <c r="O43" s="848"/>
      <c r="P43" s="848"/>
      <c r="Q43" s="848"/>
      <c r="R43" s="848"/>
      <c r="S43" s="848"/>
      <c r="T43" s="848"/>
      <c r="U43" s="848"/>
      <c r="V43" s="848"/>
      <c r="W43" s="848"/>
      <c r="X43" s="850"/>
      <c r="Y43" s="0"/>
      <c r="Z43" s="0"/>
      <c r="AA43" s="0"/>
      <c r="AB43" s="0"/>
    </row>
    <row r="44" customFormat="false" ht="12.75" hidden="false" customHeight="false" outlineLevel="0" collapsed="false">
      <c r="A44" s="851" t="n">
        <f aca="false">(SUM(D28:X28)-SUM(D45:X45))+(SUM(D35:X35)-SUM(D46:X46))</f>
        <v>0</v>
      </c>
      <c r="B44" s="852"/>
      <c r="C44" s="852"/>
      <c r="D44" s="852"/>
      <c r="E44" s="852"/>
      <c r="F44" s="852"/>
      <c r="G44" s="852"/>
      <c r="H44" s="852"/>
      <c r="I44" s="852"/>
      <c r="J44" s="852"/>
      <c r="K44" s="852"/>
      <c r="L44" s="852"/>
      <c r="M44" s="852"/>
      <c r="N44" s="852"/>
      <c r="O44" s="852"/>
      <c r="P44" s="852"/>
      <c r="Q44" s="852"/>
      <c r="R44" s="852"/>
      <c r="S44" s="852"/>
      <c r="T44" s="852"/>
      <c r="U44" s="852"/>
      <c r="V44" s="852"/>
      <c r="W44" s="852"/>
      <c r="X44" s="853"/>
      <c r="Y44" s="0"/>
      <c r="Z44" s="0"/>
      <c r="AA44" s="0"/>
      <c r="AB44" s="0"/>
    </row>
    <row r="45" customFormat="false" ht="12.75" hidden="false" customHeight="false" outlineLevel="0" collapsed="false">
      <c r="A45" s="854"/>
      <c r="B45" s="852" t="s">
        <v>596</v>
      </c>
      <c r="C45" s="852"/>
      <c r="D45" s="855" t="n">
        <v>112941</v>
      </c>
      <c r="E45" s="855" t="n">
        <v>108195</v>
      </c>
      <c r="F45" s="855" t="n">
        <v>101702.6</v>
      </c>
      <c r="G45" s="855" t="n">
        <v>93463.8</v>
      </c>
      <c r="H45" s="855" t="n">
        <v>88695.5</v>
      </c>
      <c r="I45" s="855" t="n">
        <v>83927.2</v>
      </c>
      <c r="J45" s="855" t="n">
        <v>78521.15</v>
      </c>
      <c r="K45" s="855" t="n">
        <v>73115.1</v>
      </c>
      <c r="L45" s="855" t="n">
        <v>64216.25</v>
      </c>
      <c r="M45" s="855" t="n">
        <v>52933.25</v>
      </c>
      <c r="N45" s="855" t="n">
        <v>50382.25</v>
      </c>
      <c r="O45" s="855" t="n">
        <v>47193.5</v>
      </c>
      <c r="P45" s="855" t="n">
        <v>44004.75</v>
      </c>
      <c r="Q45" s="855" t="n">
        <v>40816</v>
      </c>
      <c r="R45" s="855" t="n">
        <v>37627.25</v>
      </c>
      <c r="S45" s="855" t="n">
        <v>34438.5</v>
      </c>
      <c r="T45" s="855" t="n">
        <v>28061</v>
      </c>
      <c r="U45" s="855" t="n">
        <v>20408</v>
      </c>
      <c r="V45" s="855" t="n">
        <v>10841.75</v>
      </c>
      <c r="W45" s="855" t="n">
        <v>0</v>
      </c>
      <c r="X45" s="856" t="n">
        <v>0</v>
      </c>
      <c r="Y45" s="0"/>
      <c r="Z45" s="0"/>
      <c r="AA45" s="0"/>
      <c r="AB45" s="0"/>
    </row>
    <row r="46" customFormat="false" ht="12.75" hidden="false" customHeight="false" outlineLevel="0" collapsed="false">
      <c r="A46" s="857"/>
      <c r="B46" s="858" t="s">
        <v>608</v>
      </c>
      <c r="C46" s="858"/>
      <c r="D46" s="859" t="n">
        <v>40866.1154370859</v>
      </c>
      <c r="E46" s="859" t="n">
        <v>40774.5092736903</v>
      </c>
      <c r="F46" s="859" t="n">
        <v>39735.9990676779</v>
      </c>
      <c r="G46" s="859" t="n">
        <v>40289.0078949941</v>
      </c>
      <c r="H46" s="859" t="n">
        <v>34969.7800542402</v>
      </c>
      <c r="I46" s="859" t="n">
        <v>29067.7287871997</v>
      </c>
      <c r="J46" s="859" t="n">
        <v>28134.1184648084</v>
      </c>
      <c r="K46" s="859" t="n">
        <v>27204.1066736936</v>
      </c>
      <c r="L46" s="859" t="n">
        <v>29772.5154593667</v>
      </c>
      <c r="M46" s="859" t="n">
        <v>34719.4536682519</v>
      </c>
      <c r="N46" s="859" t="n">
        <v>30945.5595619894</v>
      </c>
      <c r="O46" s="859" t="n">
        <v>27005.0113176675</v>
      </c>
      <c r="P46" s="859" t="n">
        <v>23929.8854001133</v>
      </c>
      <c r="Q46" s="859" t="n">
        <v>20865.7802299642</v>
      </c>
      <c r="R46" s="859" t="n">
        <v>17807.2956366032</v>
      </c>
      <c r="S46" s="859" t="n">
        <v>16440.8471957021</v>
      </c>
      <c r="T46" s="859" t="n">
        <v>20022.2040556473</v>
      </c>
      <c r="U46" s="859" t="n">
        <v>24929.5534897857</v>
      </c>
      <c r="V46" s="859" t="n">
        <v>31750.1529239241</v>
      </c>
      <c r="W46" s="859" t="n">
        <v>39746.4044129036</v>
      </c>
      <c r="X46" s="860" t="n">
        <v>36890.7449813869</v>
      </c>
      <c r="Y46" s="0"/>
      <c r="Z46" s="0"/>
      <c r="AA46" s="0"/>
      <c r="AB46" s="0"/>
    </row>
    <row r="47" customFormat="false" ht="11.25" hidden="false" customHeight="false" outlineLevel="0" collapsed="false">
      <c r="A47" s="557"/>
      <c r="B47" s="557"/>
      <c r="C47" s="557"/>
      <c r="D47" s="557"/>
      <c r="E47" s="557"/>
      <c r="F47" s="557"/>
      <c r="G47" s="557"/>
      <c r="H47" s="557"/>
      <c r="I47" s="557"/>
      <c r="J47" s="557"/>
      <c r="K47" s="557"/>
      <c r="L47" s="557"/>
      <c r="M47" s="557"/>
      <c r="N47" s="557"/>
      <c r="O47" s="557"/>
      <c r="P47" s="557"/>
      <c r="Q47" s="557"/>
      <c r="R47" s="557"/>
      <c r="S47" s="557"/>
      <c r="T47" s="557"/>
      <c r="U47" s="557"/>
      <c r="V47" s="557"/>
      <c r="W47" s="558"/>
      <c r="X47" s="558"/>
      <c r="Y47" s="558"/>
      <c r="Z47" s="558"/>
      <c r="AA47" s="558"/>
      <c r="AB47" s="558"/>
    </row>
    <row r="48" customFormat="false" ht="11.25" hidden="false" customHeight="false" outlineLevel="0" collapsed="false">
      <c r="A48" s="557"/>
      <c r="B48" s="557"/>
      <c r="C48" s="557" t="n">
        <f aca="false">SUM(Loan_Copy)-SUM(Loan_Paste)</f>
        <v>0</v>
      </c>
      <c r="D48" s="557"/>
      <c r="E48" s="557"/>
      <c r="F48" s="557"/>
      <c r="G48" s="557"/>
      <c r="H48" s="557"/>
      <c r="I48" s="557"/>
      <c r="J48" s="557"/>
      <c r="K48" s="557"/>
      <c r="L48" s="557"/>
      <c r="M48" s="557"/>
      <c r="N48" s="557"/>
      <c r="O48" s="557"/>
      <c r="P48" s="557"/>
      <c r="Q48" s="557"/>
      <c r="R48" s="557"/>
      <c r="S48" s="557"/>
      <c r="T48" s="557"/>
      <c r="U48" s="557"/>
      <c r="V48" s="557"/>
      <c r="W48" s="558"/>
      <c r="X48" s="558"/>
      <c r="Y48" s="558"/>
      <c r="Z48" s="558"/>
      <c r="AA48" s="558"/>
      <c r="AB48" s="558"/>
    </row>
    <row r="49" customFormat="false" ht="11.25" hidden="false" customHeight="false" outlineLevel="0" collapsed="false">
      <c r="A49" s="557"/>
      <c r="B49" s="557"/>
      <c r="C49" s="557" t="n">
        <f aca="false">SUM(Equity_Copy)-SUM(Equity_Paste)</f>
        <v>0</v>
      </c>
      <c r="D49" s="557"/>
      <c r="E49" s="557"/>
      <c r="F49" s="557"/>
      <c r="G49" s="557"/>
      <c r="H49" s="557"/>
      <c r="I49" s="557"/>
      <c r="J49" s="557"/>
      <c r="K49" s="557"/>
      <c r="L49" s="557"/>
      <c r="M49" s="557"/>
      <c r="N49" s="557"/>
      <c r="O49" s="557"/>
      <c r="P49" s="557"/>
      <c r="Q49" s="557"/>
      <c r="R49" s="557"/>
      <c r="S49" s="557"/>
      <c r="T49" s="557"/>
      <c r="U49" s="557"/>
      <c r="V49" s="557"/>
      <c r="W49" s="558"/>
      <c r="X49" s="558"/>
      <c r="Y49" s="558"/>
      <c r="Z49" s="558"/>
      <c r="AA49" s="558"/>
      <c r="AB49" s="558"/>
    </row>
    <row r="50" customFormat="false" ht="11.25" hidden="false" customHeight="false" outlineLevel="0" collapsed="false">
      <c r="A50" s="557"/>
      <c r="B50" s="557"/>
      <c r="C50" s="557"/>
      <c r="D50" s="557"/>
      <c r="E50" s="557"/>
      <c r="F50" s="557"/>
      <c r="G50" s="557"/>
      <c r="H50" s="557"/>
      <c r="I50" s="557"/>
      <c r="J50" s="557"/>
      <c r="K50" s="557"/>
      <c r="L50" s="557"/>
      <c r="M50" s="557"/>
      <c r="N50" s="557"/>
      <c r="O50" s="557"/>
      <c r="P50" s="557"/>
      <c r="Q50" s="557"/>
      <c r="R50" s="557"/>
      <c r="S50" s="557"/>
      <c r="T50" s="557"/>
      <c r="U50" s="557"/>
      <c r="V50" s="557"/>
      <c r="W50" s="558"/>
      <c r="X50" s="558"/>
      <c r="Y50" s="558"/>
      <c r="Z50" s="558"/>
      <c r="AA50" s="558"/>
      <c r="AB50" s="558"/>
    </row>
    <row r="51" customFormat="false" ht="11.25" hidden="false" customHeight="false" outlineLevel="0" collapsed="false">
      <c r="A51" s="557"/>
      <c r="B51" s="557"/>
      <c r="C51" s="557"/>
      <c r="D51" s="557"/>
      <c r="E51" s="557"/>
      <c r="F51" s="557"/>
      <c r="G51" s="557"/>
      <c r="H51" s="557"/>
      <c r="I51" s="557"/>
      <c r="J51" s="557"/>
      <c r="K51" s="557"/>
      <c r="L51" s="557"/>
      <c r="M51" s="557"/>
      <c r="N51" s="557"/>
      <c r="O51" s="557"/>
      <c r="P51" s="557"/>
      <c r="Q51" s="557"/>
      <c r="R51" s="557"/>
      <c r="S51" s="557"/>
      <c r="T51" s="557"/>
      <c r="U51" s="557"/>
      <c r="V51" s="557"/>
      <c r="W51" s="558"/>
      <c r="X51" s="558"/>
      <c r="Y51" s="558"/>
      <c r="Z51" s="558"/>
      <c r="AA51" s="558"/>
      <c r="AB51" s="558"/>
    </row>
    <row r="52" customFormat="false" ht="11.25" hidden="false" customHeight="false" outlineLevel="0" collapsed="false">
      <c r="A52" s="557"/>
      <c r="B52" s="557"/>
      <c r="C52" s="557"/>
      <c r="D52" s="557"/>
      <c r="E52" s="557"/>
      <c r="F52" s="557"/>
      <c r="G52" s="557"/>
      <c r="H52" s="557"/>
      <c r="I52" s="557"/>
      <c r="J52" s="557"/>
      <c r="K52" s="557"/>
      <c r="L52" s="557"/>
      <c r="M52" s="557"/>
      <c r="N52" s="557"/>
      <c r="O52" s="557"/>
      <c r="P52" s="557"/>
      <c r="Q52" s="557"/>
      <c r="R52" s="557"/>
      <c r="S52" s="557"/>
      <c r="T52" s="557"/>
      <c r="U52" s="557"/>
      <c r="V52" s="557"/>
      <c r="W52" s="558"/>
      <c r="X52" s="558"/>
      <c r="Y52" s="558"/>
      <c r="Z52" s="558"/>
      <c r="AA52" s="558"/>
      <c r="AB52" s="558"/>
    </row>
    <row r="53" customFormat="false" ht="11.25" hidden="false" customHeight="false" outlineLevel="0" collapsed="false">
      <c r="A53" s="557"/>
      <c r="B53" s="557"/>
      <c r="C53" s="557"/>
      <c r="D53" s="557"/>
      <c r="E53" s="557"/>
      <c r="F53" s="557"/>
      <c r="G53" s="557"/>
      <c r="H53" s="557"/>
      <c r="I53" s="557"/>
      <c r="J53" s="557"/>
      <c r="K53" s="557"/>
      <c r="L53" s="557"/>
      <c r="M53" s="557"/>
      <c r="N53" s="557"/>
      <c r="O53" s="557"/>
      <c r="P53" s="557"/>
      <c r="Q53" s="557"/>
      <c r="R53" s="557"/>
      <c r="S53" s="557"/>
      <c r="T53" s="557"/>
      <c r="U53" s="557"/>
      <c r="V53" s="557"/>
      <c r="W53" s="558"/>
      <c r="X53" s="558"/>
      <c r="Y53" s="558"/>
      <c r="Z53" s="558"/>
      <c r="AA53" s="558"/>
      <c r="AB53" s="558"/>
    </row>
    <row r="54" customFormat="false" ht="11.25" hidden="false" customHeight="false" outlineLevel="0" collapsed="false">
      <c r="A54" s="557"/>
      <c r="B54" s="557"/>
      <c r="C54" s="557"/>
      <c r="D54" s="557"/>
      <c r="E54" s="557"/>
      <c r="F54" s="557"/>
      <c r="G54" s="557"/>
      <c r="H54" s="557"/>
      <c r="I54" s="557"/>
      <c r="J54" s="557"/>
      <c r="K54" s="557"/>
      <c r="L54" s="557"/>
      <c r="M54" s="557"/>
      <c r="N54" s="557"/>
      <c r="O54" s="557"/>
      <c r="P54" s="557"/>
      <c r="Q54" s="557"/>
      <c r="R54" s="557"/>
      <c r="S54" s="557"/>
      <c r="T54" s="557"/>
      <c r="U54" s="557"/>
      <c r="V54" s="557"/>
      <c r="W54" s="558"/>
      <c r="X54" s="558"/>
      <c r="Y54" s="558"/>
      <c r="Z54" s="558"/>
      <c r="AA54" s="558"/>
      <c r="AB54" s="558"/>
    </row>
  </sheetData>
  <printOptions headings="false" gridLines="false" gridLinesSet="true" horizontalCentered="false" verticalCentered="false"/>
  <pageMargins left="0.747916666666667" right="0.747916666666667" top="0.984027777777778" bottom="0.984027777777778" header="0.511811023622047" footer="0.5"/>
  <pageSetup paperSize="5" scale="100" fitToWidth="1" fitToHeight="1" pageOrder="downThenOver" orientation="landscape" blackAndWhite="false" draft="false" cellComments="none" horizontalDpi="300" verticalDpi="300" copies="1"/>
  <headerFooter differentFirst="false" differentOddEven="false">
    <oddHeader/>
    <oddFooter>&amp;L&amp;D
&amp;T&amp;R&amp;F
&amp;A 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6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28125" defaultRowHeight="11.25" customHeight="true" zeroHeight="false" outlineLevelRow="0" outlineLevelCol="0"/>
  <cols>
    <col collapsed="false" customWidth="true" hidden="false" outlineLevel="0" max="1" min="1" style="1" width="21.28"/>
    <col collapsed="false" customWidth="true" hidden="false" outlineLevel="0" max="2" min="2" style="1" width="13.99"/>
    <col collapsed="false" customWidth="true" hidden="false" outlineLevel="0" max="3" min="3" style="1" width="3.42"/>
    <col collapsed="false" customWidth="false" hidden="false" outlineLevel="0" max="30" min="4" style="1" width="9.28"/>
    <col collapsed="false" customWidth="false" hidden="false" outlineLevel="0" max="257" min="31" style="2" width="9.28"/>
  </cols>
  <sheetData>
    <row r="1" customFormat="false" ht="21.75" hidden="false" customHeight="true" outlineLevel="0" collapsed="false">
      <c r="A1" s="368" t="str">
        <f aca="false">'Project Assumptions'!$A$2</f>
        <v>CALEDONIA, Lowndes County, MS</v>
      </c>
      <c r="B1" s="861"/>
      <c r="C1" s="778"/>
      <c r="D1" s="779"/>
      <c r="AC1" s="329"/>
      <c r="AD1" s="385"/>
    </row>
    <row r="2" customFormat="false" ht="15.6" hidden="false" customHeight="true" outlineLevel="0" collapsed="false">
      <c r="A2" s="371" t="s">
        <v>609</v>
      </c>
      <c r="B2" s="780"/>
      <c r="C2" s="780"/>
      <c r="D2" s="862"/>
      <c r="E2" s="450"/>
      <c r="F2" s="450"/>
      <c r="G2" s="450"/>
      <c r="H2" s="450"/>
      <c r="I2" s="450"/>
      <c r="J2" s="450"/>
      <c r="K2" s="329"/>
      <c r="L2" s="450"/>
      <c r="M2" s="450"/>
      <c r="N2" s="450"/>
      <c r="O2" s="450"/>
      <c r="P2" s="450"/>
      <c r="Q2" s="329"/>
      <c r="R2" s="450"/>
      <c r="S2" s="450"/>
      <c r="T2" s="450"/>
      <c r="U2" s="450"/>
      <c r="V2" s="450"/>
      <c r="W2" s="329"/>
      <c r="X2" s="450"/>
      <c r="Y2" s="450"/>
      <c r="Z2" s="450"/>
      <c r="AA2" s="450"/>
      <c r="AB2" s="450"/>
      <c r="AC2" s="329"/>
      <c r="AD2" s="385"/>
    </row>
    <row r="3" customFormat="false" ht="12.6" hidden="false" customHeight="true" outlineLevel="0" collapsed="false">
      <c r="A3" s="496"/>
      <c r="B3" s="5"/>
      <c r="C3" s="450"/>
      <c r="D3" s="450" t="n">
        <v>1</v>
      </c>
      <c r="E3" s="450" t="n">
        <f aca="false">D3+1</f>
        <v>2</v>
      </c>
      <c r="F3" s="450" t="n">
        <f aca="false">E3+1</f>
        <v>3</v>
      </c>
      <c r="G3" s="450" t="n">
        <f aca="false">F3+1</f>
        <v>4</v>
      </c>
      <c r="H3" s="450" t="n">
        <f aca="false">G3+1</f>
        <v>5</v>
      </c>
      <c r="I3" s="329" t="n">
        <f aca="false">H3+1</f>
        <v>6</v>
      </c>
      <c r="J3" s="450" t="n">
        <f aca="false">I3+1</f>
        <v>7</v>
      </c>
      <c r="K3" s="450" t="n">
        <f aca="false">J3+1</f>
        <v>8</v>
      </c>
      <c r="L3" s="450" t="n">
        <f aca="false">K3+1</f>
        <v>9</v>
      </c>
      <c r="M3" s="450" t="n">
        <f aca="false">L3+1</f>
        <v>10</v>
      </c>
      <c r="N3" s="450" t="n">
        <f aca="false">M3+1</f>
        <v>11</v>
      </c>
      <c r="O3" s="329" t="n">
        <f aca="false">N3+1</f>
        <v>12</v>
      </c>
      <c r="P3" s="450" t="n">
        <f aca="false">O3+1</f>
        <v>13</v>
      </c>
      <c r="Q3" s="450" t="n">
        <f aca="false">P3+1</f>
        <v>14</v>
      </c>
      <c r="R3" s="450" t="n">
        <f aca="false">Q3+1</f>
        <v>15</v>
      </c>
      <c r="S3" s="450" t="n">
        <f aca="false">R3+1</f>
        <v>16</v>
      </c>
      <c r="T3" s="450" t="n">
        <f aca="false">S3+1</f>
        <v>17</v>
      </c>
      <c r="U3" s="329" t="n">
        <f aca="false">T3+1</f>
        <v>18</v>
      </c>
      <c r="V3" s="450" t="n">
        <f aca="false">U3+1</f>
        <v>19</v>
      </c>
      <c r="W3" s="450" t="n">
        <f aca="false">V3+1</f>
        <v>20</v>
      </c>
      <c r="X3" s="450" t="n">
        <f aca="false">W3+1</f>
        <v>21</v>
      </c>
      <c r="Y3" s="450" t="n">
        <f aca="false">X3+1</f>
        <v>22</v>
      </c>
      <c r="Z3" s="450" t="n">
        <f aca="false">Y3+1</f>
        <v>23</v>
      </c>
      <c r="AA3" s="329" t="n">
        <f aca="false">Z3+1</f>
        <v>24</v>
      </c>
      <c r="AB3" s="450" t="n">
        <f aca="false">AA3+1</f>
        <v>25</v>
      </c>
      <c r="AC3" s="782"/>
      <c r="AD3" s="5"/>
      <c r="AE3" s="691"/>
      <c r="AF3" s="691"/>
      <c r="AG3" s="691"/>
      <c r="AH3" s="691"/>
      <c r="AI3" s="691"/>
      <c r="AJ3" s="691"/>
      <c r="AK3" s="691"/>
      <c r="AL3" s="691"/>
      <c r="AM3" s="691"/>
      <c r="AN3" s="691"/>
      <c r="AO3" s="691"/>
      <c r="AP3" s="691"/>
      <c r="AQ3" s="691"/>
      <c r="AR3" s="691"/>
      <c r="AS3" s="691"/>
      <c r="AT3" s="691"/>
      <c r="AU3" s="691"/>
      <c r="AV3" s="691"/>
      <c r="AW3" s="691"/>
      <c r="AX3" s="691"/>
      <c r="AY3" s="691"/>
      <c r="AZ3" s="691"/>
      <c r="BA3" s="691"/>
      <c r="BB3" s="691"/>
      <c r="BC3" s="691"/>
      <c r="BD3" s="691"/>
      <c r="BE3" s="691"/>
      <c r="BF3" s="691"/>
      <c r="BG3" s="691"/>
      <c r="BH3" s="691"/>
      <c r="BI3" s="691"/>
      <c r="BJ3" s="691"/>
      <c r="BK3" s="691"/>
      <c r="BL3" s="691"/>
      <c r="BM3" s="691"/>
      <c r="BN3" s="691"/>
      <c r="BO3" s="691"/>
      <c r="BP3" s="691"/>
      <c r="BQ3" s="691"/>
      <c r="BR3" s="691"/>
      <c r="BS3" s="691"/>
      <c r="BT3" s="691"/>
      <c r="BU3" s="691"/>
      <c r="BV3" s="691"/>
      <c r="BW3" s="691"/>
      <c r="BX3" s="691"/>
      <c r="BY3" s="691"/>
      <c r="BZ3" s="691"/>
      <c r="CA3" s="691"/>
      <c r="CB3" s="691"/>
      <c r="CC3" s="691"/>
      <c r="CD3" s="691"/>
      <c r="CE3" s="691"/>
      <c r="CF3" s="691"/>
      <c r="CG3" s="691"/>
      <c r="CH3" s="691"/>
      <c r="CI3" s="691"/>
      <c r="CJ3" s="691"/>
      <c r="CK3" s="691"/>
      <c r="CL3" s="691"/>
      <c r="CM3" s="691"/>
      <c r="CN3" s="691"/>
      <c r="CO3" s="691"/>
      <c r="CP3" s="691"/>
      <c r="CQ3" s="691"/>
      <c r="CR3" s="691"/>
      <c r="CS3" s="691"/>
      <c r="CT3" s="691"/>
      <c r="CU3" s="691"/>
      <c r="CV3" s="691"/>
      <c r="CW3" s="691"/>
      <c r="CX3" s="691"/>
      <c r="CY3" s="691"/>
      <c r="CZ3" s="691"/>
      <c r="DA3" s="691"/>
      <c r="DB3" s="691"/>
      <c r="DC3" s="691"/>
      <c r="DD3" s="691"/>
      <c r="DE3" s="691"/>
      <c r="DF3" s="691"/>
      <c r="DG3" s="691"/>
      <c r="DH3" s="691"/>
      <c r="DI3" s="691"/>
      <c r="DJ3" s="691"/>
      <c r="DK3" s="691"/>
      <c r="DL3" s="691"/>
      <c r="DM3" s="691"/>
      <c r="DN3" s="691"/>
      <c r="DO3" s="691"/>
      <c r="DP3" s="691"/>
      <c r="DQ3" s="691"/>
      <c r="DR3" s="691"/>
      <c r="DS3" s="691"/>
      <c r="DT3" s="691"/>
      <c r="DU3" s="691"/>
      <c r="DV3" s="691"/>
      <c r="DW3" s="691"/>
      <c r="DX3" s="691"/>
      <c r="DY3" s="691"/>
      <c r="DZ3" s="691"/>
      <c r="EA3" s="691"/>
      <c r="EB3" s="691"/>
      <c r="EC3" s="691"/>
      <c r="ED3" s="691"/>
      <c r="EE3" s="691"/>
      <c r="EF3" s="691"/>
      <c r="EG3" s="691"/>
      <c r="EH3" s="691"/>
      <c r="EI3" s="691"/>
      <c r="EJ3" s="691"/>
      <c r="EK3" s="691"/>
      <c r="EL3" s="691"/>
      <c r="EM3" s="691"/>
      <c r="EN3" s="691"/>
      <c r="EO3" s="691"/>
      <c r="EP3" s="691"/>
      <c r="EQ3" s="691"/>
      <c r="ER3" s="691"/>
      <c r="ES3" s="691"/>
      <c r="ET3" s="691"/>
      <c r="EU3" s="691"/>
      <c r="EV3" s="691"/>
      <c r="EW3" s="691"/>
      <c r="EX3" s="691"/>
      <c r="EY3" s="691"/>
      <c r="EZ3" s="691"/>
      <c r="FA3" s="691"/>
      <c r="FB3" s="691"/>
      <c r="FC3" s="691"/>
      <c r="FD3" s="691"/>
      <c r="FE3" s="691"/>
      <c r="FF3" s="691"/>
      <c r="FG3" s="691"/>
      <c r="FH3" s="691"/>
      <c r="FI3" s="691"/>
      <c r="FJ3" s="691"/>
      <c r="FK3" s="691"/>
      <c r="FL3" s="691"/>
      <c r="FM3" s="691"/>
      <c r="FN3" s="691"/>
      <c r="FO3" s="691"/>
      <c r="FP3" s="691"/>
      <c r="FQ3" s="691"/>
      <c r="FR3" s="691"/>
      <c r="FS3" s="691"/>
      <c r="FT3" s="691"/>
      <c r="FU3" s="691"/>
      <c r="FV3" s="691"/>
      <c r="FW3" s="691"/>
      <c r="FX3" s="691"/>
      <c r="FY3" s="691"/>
      <c r="FZ3" s="691"/>
      <c r="GA3" s="691"/>
      <c r="GB3" s="691"/>
      <c r="GC3" s="691"/>
      <c r="GD3" s="691"/>
      <c r="GE3" s="691"/>
      <c r="GF3" s="691"/>
      <c r="GG3" s="691"/>
      <c r="GH3" s="691"/>
      <c r="GI3" s="691"/>
      <c r="GJ3" s="691"/>
      <c r="GK3" s="691"/>
      <c r="GL3" s="691"/>
      <c r="GM3" s="691"/>
      <c r="GN3" s="691"/>
      <c r="GO3" s="691"/>
      <c r="GP3" s="691"/>
      <c r="GQ3" s="691"/>
      <c r="GR3" s="691"/>
      <c r="GS3" s="691"/>
      <c r="GT3" s="691"/>
      <c r="GU3" s="691"/>
      <c r="GV3" s="691"/>
      <c r="GW3" s="691"/>
      <c r="GX3" s="691"/>
      <c r="GY3" s="691"/>
      <c r="GZ3" s="691"/>
      <c r="HA3" s="691"/>
      <c r="HB3" s="691"/>
      <c r="HC3" s="691"/>
      <c r="HD3" s="691"/>
      <c r="HE3" s="691"/>
      <c r="HF3" s="691"/>
      <c r="HG3" s="691"/>
      <c r="HH3" s="691"/>
      <c r="HI3" s="691"/>
      <c r="HJ3" s="691"/>
      <c r="HK3" s="691"/>
      <c r="HL3" s="691"/>
      <c r="HM3" s="691"/>
      <c r="HN3" s="691"/>
      <c r="HO3" s="691"/>
      <c r="HP3" s="691"/>
      <c r="HQ3" s="691"/>
      <c r="HR3" s="691"/>
      <c r="HS3" s="691"/>
      <c r="HT3" s="691"/>
      <c r="HU3" s="691"/>
      <c r="HV3" s="691"/>
      <c r="HW3" s="691"/>
      <c r="HX3" s="691"/>
      <c r="HY3" s="691"/>
      <c r="HZ3" s="691"/>
      <c r="IA3" s="691"/>
      <c r="IB3" s="691"/>
      <c r="IC3" s="691"/>
      <c r="ID3" s="691"/>
      <c r="IE3" s="691"/>
      <c r="IF3" s="691"/>
      <c r="IG3" s="691"/>
      <c r="IH3" s="691"/>
      <c r="II3" s="691"/>
      <c r="IJ3" s="691"/>
      <c r="IK3" s="691"/>
      <c r="IL3" s="691"/>
      <c r="IM3" s="691"/>
      <c r="IN3" s="691"/>
      <c r="IO3" s="691"/>
      <c r="IP3" s="691"/>
      <c r="IQ3" s="691"/>
      <c r="IR3" s="691"/>
      <c r="IS3" s="691"/>
      <c r="IT3" s="691"/>
      <c r="IU3" s="691"/>
      <c r="IV3" s="691"/>
      <c r="IW3" s="691"/>
    </row>
    <row r="4" customFormat="false" ht="12.6" hidden="false" customHeight="true" outlineLevel="0" collapsed="false">
      <c r="A4" s="499"/>
      <c r="B4" s="500"/>
      <c r="C4" s="501"/>
      <c r="D4" s="381" t="n">
        <f aca="false">YEAR('Project Assumptions'!I17)</f>
        <v>1999</v>
      </c>
      <c r="E4" s="381" t="n">
        <f aca="false">D4+1</f>
        <v>2000</v>
      </c>
      <c r="F4" s="381" t="n">
        <f aca="false">E4+1</f>
        <v>2001</v>
      </c>
      <c r="G4" s="381" t="n">
        <f aca="false">F4+1</f>
        <v>2002</v>
      </c>
      <c r="H4" s="381" t="n">
        <f aca="false">G4+1</f>
        <v>2003</v>
      </c>
      <c r="I4" s="381" t="n">
        <f aca="false">H4+1</f>
        <v>2004</v>
      </c>
      <c r="J4" s="381" t="n">
        <f aca="false">I4+1</f>
        <v>2005</v>
      </c>
      <c r="K4" s="381" t="n">
        <f aca="false">J4+1</f>
        <v>2006</v>
      </c>
      <c r="L4" s="381" t="n">
        <f aca="false">K4+1</f>
        <v>2007</v>
      </c>
      <c r="M4" s="381" t="n">
        <f aca="false">L4+1</f>
        <v>2008</v>
      </c>
      <c r="N4" s="381" t="n">
        <f aca="false">M4+1</f>
        <v>2009</v>
      </c>
      <c r="O4" s="381" t="n">
        <f aca="false">N4+1</f>
        <v>2010</v>
      </c>
      <c r="P4" s="381" t="n">
        <f aca="false">O4+1</f>
        <v>2011</v>
      </c>
      <c r="Q4" s="381" t="n">
        <f aca="false">P4+1</f>
        <v>2012</v>
      </c>
      <c r="R4" s="381" t="n">
        <f aca="false">Q4+1</f>
        <v>2013</v>
      </c>
      <c r="S4" s="381" t="n">
        <f aca="false">R4+1</f>
        <v>2014</v>
      </c>
      <c r="T4" s="381" t="n">
        <f aca="false">S4+1</f>
        <v>2015</v>
      </c>
      <c r="U4" s="381" t="n">
        <f aca="false">T4+1</f>
        <v>2016</v>
      </c>
      <c r="V4" s="381" t="n">
        <f aca="false">U4+1</f>
        <v>2017</v>
      </c>
      <c r="W4" s="381" t="n">
        <f aca="false">V4+1</f>
        <v>2018</v>
      </c>
      <c r="X4" s="381" t="n">
        <f aca="false">W4+1</f>
        <v>2019</v>
      </c>
      <c r="Y4" s="381" t="n">
        <f aca="false">X4+1</f>
        <v>2020</v>
      </c>
      <c r="Z4" s="381" t="n">
        <f aca="false">Y4+1</f>
        <v>2021</v>
      </c>
      <c r="AA4" s="381" t="n">
        <f aca="false">Z4+1</f>
        <v>2022</v>
      </c>
      <c r="AB4" s="382" t="n">
        <f aca="false">AA4+1</f>
        <v>2023</v>
      </c>
      <c r="AC4" s="383"/>
      <c r="AD4" s="5"/>
      <c r="AE4" s="503"/>
      <c r="AF4" s="503"/>
      <c r="AG4" s="503"/>
      <c r="AH4" s="503"/>
      <c r="AI4" s="503"/>
      <c r="AJ4" s="503"/>
      <c r="AK4" s="503"/>
      <c r="AL4" s="503"/>
      <c r="AM4" s="503"/>
      <c r="AN4" s="503"/>
      <c r="AO4" s="503"/>
      <c r="AP4" s="503"/>
      <c r="AQ4" s="503"/>
      <c r="AR4" s="503"/>
      <c r="AS4" s="503"/>
      <c r="AT4" s="503"/>
      <c r="AU4" s="503"/>
      <c r="AV4" s="503"/>
      <c r="AW4" s="503"/>
      <c r="AX4" s="503"/>
      <c r="AY4" s="503"/>
      <c r="AZ4" s="503"/>
      <c r="BA4" s="691"/>
      <c r="BB4" s="691"/>
      <c r="BC4" s="691"/>
      <c r="BD4" s="691"/>
      <c r="BE4" s="691"/>
      <c r="BF4" s="691"/>
      <c r="BG4" s="691"/>
      <c r="BH4" s="691"/>
      <c r="BI4" s="691"/>
      <c r="BJ4" s="691"/>
      <c r="BK4" s="691"/>
      <c r="BL4" s="691"/>
      <c r="BM4" s="691"/>
      <c r="BN4" s="691"/>
      <c r="BO4" s="691"/>
      <c r="BP4" s="691"/>
      <c r="BQ4" s="691"/>
      <c r="BR4" s="691"/>
      <c r="BS4" s="691"/>
      <c r="BT4" s="691"/>
      <c r="BU4" s="691"/>
      <c r="BV4" s="691"/>
      <c r="BW4" s="691"/>
      <c r="BX4" s="691"/>
      <c r="BY4" s="691"/>
      <c r="BZ4" s="691"/>
      <c r="CA4" s="691"/>
      <c r="CB4" s="691"/>
      <c r="CC4" s="691"/>
      <c r="CD4" s="691"/>
      <c r="CE4" s="691"/>
      <c r="CF4" s="691"/>
      <c r="CG4" s="691"/>
      <c r="CH4" s="691"/>
      <c r="CI4" s="691"/>
      <c r="CJ4" s="691"/>
      <c r="CK4" s="691"/>
      <c r="CL4" s="691"/>
      <c r="CM4" s="691"/>
      <c r="CN4" s="691"/>
      <c r="CO4" s="691"/>
      <c r="CP4" s="691"/>
      <c r="CQ4" s="691"/>
      <c r="CR4" s="691"/>
      <c r="CS4" s="691"/>
      <c r="CT4" s="691"/>
      <c r="CU4" s="691"/>
      <c r="CV4" s="691"/>
      <c r="CW4" s="691"/>
      <c r="CX4" s="691"/>
      <c r="CY4" s="691"/>
      <c r="CZ4" s="691"/>
      <c r="DA4" s="691"/>
      <c r="DB4" s="691"/>
      <c r="DC4" s="691"/>
      <c r="DD4" s="691"/>
      <c r="DE4" s="691"/>
      <c r="DF4" s="691"/>
      <c r="DG4" s="691"/>
      <c r="DH4" s="691"/>
      <c r="DI4" s="691"/>
      <c r="DJ4" s="691"/>
      <c r="DK4" s="691"/>
      <c r="DL4" s="691"/>
      <c r="DM4" s="691"/>
      <c r="DN4" s="691"/>
      <c r="DO4" s="691"/>
      <c r="DP4" s="691"/>
      <c r="DQ4" s="691"/>
      <c r="DR4" s="691"/>
      <c r="DS4" s="691"/>
      <c r="DT4" s="691"/>
      <c r="DU4" s="691"/>
      <c r="DV4" s="691"/>
      <c r="DW4" s="691"/>
      <c r="DX4" s="691"/>
      <c r="DY4" s="691"/>
      <c r="DZ4" s="691"/>
      <c r="EA4" s="691"/>
      <c r="EB4" s="691"/>
      <c r="EC4" s="691"/>
      <c r="ED4" s="691"/>
      <c r="EE4" s="691"/>
      <c r="EF4" s="691"/>
      <c r="EG4" s="691"/>
      <c r="EH4" s="691"/>
      <c r="EI4" s="691"/>
      <c r="EJ4" s="691"/>
      <c r="EK4" s="691"/>
      <c r="EL4" s="691"/>
      <c r="EM4" s="691"/>
      <c r="EN4" s="691"/>
      <c r="EO4" s="691"/>
      <c r="EP4" s="691"/>
      <c r="EQ4" s="691"/>
      <c r="ER4" s="691"/>
      <c r="ES4" s="691"/>
      <c r="ET4" s="691"/>
      <c r="EU4" s="691"/>
      <c r="EV4" s="691"/>
      <c r="EW4" s="691"/>
      <c r="EX4" s="691"/>
      <c r="EY4" s="691"/>
      <c r="EZ4" s="691"/>
      <c r="FA4" s="691"/>
      <c r="FB4" s="691"/>
      <c r="FC4" s="691"/>
      <c r="FD4" s="691"/>
      <c r="FE4" s="691"/>
      <c r="FF4" s="691"/>
      <c r="FG4" s="691"/>
      <c r="FH4" s="691"/>
      <c r="FI4" s="691"/>
      <c r="FJ4" s="691"/>
      <c r="FK4" s="691"/>
      <c r="FL4" s="691"/>
      <c r="FM4" s="691"/>
      <c r="FN4" s="691"/>
      <c r="FO4" s="691"/>
      <c r="FP4" s="691"/>
      <c r="FQ4" s="691"/>
      <c r="FR4" s="691"/>
      <c r="FS4" s="691"/>
      <c r="FT4" s="691"/>
      <c r="FU4" s="691"/>
      <c r="FV4" s="691"/>
      <c r="FW4" s="691"/>
      <c r="FX4" s="691"/>
      <c r="FY4" s="691"/>
      <c r="FZ4" s="691"/>
      <c r="GA4" s="691"/>
      <c r="GB4" s="691"/>
      <c r="GC4" s="691"/>
      <c r="GD4" s="691"/>
      <c r="GE4" s="691"/>
      <c r="GF4" s="691"/>
      <c r="GG4" s="691"/>
      <c r="GH4" s="691"/>
      <c r="GI4" s="691"/>
      <c r="GJ4" s="691"/>
      <c r="GK4" s="691"/>
      <c r="GL4" s="691"/>
      <c r="GM4" s="691"/>
      <c r="GN4" s="691"/>
      <c r="GO4" s="691"/>
      <c r="GP4" s="691"/>
      <c r="GQ4" s="691"/>
      <c r="GR4" s="691"/>
      <c r="GS4" s="691"/>
      <c r="GT4" s="691"/>
      <c r="GU4" s="691"/>
      <c r="GV4" s="691"/>
      <c r="GW4" s="691"/>
      <c r="GX4" s="691"/>
      <c r="GY4" s="691"/>
      <c r="GZ4" s="691"/>
      <c r="HA4" s="691"/>
      <c r="HB4" s="691"/>
      <c r="HC4" s="691"/>
      <c r="HD4" s="691"/>
      <c r="HE4" s="691"/>
      <c r="HF4" s="691"/>
      <c r="HG4" s="691"/>
      <c r="HH4" s="691"/>
      <c r="HI4" s="691"/>
      <c r="HJ4" s="691"/>
      <c r="HK4" s="691"/>
      <c r="HL4" s="691"/>
      <c r="HM4" s="691"/>
      <c r="HN4" s="691"/>
      <c r="HO4" s="691"/>
      <c r="HP4" s="691"/>
      <c r="HQ4" s="691"/>
      <c r="HR4" s="691"/>
      <c r="HS4" s="691"/>
      <c r="HT4" s="691"/>
      <c r="HU4" s="691"/>
      <c r="HV4" s="691"/>
      <c r="HW4" s="691"/>
      <c r="HX4" s="691"/>
      <c r="HY4" s="691"/>
      <c r="HZ4" s="691"/>
      <c r="IA4" s="691"/>
      <c r="IB4" s="691"/>
      <c r="IC4" s="691"/>
      <c r="ID4" s="691"/>
      <c r="IE4" s="691"/>
      <c r="IF4" s="691"/>
      <c r="IG4" s="691"/>
      <c r="IH4" s="691"/>
      <c r="II4" s="691"/>
      <c r="IJ4" s="691"/>
      <c r="IK4" s="691"/>
      <c r="IL4" s="691"/>
      <c r="IM4" s="691"/>
      <c r="IN4" s="691"/>
      <c r="IO4" s="691"/>
      <c r="IP4" s="691"/>
      <c r="IQ4" s="691"/>
      <c r="IR4" s="691"/>
      <c r="IS4" s="691"/>
      <c r="IT4" s="691"/>
      <c r="IU4" s="691"/>
      <c r="IV4" s="691"/>
      <c r="IW4" s="691"/>
    </row>
    <row r="5" customFormat="false" ht="12" hidden="false" customHeight="true" outlineLevel="0" collapsed="false">
      <c r="A5" s="863" t="s">
        <v>610</v>
      </c>
      <c r="B5" s="385"/>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416"/>
      <c r="AC5" s="385"/>
      <c r="AD5" s="385"/>
    </row>
    <row r="6" customFormat="false" ht="12" hidden="false" customHeight="true" outlineLevel="0" collapsed="false">
      <c r="A6" s="863"/>
      <c r="B6" s="385"/>
      <c r="C6" s="385"/>
      <c r="D6" s="385"/>
      <c r="E6" s="385"/>
      <c r="F6" s="385"/>
      <c r="G6" s="385"/>
      <c r="H6" s="385"/>
      <c r="I6" s="385"/>
      <c r="J6" s="385"/>
      <c r="K6" s="385"/>
      <c r="L6" s="385"/>
      <c r="M6" s="385"/>
      <c r="N6" s="385"/>
      <c r="O6" s="385"/>
      <c r="P6" s="385"/>
      <c r="Q6" s="385"/>
      <c r="R6" s="385"/>
      <c r="S6" s="385"/>
      <c r="T6" s="385"/>
      <c r="U6" s="385"/>
      <c r="V6" s="385"/>
      <c r="W6" s="385"/>
      <c r="X6" s="385"/>
      <c r="Y6" s="385"/>
      <c r="Z6" s="385"/>
      <c r="AA6" s="385"/>
      <c r="AB6" s="416"/>
      <c r="AC6" s="385"/>
      <c r="AD6" s="385"/>
    </row>
    <row r="7" customFormat="false" ht="12" hidden="false" customHeight="true" outlineLevel="0" collapsed="false">
      <c r="A7" s="864" t="s">
        <v>611</v>
      </c>
      <c r="B7" s="385"/>
      <c r="C7" s="385"/>
      <c r="D7" s="43"/>
      <c r="E7" s="43"/>
      <c r="F7" s="43"/>
      <c r="G7" s="43"/>
      <c r="H7" s="43"/>
      <c r="I7" s="43"/>
      <c r="J7" s="43"/>
      <c r="K7" s="43"/>
      <c r="L7" s="43"/>
      <c r="M7" s="43"/>
      <c r="N7" s="43"/>
      <c r="O7" s="43"/>
      <c r="P7" s="43"/>
      <c r="Q7" s="43"/>
      <c r="R7" s="43"/>
      <c r="S7" s="43"/>
      <c r="T7" s="43"/>
      <c r="U7" s="43"/>
      <c r="V7" s="43"/>
      <c r="W7" s="43"/>
      <c r="X7" s="438"/>
      <c r="Y7" s="438"/>
      <c r="Z7" s="438"/>
      <c r="AA7" s="438"/>
      <c r="AB7" s="439"/>
      <c r="AC7" s="385"/>
      <c r="AD7" s="385"/>
      <c r="AE7" s="865"/>
      <c r="AF7" s="865"/>
      <c r="AG7" s="865"/>
      <c r="AH7" s="865"/>
      <c r="AI7" s="865"/>
      <c r="AJ7" s="865"/>
      <c r="AK7" s="865"/>
      <c r="AL7" s="865"/>
      <c r="AM7" s="865"/>
      <c r="AN7" s="865"/>
      <c r="AO7" s="865"/>
      <c r="AP7" s="865"/>
      <c r="AQ7" s="865"/>
      <c r="AR7" s="865"/>
      <c r="AS7" s="865"/>
      <c r="AT7" s="865"/>
      <c r="AU7" s="865"/>
      <c r="AV7" s="865"/>
      <c r="AW7" s="865"/>
      <c r="AX7" s="865"/>
      <c r="AY7" s="865"/>
      <c r="AZ7" s="865"/>
      <c r="BA7" s="865"/>
      <c r="BB7" s="865"/>
      <c r="BC7" s="865"/>
      <c r="BD7" s="865"/>
      <c r="BE7" s="865"/>
      <c r="BF7" s="865"/>
      <c r="BG7" s="865"/>
      <c r="BH7" s="865"/>
      <c r="BI7" s="865"/>
      <c r="BJ7" s="865"/>
      <c r="BK7" s="865"/>
      <c r="BL7" s="865"/>
      <c r="BM7" s="865"/>
      <c r="BN7" s="865"/>
      <c r="BO7" s="865"/>
      <c r="BP7" s="865"/>
      <c r="BQ7" s="865"/>
      <c r="BR7" s="865"/>
      <c r="BS7" s="865"/>
      <c r="BT7" s="865"/>
      <c r="BU7" s="865"/>
      <c r="BV7" s="865"/>
      <c r="BW7" s="865"/>
      <c r="BX7" s="865"/>
      <c r="BY7" s="865"/>
      <c r="BZ7" s="865"/>
      <c r="CA7" s="865"/>
      <c r="CB7" s="865"/>
      <c r="CC7" s="865"/>
      <c r="CD7" s="865"/>
      <c r="CE7" s="865"/>
      <c r="CF7" s="865"/>
      <c r="CG7" s="865"/>
      <c r="CH7" s="865"/>
      <c r="CI7" s="865"/>
      <c r="CJ7" s="865"/>
      <c r="CK7" s="865"/>
      <c r="CL7" s="865"/>
      <c r="CM7" s="865"/>
      <c r="CN7" s="865"/>
      <c r="CO7" s="865"/>
      <c r="CP7" s="865"/>
      <c r="CQ7" s="865"/>
      <c r="CR7" s="865"/>
      <c r="CS7" s="865"/>
      <c r="CT7" s="865"/>
      <c r="CU7" s="865"/>
      <c r="CV7" s="865"/>
      <c r="CW7" s="865"/>
      <c r="CX7" s="865"/>
      <c r="CY7" s="865"/>
      <c r="CZ7" s="865"/>
      <c r="DA7" s="865"/>
      <c r="DB7" s="865"/>
      <c r="DC7" s="865"/>
      <c r="DD7" s="865"/>
      <c r="DE7" s="865"/>
      <c r="DF7" s="865"/>
      <c r="DG7" s="865"/>
      <c r="DH7" s="865"/>
      <c r="DI7" s="865"/>
      <c r="DJ7" s="865"/>
      <c r="DK7" s="865"/>
      <c r="DL7" s="865"/>
      <c r="DM7" s="865"/>
      <c r="DN7" s="865"/>
      <c r="DO7" s="865"/>
      <c r="DP7" s="865"/>
      <c r="DQ7" s="865"/>
      <c r="DR7" s="865"/>
      <c r="DS7" s="865"/>
      <c r="DT7" s="865"/>
      <c r="DU7" s="865"/>
      <c r="DV7" s="865"/>
      <c r="DW7" s="865"/>
      <c r="DX7" s="865"/>
      <c r="DY7" s="865"/>
      <c r="DZ7" s="865"/>
      <c r="EA7" s="865"/>
      <c r="EB7" s="865"/>
      <c r="EC7" s="865"/>
      <c r="ED7" s="865"/>
      <c r="EE7" s="865"/>
      <c r="EF7" s="865"/>
      <c r="EG7" s="865"/>
      <c r="EH7" s="865"/>
      <c r="EI7" s="865"/>
      <c r="EJ7" s="865"/>
      <c r="EK7" s="865"/>
      <c r="EL7" s="865"/>
      <c r="EM7" s="865"/>
      <c r="EN7" s="865"/>
      <c r="EO7" s="865"/>
      <c r="EP7" s="865"/>
      <c r="EQ7" s="865"/>
      <c r="ER7" s="865"/>
      <c r="ES7" s="865"/>
      <c r="ET7" s="865"/>
      <c r="EU7" s="865"/>
      <c r="EV7" s="865"/>
      <c r="EW7" s="865"/>
      <c r="EX7" s="865"/>
      <c r="EY7" s="865"/>
      <c r="EZ7" s="865"/>
      <c r="FA7" s="865"/>
      <c r="FB7" s="865"/>
      <c r="FC7" s="865"/>
      <c r="FD7" s="865"/>
      <c r="FE7" s="865"/>
      <c r="FF7" s="865"/>
      <c r="FG7" s="865"/>
      <c r="FH7" s="865"/>
      <c r="FI7" s="865"/>
      <c r="FJ7" s="865"/>
      <c r="FK7" s="865"/>
      <c r="FL7" s="865"/>
      <c r="FM7" s="865"/>
      <c r="FN7" s="865"/>
      <c r="FO7" s="865"/>
      <c r="FP7" s="865"/>
      <c r="FQ7" s="865"/>
      <c r="FR7" s="865"/>
      <c r="FS7" s="865"/>
      <c r="FT7" s="865"/>
      <c r="FU7" s="865"/>
      <c r="FV7" s="865"/>
      <c r="FW7" s="865"/>
      <c r="FX7" s="865"/>
      <c r="FY7" s="865"/>
      <c r="FZ7" s="865"/>
      <c r="GA7" s="865"/>
      <c r="GB7" s="865"/>
      <c r="GC7" s="865"/>
      <c r="GD7" s="865"/>
      <c r="GE7" s="865"/>
      <c r="GF7" s="865"/>
      <c r="GG7" s="865"/>
      <c r="GH7" s="865"/>
      <c r="GI7" s="865"/>
      <c r="GJ7" s="865"/>
      <c r="GK7" s="865"/>
      <c r="GL7" s="865"/>
      <c r="GM7" s="865"/>
      <c r="GN7" s="865"/>
      <c r="GO7" s="865"/>
      <c r="GP7" s="865"/>
      <c r="GQ7" s="865"/>
      <c r="GR7" s="865"/>
      <c r="GS7" s="865"/>
      <c r="GT7" s="865"/>
      <c r="GU7" s="865"/>
      <c r="GV7" s="865"/>
      <c r="GW7" s="865"/>
      <c r="GX7" s="865"/>
      <c r="GY7" s="865"/>
      <c r="GZ7" s="865"/>
      <c r="HA7" s="865"/>
      <c r="HB7" s="865"/>
      <c r="HC7" s="865"/>
      <c r="HD7" s="865"/>
      <c r="HE7" s="865"/>
      <c r="HF7" s="865"/>
      <c r="HG7" s="865"/>
      <c r="HH7" s="865"/>
      <c r="HI7" s="865"/>
      <c r="HJ7" s="865"/>
      <c r="HK7" s="865"/>
      <c r="HL7" s="865"/>
      <c r="HM7" s="865"/>
      <c r="HN7" s="865"/>
      <c r="HO7" s="865"/>
      <c r="HP7" s="865"/>
      <c r="HQ7" s="865"/>
      <c r="HR7" s="865"/>
      <c r="HS7" s="865"/>
      <c r="HT7" s="865"/>
      <c r="HU7" s="865"/>
      <c r="HV7" s="865"/>
      <c r="HW7" s="865"/>
      <c r="HX7" s="865"/>
      <c r="HY7" s="865"/>
      <c r="HZ7" s="865"/>
      <c r="IA7" s="865"/>
      <c r="IB7" s="865"/>
      <c r="IC7" s="865"/>
      <c r="ID7" s="865"/>
      <c r="IE7" s="865"/>
      <c r="IF7" s="865"/>
      <c r="IG7" s="865"/>
      <c r="IH7" s="865"/>
      <c r="II7" s="865"/>
      <c r="IJ7" s="865"/>
      <c r="IK7" s="865"/>
      <c r="IL7" s="865"/>
      <c r="IM7" s="865"/>
      <c r="IN7" s="865"/>
      <c r="IO7" s="865"/>
      <c r="IP7" s="865"/>
      <c r="IQ7" s="865"/>
      <c r="IR7" s="865"/>
      <c r="IS7" s="865"/>
      <c r="IT7" s="865"/>
      <c r="IU7" s="865"/>
      <c r="IV7" s="865"/>
      <c r="IW7" s="558"/>
    </row>
    <row r="8" customFormat="false" ht="12" hidden="false" customHeight="true" outlineLevel="0" collapsed="false">
      <c r="A8" s="791" t="s">
        <v>612</v>
      </c>
      <c r="B8" s="385"/>
      <c r="C8" s="385"/>
      <c r="D8" s="438" t="n">
        <f aca="false">BS!D45+BS!D46</f>
        <v>153807.115437086</v>
      </c>
      <c r="E8" s="438" t="n">
        <f aca="false">BS!E45+BS!E46</f>
        <v>148969.50927369</v>
      </c>
      <c r="F8" s="438" t="n">
        <f aca="false">BS!F45+BS!F46</f>
        <v>141438.599067678</v>
      </c>
      <c r="G8" s="438" t="n">
        <f aca="false">BS!G45+BS!G46</f>
        <v>133752.807894994</v>
      </c>
      <c r="H8" s="438" t="n">
        <f aca="false">BS!H45+BS!H46</f>
        <v>123665.28005424</v>
      </c>
      <c r="I8" s="438" t="n">
        <f aca="false">BS!I45+BS!I46</f>
        <v>112994.9287872</v>
      </c>
      <c r="J8" s="438" t="n">
        <f aca="false">BS!J45+BS!J46</f>
        <v>106655.268464808</v>
      </c>
      <c r="K8" s="438" t="n">
        <f aca="false">BS!K45+BS!K46</f>
        <v>100319.206673694</v>
      </c>
      <c r="L8" s="438" t="n">
        <f aca="false">BS!L45+BS!L46</f>
        <v>93988.7654593667</v>
      </c>
      <c r="M8" s="438" t="n">
        <f aca="false">BS!M45+BS!M46</f>
        <v>87652.7036682519</v>
      </c>
      <c r="N8" s="438" t="n">
        <f aca="false">BS!N45+BS!N46</f>
        <v>81327.8095619894</v>
      </c>
      <c r="O8" s="438" t="n">
        <f aca="false">BS!O45+BS!O46</f>
        <v>74198.5113176675</v>
      </c>
      <c r="P8" s="438" t="n">
        <f aca="false">BS!P45+BS!P46</f>
        <v>67934.6354001133</v>
      </c>
      <c r="Q8" s="438" t="n">
        <f aca="false">BS!Q45+BS!Q46</f>
        <v>61681.7802299642</v>
      </c>
      <c r="R8" s="438" t="n">
        <f aca="false">BS!R45+BS!R46</f>
        <v>55434.5456366032</v>
      </c>
      <c r="S8" s="438" t="n">
        <f aca="false">BS!S45+BS!S46</f>
        <v>50879.3471957021</v>
      </c>
      <c r="T8" s="438" t="n">
        <f aca="false">BS!T45+BS!T46</f>
        <v>48083.2040556473</v>
      </c>
      <c r="U8" s="438" t="n">
        <f aca="false">BS!U45+BS!U46</f>
        <v>45337.5534897857</v>
      </c>
      <c r="V8" s="438" t="n">
        <f aca="false">BS!V45+BS!V46</f>
        <v>42591.9029239241</v>
      </c>
      <c r="W8" s="438" t="n">
        <f aca="false">BS!W45+BS!W46</f>
        <v>39746.4044129036</v>
      </c>
      <c r="X8" s="438" t="n">
        <f aca="false">BS!X45+BS!X46</f>
        <v>36890.7449813869</v>
      </c>
      <c r="Y8" s="438" t="n">
        <f aca="false">BS!Y45+BS!Y46</f>
        <v>0</v>
      </c>
      <c r="Z8" s="438" t="n">
        <f aca="false">BS!Z45+BS!Z46</f>
        <v>0</v>
      </c>
      <c r="AA8" s="438" t="n">
        <f aca="false">BS!AA45+BS!AA46</f>
        <v>0</v>
      </c>
      <c r="AB8" s="439" t="n">
        <f aca="false">BS!AB45+BS!AB46</f>
        <v>0</v>
      </c>
      <c r="AC8" s="385"/>
      <c r="AD8" s="385"/>
      <c r="AE8" s="865"/>
      <c r="AF8" s="865"/>
      <c r="AG8" s="865"/>
      <c r="AH8" s="865"/>
      <c r="AI8" s="865"/>
      <c r="AJ8" s="865"/>
      <c r="AK8" s="865"/>
      <c r="AL8" s="865"/>
      <c r="AM8" s="865"/>
      <c r="AN8" s="865"/>
      <c r="AO8" s="865"/>
      <c r="AP8" s="865"/>
      <c r="AQ8" s="865"/>
      <c r="AR8" s="865"/>
      <c r="AS8" s="865"/>
      <c r="AT8" s="865"/>
      <c r="AU8" s="865"/>
      <c r="AV8" s="865"/>
      <c r="AW8" s="865"/>
      <c r="AX8" s="865"/>
      <c r="AY8" s="865"/>
      <c r="AZ8" s="865"/>
      <c r="BA8" s="865"/>
      <c r="BB8" s="865"/>
      <c r="BC8" s="865"/>
      <c r="BD8" s="865"/>
      <c r="BE8" s="865"/>
      <c r="BF8" s="865"/>
      <c r="BG8" s="865"/>
      <c r="BH8" s="865"/>
      <c r="BI8" s="865"/>
      <c r="BJ8" s="865"/>
      <c r="BK8" s="865"/>
      <c r="BL8" s="865"/>
      <c r="BM8" s="865"/>
      <c r="BN8" s="865"/>
      <c r="BO8" s="865"/>
      <c r="BP8" s="865"/>
      <c r="BQ8" s="865"/>
      <c r="BR8" s="865"/>
      <c r="BS8" s="865"/>
      <c r="BT8" s="865"/>
      <c r="BU8" s="865"/>
      <c r="BV8" s="865"/>
      <c r="BW8" s="865"/>
      <c r="BX8" s="865"/>
      <c r="BY8" s="865"/>
      <c r="BZ8" s="865"/>
      <c r="CA8" s="865"/>
      <c r="CB8" s="865"/>
      <c r="CC8" s="865"/>
      <c r="CD8" s="865"/>
      <c r="CE8" s="865"/>
      <c r="CF8" s="865"/>
      <c r="CG8" s="865"/>
      <c r="CH8" s="865"/>
      <c r="CI8" s="865"/>
      <c r="CJ8" s="865"/>
      <c r="CK8" s="865"/>
      <c r="CL8" s="865"/>
      <c r="CM8" s="865"/>
      <c r="CN8" s="865"/>
      <c r="CO8" s="865"/>
      <c r="CP8" s="865"/>
      <c r="CQ8" s="865"/>
      <c r="CR8" s="865"/>
      <c r="CS8" s="865"/>
      <c r="CT8" s="865"/>
      <c r="CU8" s="865"/>
      <c r="CV8" s="865"/>
      <c r="CW8" s="865"/>
      <c r="CX8" s="865"/>
      <c r="CY8" s="865"/>
      <c r="CZ8" s="865"/>
      <c r="DA8" s="865"/>
      <c r="DB8" s="865"/>
      <c r="DC8" s="865"/>
      <c r="DD8" s="865"/>
      <c r="DE8" s="865"/>
      <c r="DF8" s="865"/>
      <c r="DG8" s="865"/>
      <c r="DH8" s="865"/>
      <c r="DI8" s="865"/>
      <c r="DJ8" s="865"/>
      <c r="DK8" s="865"/>
      <c r="DL8" s="865"/>
      <c r="DM8" s="865"/>
      <c r="DN8" s="865"/>
      <c r="DO8" s="865"/>
      <c r="DP8" s="865"/>
      <c r="DQ8" s="865"/>
      <c r="DR8" s="865"/>
      <c r="DS8" s="865"/>
      <c r="DT8" s="865"/>
      <c r="DU8" s="865"/>
      <c r="DV8" s="865"/>
      <c r="DW8" s="865"/>
      <c r="DX8" s="865"/>
      <c r="DY8" s="865"/>
      <c r="DZ8" s="865"/>
      <c r="EA8" s="865"/>
      <c r="EB8" s="865"/>
      <c r="EC8" s="865"/>
      <c r="ED8" s="865"/>
      <c r="EE8" s="865"/>
      <c r="EF8" s="865"/>
      <c r="EG8" s="865"/>
      <c r="EH8" s="865"/>
      <c r="EI8" s="865"/>
      <c r="EJ8" s="865"/>
      <c r="EK8" s="865"/>
      <c r="EL8" s="865"/>
      <c r="EM8" s="865"/>
      <c r="EN8" s="865"/>
      <c r="EO8" s="865"/>
      <c r="EP8" s="865"/>
      <c r="EQ8" s="865"/>
      <c r="ER8" s="865"/>
      <c r="ES8" s="865"/>
      <c r="ET8" s="865"/>
      <c r="EU8" s="865"/>
      <c r="EV8" s="865"/>
      <c r="EW8" s="865"/>
      <c r="EX8" s="865"/>
      <c r="EY8" s="865"/>
      <c r="EZ8" s="865"/>
      <c r="FA8" s="865"/>
      <c r="FB8" s="865"/>
      <c r="FC8" s="865"/>
      <c r="FD8" s="865"/>
      <c r="FE8" s="865"/>
      <c r="FF8" s="865"/>
      <c r="FG8" s="865"/>
      <c r="FH8" s="865"/>
      <c r="FI8" s="865"/>
      <c r="FJ8" s="865"/>
      <c r="FK8" s="865"/>
      <c r="FL8" s="865"/>
      <c r="FM8" s="865"/>
      <c r="FN8" s="865"/>
      <c r="FO8" s="865"/>
      <c r="FP8" s="865"/>
      <c r="FQ8" s="865"/>
      <c r="FR8" s="865"/>
      <c r="FS8" s="865"/>
      <c r="FT8" s="865"/>
      <c r="FU8" s="865"/>
      <c r="FV8" s="865"/>
      <c r="FW8" s="865"/>
      <c r="FX8" s="865"/>
      <c r="FY8" s="865"/>
      <c r="FZ8" s="865"/>
      <c r="GA8" s="865"/>
      <c r="GB8" s="865"/>
      <c r="GC8" s="865"/>
      <c r="GD8" s="865"/>
      <c r="GE8" s="865"/>
      <c r="GF8" s="865"/>
      <c r="GG8" s="865"/>
      <c r="GH8" s="865"/>
      <c r="GI8" s="865"/>
      <c r="GJ8" s="865"/>
      <c r="GK8" s="865"/>
      <c r="GL8" s="865"/>
      <c r="GM8" s="865"/>
      <c r="GN8" s="865"/>
      <c r="GO8" s="865"/>
      <c r="GP8" s="865"/>
      <c r="GQ8" s="865"/>
      <c r="GR8" s="865"/>
      <c r="GS8" s="865"/>
      <c r="GT8" s="865"/>
      <c r="GU8" s="865"/>
      <c r="GV8" s="865"/>
      <c r="GW8" s="865"/>
      <c r="GX8" s="865"/>
      <c r="GY8" s="865"/>
      <c r="GZ8" s="865"/>
      <c r="HA8" s="865"/>
      <c r="HB8" s="865"/>
      <c r="HC8" s="865"/>
      <c r="HD8" s="865"/>
      <c r="HE8" s="865"/>
      <c r="HF8" s="865"/>
      <c r="HG8" s="865"/>
      <c r="HH8" s="865"/>
      <c r="HI8" s="865"/>
      <c r="HJ8" s="865"/>
      <c r="HK8" s="865"/>
      <c r="HL8" s="865"/>
      <c r="HM8" s="865"/>
      <c r="HN8" s="865"/>
      <c r="HO8" s="865"/>
      <c r="HP8" s="865"/>
      <c r="HQ8" s="865"/>
      <c r="HR8" s="865"/>
      <c r="HS8" s="865"/>
      <c r="HT8" s="865"/>
      <c r="HU8" s="865"/>
      <c r="HV8" s="865"/>
      <c r="HW8" s="865"/>
      <c r="HX8" s="865"/>
      <c r="HY8" s="865"/>
      <c r="HZ8" s="865"/>
      <c r="IA8" s="865"/>
      <c r="IB8" s="865"/>
      <c r="IC8" s="865"/>
      <c r="ID8" s="865"/>
      <c r="IE8" s="865"/>
      <c r="IF8" s="865"/>
      <c r="IG8" s="865"/>
      <c r="IH8" s="865"/>
      <c r="II8" s="865"/>
      <c r="IJ8" s="865"/>
      <c r="IK8" s="865"/>
      <c r="IL8" s="865"/>
      <c r="IM8" s="865"/>
      <c r="IN8" s="865"/>
      <c r="IO8" s="865"/>
      <c r="IP8" s="865"/>
      <c r="IQ8" s="865"/>
      <c r="IR8" s="865"/>
      <c r="IS8" s="865"/>
      <c r="IT8" s="865"/>
      <c r="IU8" s="865"/>
      <c r="IV8" s="865"/>
      <c r="IW8" s="558"/>
    </row>
    <row r="9" customFormat="false" ht="12" hidden="false" customHeight="true" outlineLevel="0" collapsed="false">
      <c r="A9" s="791" t="s">
        <v>613</v>
      </c>
      <c r="B9" s="385"/>
      <c r="C9" s="385"/>
      <c r="D9" s="866" t="n">
        <f aca="false">IF(D$3&gt;ProjectLife,0,'Project Assumptions'!$N$68)</f>
        <v>0</v>
      </c>
      <c r="E9" s="866" t="n">
        <f aca="false">IF(E$3&gt;ProjectLife,0,'Project Assumptions'!$N$68)</f>
        <v>0</v>
      </c>
      <c r="F9" s="866" t="n">
        <f aca="false">IF(F$3&gt;ProjectLife,0,'Project Assumptions'!$N$68)</f>
        <v>0</v>
      </c>
      <c r="G9" s="866" t="n">
        <f aca="false">IF(G$3&gt;ProjectLife,0,'Project Assumptions'!$N$68)</f>
        <v>0</v>
      </c>
      <c r="H9" s="866" t="n">
        <f aca="false">IF(H$3&gt;ProjectLife,0,'Project Assumptions'!$N$68)</f>
        <v>0</v>
      </c>
      <c r="I9" s="866" t="n">
        <f aca="false">IF(I$3&gt;ProjectLife,0,'Project Assumptions'!$N$68)</f>
        <v>0</v>
      </c>
      <c r="J9" s="866" t="n">
        <f aca="false">IF(J$3&gt;ProjectLife,0,'Project Assumptions'!$N$68)</f>
        <v>0</v>
      </c>
      <c r="K9" s="866" t="n">
        <f aca="false">IF(K$3&gt;ProjectLife,0,'Project Assumptions'!$N$68)</f>
        <v>0</v>
      </c>
      <c r="L9" s="866" t="n">
        <f aca="false">IF(L$3&gt;ProjectLife,0,'Project Assumptions'!$N$68)</f>
        <v>0</v>
      </c>
      <c r="M9" s="866" t="n">
        <f aca="false">IF(M$3&gt;ProjectLife,0,'Project Assumptions'!$N$68)</f>
        <v>0</v>
      </c>
      <c r="N9" s="866" t="n">
        <f aca="false">IF(N$3&gt;ProjectLife,0,'Project Assumptions'!$N$68)</f>
        <v>0</v>
      </c>
      <c r="O9" s="866" t="n">
        <f aca="false">IF(O$3&gt;ProjectLife,0,'Project Assumptions'!$N$68)</f>
        <v>0</v>
      </c>
      <c r="P9" s="866" t="n">
        <f aca="false">IF(P$3&gt;ProjectLife,0,'Project Assumptions'!$N$68)</f>
        <v>0</v>
      </c>
      <c r="Q9" s="866" t="n">
        <f aca="false">IF(Q$3&gt;ProjectLife,0,'Project Assumptions'!$N$68)</f>
        <v>0</v>
      </c>
      <c r="R9" s="866" t="n">
        <f aca="false">IF(R$3&gt;ProjectLife,0,'Project Assumptions'!$N$68)</f>
        <v>0</v>
      </c>
      <c r="S9" s="866" t="n">
        <f aca="false">IF(S$3&gt;ProjectLife,0,'Project Assumptions'!$N$68)</f>
        <v>0</v>
      </c>
      <c r="T9" s="866" t="n">
        <f aca="false">IF(T$3&gt;ProjectLife,0,'Project Assumptions'!$N$68)</f>
        <v>0</v>
      </c>
      <c r="U9" s="866" t="n">
        <f aca="false">IF(U$3&gt;ProjectLife,0,'Project Assumptions'!$N$68)</f>
        <v>0</v>
      </c>
      <c r="V9" s="866" t="n">
        <f aca="false">IF(V$3&gt;ProjectLife,0,'Project Assumptions'!$N$68)</f>
        <v>0</v>
      </c>
      <c r="W9" s="866" t="n">
        <f aca="false">IF(W$3&gt;ProjectLife,0,'Project Assumptions'!$N$68)</f>
        <v>0</v>
      </c>
      <c r="X9" s="866" t="n">
        <f aca="false">IF(X$3&gt;ProjectLife+1,0,'Project Assumptions'!$N$68)</f>
        <v>0</v>
      </c>
      <c r="Y9" s="866" t="n">
        <f aca="false">IF(Y$3&gt;ProjectLife,0,'Project Assumptions'!$N$68)</f>
        <v>0</v>
      </c>
      <c r="Z9" s="866" t="n">
        <f aca="false">IF(Z$3&gt;ProjectLife,0,'Project Assumptions'!$N$68)</f>
        <v>0</v>
      </c>
      <c r="AA9" s="866" t="n">
        <f aca="false">IF(AA$3&gt;ProjectLife,0,'Project Assumptions'!$N$68)</f>
        <v>0</v>
      </c>
      <c r="AB9" s="867" t="n">
        <f aca="false">IF(AB$3&gt;ProjectLife,0,'Project Assumptions'!$N$68)</f>
        <v>0</v>
      </c>
      <c r="AC9" s="868"/>
      <c r="AD9" s="868"/>
      <c r="AE9" s="865"/>
      <c r="AF9" s="865"/>
      <c r="AG9" s="865"/>
      <c r="AH9" s="865"/>
      <c r="AI9" s="865"/>
      <c r="AJ9" s="865"/>
      <c r="AK9" s="865"/>
      <c r="AL9" s="865"/>
      <c r="AM9" s="865"/>
      <c r="AN9" s="865"/>
      <c r="AO9" s="865"/>
      <c r="AP9" s="865"/>
      <c r="AQ9" s="865"/>
      <c r="AR9" s="865"/>
      <c r="AS9" s="865"/>
      <c r="AT9" s="865"/>
      <c r="AU9" s="865"/>
      <c r="AV9" s="865"/>
      <c r="AW9" s="865"/>
      <c r="AX9" s="865"/>
      <c r="AY9" s="865"/>
      <c r="AZ9" s="865"/>
      <c r="BA9" s="865"/>
      <c r="BB9" s="865"/>
      <c r="BC9" s="865"/>
      <c r="BD9" s="865"/>
      <c r="BE9" s="865"/>
      <c r="BF9" s="865"/>
      <c r="BG9" s="865"/>
      <c r="BH9" s="865"/>
      <c r="BI9" s="865"/>
      <c r="BJ9" s="865"/>
      <c r="BK9" s="865"/>
      <c r="BL9" s="865"/>
      <c r="BM9" s="865"/>
      <c r="BN9" s="865"/>
      <c r="BO9" s="865"/>
      <c r="BP9" s="865"/>
      <c r="BQ9" s="865"/>
      <c r="BR9" s="865"/>
      <c r="BS9" s="865"/>
      <c r="BT9" s="865"/>
      <c r="BU9" s="865"/>
      <c r="BV9" s="865"/>
      <c r="BW9" s="865"/>
      <c r="BX9" s="865"/>
      <c r="BY9" s="865"/>
      <c r="BZ9" s="865"/>
      <c r="CA9" s="865"/>
      <c r="CB9" s="865"/>
      <c r="CC9" s="865"/>
      <c r="CD9" s="865"/>
      <c r="CE9" s="865"/>
      <c r="CF9" s="865"/>
      <c r="CG9" s="865"/>
      <c r="CH9" s="865"/>
      <c r="CI9" s="865"/>
      <c r="CJ9" s="865"/>
      <c r="CK9" s="865"/>
      <c r="CL9" s="865"/>
      <c r="CM9" s="865"/>
      <c r="CN9" s="865"/>
      <c r="CO9" s="865"/>
      <c r="CP9" s="865"/>
      <c r="CQ9" s="865"/>
      <c r="CR9" s="865"/>
      <c r="CS9" s="865"/>
      <c r="CT9" s="865"/>
      <c r="CU9" s="865"/>
      <c r="CV9" s="865"/>
      <c r="CW9" s="865"/>
      <c r="CX9" s="865"/>
      <c r="CY9" s="865"/>
      <c r="CZ9" s="865"/>
      <c r="DA9" s="865"/>
      <c r="DB9" s="865"/>
      <c r="DC9" s="865"/>
      <c r="DD9" s="865"/>
      <c r="DE9" s="865"/>
      <c r="DF9" s="865"/>
      <c r="DG9" s="865"/>
      <c r="DH9" s="865"/>
      <c r="DI9" s="865"/>
      <c r="DJ9" s="865"/>
      <c r="DK9" s="865"/>
      <c r="DL9" s="865"/>
      <c r="DM9" s="865"/>
      <c r="DN9" s="865"/>
      <c r="DO9" s="865"/>
      <c r="DP9" s="865"/>
      <c r="DQ9" s="865"/>
      <c r="DR9" s="865"/>
      <c r="DS9" s="865"/>
      <c r="DT9" s="865"/>
      <c r="DU9" s="865"/>
      <c r="DV9" s="865"/>
      <c r="DW9" s="865"/>
      <c r="DX9" s="865"/>
      <c r="DY9" s="865"/>
      <c r="DZ9" s="865"/>
      <c r="EA9" s="865"/>
      <c r="EB9" s="865"/>
      <c r="EC9" s="865"/>
      <c r="ED9" s="865"/>
      <c r="EE9" s="865"/>
      <c r="EF9" s="865"/>
      <c r="EG9" s="865"/>
      <c r="EH9" s="865"/>
      <c r="EI9" s="865"/>
      <c r="EJ9" s="865"/>
      <c r="EK9" s="865"/>
      <c r="EL9" s="865"/>
      <c r="EM9" s="865"/>
      <c r="EN9" s="865"/>
      <c r="EO9" s="865"/>
      <c r="EP9" s="865"/>
      <c r="EQ9" s="865"/>
      <c r="ER9" s="865"/>
      <c r="ES9" s="865"/>
      <c r="ET9" s="865"/>
      <c r="EU9" s="865"/>
      <c r="EV9" s="865"/>
      <c r="EW9" s="865"/>
      <c r="EX9" s="865"/>
      <c r="EY9" s="865"/>
      <c r="EZ9" s="865"/>
      <c r="FA9" s="865"/>
      <c r="FB9" s="865"/>
      <c r="FC9" s="865"/>
      <c r="FD9" s="865"/>
      <c r="FE9" s="865"/>
      <c r="FF9" s="865"/>
      <c r="FG9" s="865"/>
      <c r="FH9" s="865"/>
      <c r="FI9" s="865"/>
      <c r="FJ9" s="865"/>
      <c r="FK9" s="865"/>
      <c r="FL9" s="865"/>
      <c r="FM9" s="865"/>
      <c r="FN9" s="865"/>
      <c r="FO9" s="865"/>
      <c r="FP9" s="865"/>
      <c r="FQ9" s="865"/>
      <c r="FR9" s="865"/>
      <c r="FS9" s="865"/>
      <c r="FT9" s="865"/>
      <c r="FU9" s="865"/>
      <c r="FV9" s="865"/>
      <c r="FW9" s="865"/>
      <c r="FX9" s="865"/>
      <c r="FY9" s="865"/>
      <c r="FZ9" s="865"/>
      <c r="GA9" s="865"/>
      <c r="GB9" s="865"/>
      <c r="GC9" s="865"/>
      <c r="GD9" s="865"/>
      <c r="GE9" s="865"/>
      <c r="GF9" s="865"/>
      <c r="GG9" s="865"/>
      <c r="GH9" s="865"/>
      <c r="GI9" s="865"/>
      <c r="GJ9" s="865"/>
      <c r="GK9" s="865"/>
      <c r="GL9" s="865"/>
      <c r="GM9" s="865"/>
      <c r="GN9" s="865"/>
      <c r="GO9" s="865"/>
      <c r="GP9" s="865"/>
      <c r="GQ9" s="865"/>
      <c r="GR9" s="865"/>
      <c r="GS9" s="865"/>
      <c r="GT9" s="865"/>
      <c r="GU9" s="865"/>
      <c r="GV9" s="865"/>
      <c r="GW9" s="865"/>
      <c r="GX9" s="865"/>
      <c r="GY9" s="865"/>
      <c r="GZ9" s="865"/>
      <c r="HA9" s="865"/>
      <c r="HB9" s="865"/>
      <c r="HC9" s="865"/>
      <c r="HD9" s="865"/>
      <c r="HE9" s="865"/>
      <c r="HF9" s="865"/>
      <c r="HG9" s="865"/>
      <c r="HH9" s="865"/>
      <c r="HI9" s="865"/>
      <c r="HJ9" s="865"/>
      <c r="HK9" s="865"/>
      <c r="HL9" s="865"/>
      <c r="HM9" s="865"/>
      <c r="HN9" s="865"/>
      <c r="HO9" s="865"/>
      <c r="HP9" s="865"/>
      <c r="HQ9" s="865"/>
      <c r="HR9" s="865"/>
      <c r="HS9" s="865"/>
      <c r="HT9" s="865"/>
      <c r="HU9" s="865"/>
      <c r="HV9" s="865"/>
      <c r="HW9" s="865"/>
      <c r="HX9" s="865"/>
      <c r="HY9" s="865"/>
      <c r="HZ9" s="865"/>
      <c r="IA9" s="865"/>
      <c r="IB9" s="865"/>
      <c r="IC9" s="865"/>
      <c r="ID9" s="865"/>
      <c r="IE9" s="865"/>
      <c r="IF9" s="865"/>
      <c r="IG9" s="865"/>
      <c r="IH9" s="865"/>
      <c r="II9" s="865"/>
      <c r="IJ9" s="865"/>
      <c r="IK9" s="865"/>
      <c r="IL9" s="865"/>
      <c r="IM9" s="865"/>
      <c r="IN9" s="865"/>
      <c r="IO9" s="865"/>
      <c r="IP9" s="865"/>
      <c r="IQ9" s="865"/>
      <c r="IR9" s="865"/>
      <c r="IS9" s="865"/>
    </row>
    <row r="10" customFormat="false" ht="12" hidden="false" customHeight="true" outlineLevel="0" collapsed="false">
      <c r="A10" s="435" t="s">
        <v>614</v>
      </c>
      <c r="B10" s="434"/>
      <c r="C10" s="434"/>
      <c r="D10" s="732" t="n">
        <f aca="false">D9*D8</f>
        <v>0</v>
      </c>
      <c r="E10" s="732" t="n">
        <f aca="false">E9*E8</f>
        <v>0</v>
      </c>
      <c r="F10" s="732" t="n">
        <f aca="false">F9*F8</f>
        <v>0</v>
      </c>
      <c r="G10" s="732" t="n">
        <f aca="false">G9*G8</f>
        <v>0</v>
      </c>
      <c r="H10" s="732" t="n">
        <f aca="false">H9*H8</f>
        <v>0</v>
      </c>
      <c r="I10" s="732" t="n">
        <f aca="false">I9*I8</f>
        <v>0</v>
      </c>
      <c r="J10" s="732" t="n">
        <f aca="false">J9*J8</f>
        <v>0</v>
      </c>
      <c r="K10" s="732" t="n">
        <f aca="false">K9*K8</f>
        <v>0</v>
      </c>
      <c r="L10" s="732" t="n">
        <f aca="false">L9*L8</f>
        <v>0</v>
      </c>
      <c r="M10" s="732" t="n">
        <f aca="false">M9*M8</f>
        <v>0</v>
      </c>
      <c r="N10" s="732" t="n">
        <f aca="false">N9*N8</f>
        <v>0</v>
      </c>
      <c r="O10" s="732" t="n">
        <f aca="false">O9*O8</f>
        <v>0</v>
      </c>
      <c r="P10" s="732" t="n">
        <f aca="false">P9*P8</f>
        <v>0</v>
      </c>
      <c r="Q10" s="732" t="n">
        <f aca="false">Q9*Q8</f>
        <v>0</v>
      </c>
      <c r="R10" s="732" t="n">
        <f aca="false">R9*R8</f>
        <v>0</v>
      </c>
      <c r="S10" s="732" t="n">
        <f aca="false">S9*S8</f>
        <v>0</v>
      </c>
      <c r="T10" s="732" t="n">
        <f aca="false">T9*T8</f>
        <v>0</v>
      </c>
      <c r="U10" s="732" t="n">
        <f aca="false">U9*U8</f>
        <v>0</v>
      </c>
      <c r="V10" s="732" t="n">
        <f aca="false">V9*V8</f>
        <v>0</v>
      </c>
      <c r="W10" s="732" t="n">
        <f aca="false">W9*W8</f>
        <v>0</v>
      </c>
      <c r="X10" s="732" t="n">
        <f aca="false">X9*X8</f>
        <v>0</v>
      </c>
      <c r="Y10" s="732" t="n">
        <f aca="false">Y9*Y8</f>
        <v>0</v>
      </c>
      <c r="Z10" s="732" t="n">
        <f aca="false">Z9*Z8</f>
        <v>0</v>
      </c>
      <c r="AA10" s="732" t="n">
        <f aca="false">AA9*AA8</f>
        <v>0</v>
      </c>
      <c r="AB10" s="732" t="n">
        <f aca="false">AB9*AB8</f>
        <v>0</v>
      </c>
      <c r="AC10" s="385"/>
      <c r="AD10" s="868"/>
      <c r="AE10" s="865"/>
      <c r="AF10" s="865"/>
      <c r="AG10" s="865"/>
      <c r="AH10" s="865"/>
      <c r="AI10" s="865"/>
      <c r="AJ10" s="865"/>
      <c r="AK10" s="865"/>
      <c r="AL10" s="865"/>
      <c r="AM10" s="865"/>
      <c r="AN10" s="865"/>
      <c r="AO10" s="865"/>
      <c r="AP10" s="865"/>
      <c r="AQ10" s="865"/>
      <c r="AR10" s="865"/>
      <c r="AS10" s="865"/>
      <c r="AT10" s="865"/>
      <c r="AU10" s="865"/>
      <c r="AV10" s="865"/>
      <c r="AW10" s="865"/>
      <c r="AX10" s="865"/>
      <c r="AY10" s="865"/>
      <c r="AZ10" s="865"/>
      <c r="BA10" s="865"/>
      <c r="BB10" s="865"/>
      <c r="BC10" s="865"/>
      <c r="BD10" s="865"/>
      <c r="BE10" s="865"/>
      <c r="BF10" s="865"/>
      <c r="BG10" s="865"/>
      <c r="BH10" s="865"/>
      <c r="BI10" s="865"/>
      <c r="BJ10" s="865"/>
      <c r="BK10" s="865"/>
      <c r="BL10" s="865"/>
      <c r="BM10" s="865"/>
      <c r="BN10" s="865"/>
      <c r="BO10" s="865"/>
      <c r="BP10" s="865"/>
      <c r="BQ10" s="865"/>
      <c r="BR10" s="865"/>
      <c r="BS10" s="865"/>
      <c r="BT10" s="865"/>
      <c r="BU10" s="865"/>
      <c r="BV10" s="865"/>
      <c r="BW10" s="865"/>
      <c r="BX10" s="865"/>
      <c r="BY10" s="865"/>
      <c r="BZ10" s="865"/>
      <c r="CA10" s="865"/>
      <c r="CB10" s="865"/>
      <c r="CC10" s="865"/>
      <c r="CD10" s="865"/>
      <c r="CE10" s="865"/>
      <c r="CF10" s="865"/>
      <c r="CG10" s="865"/>
      <c r="CH10" s="865"/>
      <c r="CI10" s="865"/>
      <c r="CJ10" s="865"/>
      <c r="CK10" s="865"/>
      <c r="CL10" s="865"/>
      <c r="CM10" s="865"/>
      <c r="CN10" s="865"/>
      <c r="CO10" s="865"/>
      <c r="CP10" s="865"/>
      <c r="CQ10" s="865"/>
      <c r="CR10" s="865"/>
      <c r="CS10" s="865"/>
      <c r="CT10" s="865"/>
      <c r="CU10" s="865"/>
      <c r="CV10" s="865"/>
      <c r="CW10" s="865"/>
      <c r="CX10" s="865"/>
      <c r="CY10" s="865"/>
      <c r="CZ10" s="865"/>
      <c r="DA10" s="865"/>
      <c r="DB10" s="865"/>
      <c r="DC10" s="865"/>
      <c r="DD10" s="865"/>
      <c r="DE10" s="865"/>
      <c r="DF10" s="865"/>
      <c r="DG10" s="865"/>
      <c r="DH10" s="865"/>
      <c r="DI10" s="865"/>
      <c r="DJ10" s="865"/>
      <c r="DK10" s="865"/>
      <c r="DL10" s="865"/>
      <c r="DM10" s="865"/>
      <c r="DN10" s="865"/>
      <c r="DO10" s="865"/>
      <c r="DP10" s="865"/>
      <c r="DQ10" s="865"/>
      <c r="DR10" s="865"/>
      <c r="DS10" s="865"/>
      <c r="DT10" s="865"/>
      <c r="DU10" s="865"/>
      <c r="DV10" s="865"/>
      <c r="DW10" s="865"/>
      <c r="DX10" s="865"/>
      <c r="DY10" s="865"/>
      <c r="DZ10" s="865"/>
      <c r="EA10" s="865"/>
      <c r="EB10" s="865"/>
      <c r="EC10" s="865"/>
      <c r="ED10" s="865"/>
      <c r="EE10" s="865"/>
      <c r="EF10" s="865"/>
      <c r="EG10" s="865"/>
      <c r="EH10" s="865"/>
      <c r="EI10" s="865"/>
      <c r="EJ10" s="865"/>
      <c r="EK10" s="865"/>
      <c r="EL10" s="865"/>
      <c r="EM10" s="865"/>
      <c r="EN10" s="865"/>
      <c r="EO10" s="865"/>
      <c r="EP10" s="865"/>
      <c r="EQ10" s="865"/>
      <c r="ER10" s="865"/>
      <c r="ES10" s="865"/>
      <c r="ET10" s="865"/>
      <c r="EU10" s="865"/>
      <c r="EV10" s="865"/>
      <c r="EW10" s="865"/>
      <c r="EX10" s="865"/>
      <c r="EY10" s="865"/>
      <c r="EZ10" s="865"/>
      <c r="FA10" s="865"/>
      <c r="FB10" s="865"/>
      <c r="FC10" s="865"/>
      <c r="FD10" s="865"/>
      <c r="FE10" s="865"/>
      <c r="FF10" s="865"/>
      <c r="FG10" s="865"/>
      <c r="FH10" s="865"/>
      <c r="FI10" s="865"/>
      <c r="FJ10" s="865"/>
      <c r="FK10" s="865"/>
      <c r="FL10" s="865"/>
      <c r="FM10" s="865"/>
      <c r="FN10" s="865"/>
      <c r="FO10" s="865"/>
      <c r="FP10" s="865"/>
      <c r="FQ10" s="865"/>
      <c r="FR10" s="865"/>
      <c r="FS10" s="865"/>
      <c r="FT10" s="865"/>
      <c r="FU10" s="865"/>
      <c r="FV10" s="865"/>
      <c r="FW10" s="865"/>
      <c r="FX10" s="865"/>
      <c r="FY10" s="865"/>
      <c r="FZ10" s="865"/>
      <c r="GA10" s="865"/>
      <c r="GB10" s="865"/>
      <c r="GC10" s="865"/>
      <c r="GD10" s="865"/>
      <c r="GE10" s="865"/>
      <c r="GF10" s="865"/>
      <c r="GG10" s="865"/>
      <c r="GH10" s="865"/>
      <c r="GI10" s="865"/>
      <c r="GJ10" s="865"/>
      <c r="GK10" s="865"/>
      <c r="GL10" s="865"/>
      <c r="GM10" s="865"/>
      <c r="GN10" s="865"/>
      <c r="GO10" s="865"/>
      <c r="GP10" s="865"/>
      <c r="GQ10" s="865"/>
      <c r="GR10" s="865"/>
      <c r="GS10" s="865"/>
      <c r="GT10" s="865"/>
      <c r="GU10" s="865"/>
      <c r="GV10" s="865"/>
      <c r="GW10" s="865"/>
      <c r="GX10" s="865"/>
      <c r="GY10" s="865"/>
      <c r="GZ10" s="865"/>
      <c r="HA10" s="865"/>
      <c r="HB10" s="865"/>
      <c r="HC10" s="865"/>
      <c r="HD10" s="865"/>
      <c r="HE10" s="865"/>
      <c r="HF10" s="865"/>
      <c r="HG10" s="865"/>
      <c r="HH10" s="865"/>
      <c r="HI10" s="865"/>
      <c r="HJ10" s="865"/>
      <c r="HK10" s="865"/>
      <c r="HL10" s="865"/>
      <c r="HM10" s="865"/>
      <c r="HN10" s="865"/>
      <c r="HO10" s="865"/>
      <c r="HP10" s="865"/>
      <c r="HQ10" s="865"/>
      <c r="HR10" s="865"/>
      <c r="HS10" s="865"/>
      <c r="HT10" s="865"/>
      <c r="HU10" s="865"/>
      <c r="HV10" s="865"/>
      <c r="HW10" s="865"/>
      <c r="HX10" s="865"/>
      <c r="HY10" s="865"/>
      <c r="HZ10" s="865"/>
      <c r="IA10" s="865"/>
      <c r="IB10" s="865"/>
      <c r="IC10" s="865"/>
      <c r="ID10" s="865"/>
      <c r="IE10" s="865"/>
      <c r="IF10" s="865"/>
      <c r="IG10" s="865"/>
      <c r="IH10" s="865"/>
      <c r="II10" s="865"/>
      <c r="IJ10" s="865"/>
      <c r="IK10" s="865"/>
      <c r="IL10" s="865"/>
      <c r="IM10" s="865"/>
      <c r="IN10" s="865"/>
      <c r="IO10" s="865"/>
      <c r="IP10" s="865"/>
      <c r="IQ10" s="865"/>
      <c r="IR10" s="865"/>
      <c r="IS10" s="865"/>
      <c r="IT10" s="865"/>
      <c r="IU10" s="865"/>
    </row>
    <row r="11" customFormat="false" ht="12" hidden="false" customHeight="true" outlineLevel="0" collapsed="false">
      <c r="A11" s="412"/>
      <c r="B11" s="385"/>
      <c r="C11" s="869"/>
      <c r="D11" s="869"/>
      <c r="E11" s="869"/>
      <c r="F11" s="869"/>
      <c r="G11" s="869"/>
      <c r="H11" s="869"/>
      <c r="I11" s="869"/>
      <c r="J11" s="869"/>
      <c r="K11" s="869"/>
      <c r="L11" s="869"/>
      <c r="M11" s="869"/>
      <c r="N11" s="869"/>
      <c r="O11" s="869"/>
      <c r="P11" s="869"/>
      <c r="Q11" s="869"/>
      <c r="R11" s="869"/>
      <c r="S11" s="869"/>
      <c r="T11" s="869"/>
      <c r="U11" s="869"/>
      <c r="V11" s="869"/>
      <c r="W11" s="869"/>
      <c r="X11" s="869"/>
      <c r="Y11" s="869"/>
      <c r="Z11" s="869"/>
      <c r="AA11" s="869"/>
      <c r="AB11" s="870"/>
      <c r="AC11" s="869"/>
      <c r="AD11" s="869"/>
    </row>
    <row r="12" customFormat="false" ht="12" hidden="false" customHeight="true" outlineLevel="0" collapsed="false">
      <c r="A12" s="864" t="s">
        <v>615</v>
      </c>
      <c r="B12" s="385"/>
      <c r="C12" s="385"/>
      <c r="D12" s="818"/>
      <c r="E12" s="818"/>
      <c r="F12" s="818"/>
      <c r="G12" s="818"/>
      <c r="H12" s="818"/>
      <c r="I12" s="818"/>
      <c r="J12" s="818"/>
      <c r="K12" s="818"/>
      <c r="L12" s="818"/>
      <c r="M12" s="818"/>
      <c r="N12" s="818"/>
      <c r="O12" s="818"/>
      <c r="P12" s="818"/>
      <c r="Q12" s="818"/>
      <c r="R12" s="818"/>
      <c r="S12" s="818"/>
      <c r="T12" s="818"/>
      <c r="U12" s="818"/>
      <c r="V12" s="818"/>
      <c r="W12" s="818"/>
      <c r="X12" s="818"/>
      <c r="Y12" s="818"/>
      <c r="Z12" s="818"/>
      <c r="AA12" s="818"/>
      <c r="AB12" s="871"/>
      <c r="AC12" s="385"/>
      <c r="AD12" s="385"/>
      <c r="AE12" s="865"/>
      <c r="AF12" s="865"/>
      <c r="AG12" s="865"/>
      <c r="AH12" s="865"/>
      <c r="AI12" s="865"/>
      <c r="AJ12" s="865"/>
      <c r="AK12" s="865"/>
      <c r="AL12" s="865"/>
      <c r="AM12" s="865"/>
      <c r="AN12" s="865"/>
      <c r="AO12" s="865"/>
      <c r="AP12" s="865"/>
      <c r="AQ12" s="865"/>
      <c r="AR12" s="865"/>
      <c r="AS12" s="865"/>
      <c r="AT12" s="865"/>
      <c r="AU12" s="865"/>
      <c r="AV12" s="865"/>
      <c r="AW12" s="865"/>
      <c r="AX12" s="865"/>
      <c r="AY12" s="865"/>
      <c r="AZ12" s="865"/>
      <c r="BA12" s="865"/>
      <c r="BB12" s="865"/>
      <c r="BC12" s="865"/>
      <c r="BD12" s="865"/>
      <c r="BE12" s="865"/>
      <c r="BF12" s="865"/>
      <c r="BG12" s="865"/>
      <c r="BH12" s="865"/>
      <c r="BI12" s="865"/>
      <c r="BJ12" s="865"/>
      <c r="BK12" s="865"/>
      <c r="BL12" s="865"/>
      <c r="BM12" s="865"/>
      <c r="BN12" s="865"/>
      <c r="BO12" s="865"/>
      <c r="BP12" s="865"/>
      <c r="BQ12" s="865"/>
      <c r="BR12" s="865"/>
      <c r="BS12" s="865"/>
      <c r="BT12" s="865"/>
      <c r="BU12" s="865"/>
      <c r="BV12" s="865"/>
      <c r="BW12" s="865"/>
      <c r="BX12" s="865"/>
      <c r="BY12" s="865"/>
      <c r="BZ12" s="865"/>
      <c r="CA12" s="865"/>
      <c r="CB12" s="865"/>
      <c r="CC12" s="865"/>
      <c r="CD12" s="865"/>
      <c r="CE12" s="865"/>
      <c r="CF12" s="865"/>
      <c r="CG12" s="865"/>
      <c r="CH12" s="865"/>
      <c r="CI12" s="865"/>
      <c r="CJ12" s="865"/>
      <c r="CK12" s="865"/>
      <c r="CL12" s="865"/>
      <c r="CM12" s="865"/>
      <c r="CN12" s="865"/>
      <c r="CO12" s="865"/>
      <c r="CP12" s="865"/>
      <c r="CQ12" s="865"/>
      <c r="CR12" s="865"/>
      <c r="CS12" s="865"/>
      <c r="CT12" s="865"/>
      <c r="CU12" s="865"/>
      <c r="CV12" s="865"/>
      <c r="CW12" s="865"/>
      <c r="CX12" s="865"/>
      <c r="CY12" s="865"/>
      <c r="CZ12" s="865"/>
      <c r="DA12" s="865"/>
      <c r="DB12" s="865"/>
      <c r="DC12" s="865"/>
      <c r="DD12" s="865"/>
      <c r="DE12" s="865"/>
      <c r="DF12" s="865"/>
      <c r="DG12" s="865"/>
      <c r="DH12" s="865"/>
      <c r="DI12" s="865"/>
      <c r="DJ12" s="865"/>
      <c r="DK12" s="865"/>
      <c r="DL12" s="865"/>
      <c r="DM12" s="865"/>
      <c r="DN12" s="865"/>
      <c r="DO12" s="865"/>
      <c r="DP12" s="865"/>
      <c r="DQ12" s="865"/>
      <c r="DR12" s="865"/>
      <c r="DS12" s="865"/>
      <c r="DT12" s="865"/>
      <c r="DU12" s="865"/>
      <c r="DV12" s="865"/>
      <c r="DW12" s="865"/>
      <c r="DX12" s="865"/>
      <c r="DY12" s="865"/>
      <c r="DZ12" s="865"/>
      <c r="EA12" s="865"/>
      <c r="EB12" s="865"/>
      <c r="EC12" s="865"/>
      <c r="ED12" s="865"/>
      <c r="EE12" s="865"/>
      <c r="EF12" s="865"/>
      <c r="EG12" s="865"/>
      <c r="EH12" s="865"/>
      <c r="EI12" s="865"/>
      <c r="EJ12" s="865"/>
      <c r="EK12" s="865"/>
      <c r="EL12" s="865"/>
      <c r="EM12" s="865"/>
      <c r="EN12" s="865"/>
      <c r="EO12" s="865"/>
      <c r="EP12" s="865"/>
      <c r="EQ12" s="865"/>
      <c r="ER12" s="865"/>
      <c r="ES12" s="865"/>
      <c r="ET12" s="865"/>
      <c r="EU12" s="865"/>
      <c r="EV12" s="865"/>
      <c r="EW12" s="865"/>
      <c r="EX12" s="865"/>
      <c r="EY12" s="865"/>
      <c r="EZ12" s="865"/>
      <c r="FA12" s="865"/>
      <c r="FB12" s="865"/>
      <c r="FC12" s="865"/>
      <c r="FD12" s="865"/>
      <c r="FE12" s="865"/>
      <c r="FF12" s="865"/>
      <c r="FG12" s="865"/>
      <c r="FH12" s="865"/>
      <c r="FI12" s="865"/>
      <c r="FJ12" s="865"/>
      <c r="FK12" s="865"/>
      <c r="FL12" s="865"/>
      <c r="FM12" s="865"/>
      <c r="FN12" s="865"/>
      <c r="FO12" s="865"/>
      <c r="FP12" s="865"/>
      <c r="FQ12" s="865"/>
      <c r="FR12" s="865"/>
      <c r="FS12" s="865"/>
      <c r="FT12" s="865"/>
      <c r="FU12" s="865"/>
      <c r="FV12" s="865"/>
      <c r="FW12" s="865"/>
      <c r="FX12" s="865"/>
      <c r="FY12" s="865"/>
      <c r="FZ12" s="865"/>
      <c r="GA12" s="865"/>
      <c r="GB12" s="865"/>
      <c r="GC12" s="865"/>
      <c r="GD12" s="865"/>
      <c r="GE12" s="865"/>
      <c r="GF12" s="865"/>
      <c r="GG12" s="865"/>
      <c r="GH12" s="865"/>
      <c r="GI12" s="865"/>
      <c r="GJ12" s="865"/>
      <c r="GK12" s="865"/>
      <c r="GL12" s="865"/>
      <c r="GM12" s="865"/>
      <c r="GN12" s="865"/>
      <c r="GO12" s="865"/>
      <c r="GP12" s="865"/>
      <c r="GQ12" s="865"/>
      <c r="GR12" s="865"/>
      <c r="GS12" s="865"/>
      <c r="GT12" s="865"/>
      <c r="GU12" s="865"/>
      <c r="GV12" s="865"/>
      <c r="GW12" s="865"/>
      <c r="GX12" s="865"/>
      <c r="GY12" s="865"/>
      <c r="GZ12" s="865"/>
      <c r="HA12" s="865"/>
      <c r="HB12" s="865"/>
      <c r="HC12" s="865"/>
      <c r="HD12" s="865"/>
      <c r="HE12" s="865"/>
      <c r="HF12" s="865"/>
      <c r="HG12" s="865"/>
      <c r="HH12" s="865"/>
      <c r="HI12" s="865"/>
      <c r="HJ12" s="865"/>
      <c r="HK12" s="865"/>
      <c r="HL12" s="865"/>
      <c r="HM12" s="865"/>
      <c r="HN12" s="865"/>
      <c r="HO12" s="865"/>
      <c r="HP12" s="865"/>
      <c r="HQ12" s="865"/>
      <c r="HR12" s="865"/>
      <c r="HS12" s="865"/>
      <c r="HT12" s="865"/>
      <c r="HU12" s="865"/>
      <c r="HV12" s="865"/>
      <c r="HW12" s="865"/>
      <c r="HX12" s="865"/>
      <c r="HY12" s="865"/>
      <c r="HZ12" s="865"/>
      <c r="IA12" s="865"/>
      <c r="IB12" s="865"/>
      <c r="IC12" s="865"/>
      <c r="ID12" s="865"/>
      <c r="IE12" s="865"/>
      <c r="IF12" s="865"/>
      <c r="IG12" s="865"/>
      <c r="IH12" s="865"/>
      <c r="II12" s="865"/>
      <c r="IJ12" s="865"/>
      <c r="IK12" s="865"/>
      <c r="IL12" s="865"/>
      <c r="IM12" s="865"/>
      <c r="IN12" s="865"/>
      <c r="IO12" s="865"/>
      <c r="IP12" s="865"/>
      <c r="IQ12" s="865"/>
      <c r="IR12" s="865"/>
      <c r="IS12" s="865"/>
      <c r="IT12" s="865"/>
      <c r="IU12" s="865"/>
      <c r="IV12" s="865"/>
      <c r="IW12" s="558"/>
    </row>
    <row r="13" customFormat="false" ht="12" hidden="false" customHeight="true" outlineLevel="0" collapsed="false">
      <c r="A13" s="791" t="s">
        <v>616</v>
      </c>
      <c r="B13" s="385"/>
      <c r="C13" s="385"/>
      <c r="D13" s="438" t="n">
        <f aca="false">'Book Income Statement'!D17</f>
        <v>26898.21696</v>
      </c>
      <c r="E13" s="438" t="n">
        <f aca="false">'Book Income Statement'!E17</f>
        <v>40079.9158149774</v>
      </c>
      <c r="F13" s="438" t="n">
        <f aca="false">'Book Income Statement'!F17</f>
        <v>40673.1613422172</v>
      </c>
      <c r="G13" s="438" t="n">
        <f aca="false">'Book Income Statement'!G17</f>
        <v>40731.6409776837</v>
      </c>
      <c r="H13" s="438" t="n">
        <f aca="false">'Book Income Statement'!H17</f>
        <v>47605.8401142549</v>
      </c>
      <c r="I13" s="438" t="n">
        <f aca="false">'Book Income Statement'!I17</f>
        <v>52769.7658852343</v>
      </c>
      <c r="J13" s="438" t="n">
        <f aca="false">'Book Income Statement'!J17</f>
        <v>53213.7751206579</v>
      </c>
      <c r="K13" s="438" t="n">
        <f aca="false">'Book Income Statement'!K17</f>
        <v>53653.2595037859</v>
      </c>
      <c r="L13" s="438" t="n">
        <f aca="false">'Book Income Statement'!L17</f>
        <v>54718.6111930403</v>
      </c>
      <c r="M13" s="438" t="n">
        <f aca="false">'Book Income Statement'!M17</f>
        <v>55165.9282773646</v>
      </c>
      <c r="N13" s="438" t="n">
        <f aca="false">'Book Income Statement'!N17</f>
        <v>56276.6600298264</v>
      </c>
      <c r="O13" s="438" t="n">
        <f aca="false">'Book Income Statement'!O17</f>
        <v>56731.1338742778</v>
      </c>
      <c r="P13" s="438" t="n">
        <f aca="false">'Book Income Statement'!P17</f>
        <v>57888.821794647</v>
      </c>
      <c r="Q13" s="438" t="n">
        <f aca="false">'Book Income Statement'!Q17</f>
        <v>58349.6650785334</v>
      </c>
      <c r="R13" s="438" t="n">
        <f aca="false">'Book Income Statement'!R17</f>
        <v>58802.3864027137</v>
      </c>
      <c r="S13" s="438" t="n">
        <f aca="false">'Book Income Statement'!S17</f>
        <v>59246.0836906499</v>
      </c>
      <c r="T13" s="438" t="n">
        <f aca="false">'Book Income Statement'!T17</f>
        <v>59679.8080509756</v>
      </c>
      <c r="U13" s="438" t="n">
        <f aca="false">'Book Income Statement'!U17</f>
        <v>60102.561780475</v>
      </c>
      <c r="V13" s="438" t="n">
        <f aca="false">'Book Income Statement'!V17</f>
        <v>60513.2962893742</v>
      </c>
      <c r="W13" s="438" t="n">
        <f aca="false">'Book Income Statement'!W17</f>
        <v>60910.9099460808</v>
      </c>
      <c r="X13" s="438" t="n">
        <f aca="false">'Book Income Statement'!X17</f>
        <v>61294.2458384051</v>
      </c>
      <c r="Y13" s="438" t="n">
        <f aca="false">'Book Income Statement'!Y17</f>
        <v>0</v>
      </c>
      <c r="Z13" s="438" t="n">
        <f aca="false">'Book Income Statement'!Z17</f>
        <v>0</v>
      </c>
      <c r="AA13" s="438" t="n">
        <f aca="false">'Book Income Statement'!AA17</f>
        <v>0</v>
      </c>
      <c r="AB13" s="439" t="n">
        <f aca="false">'Book Income Statement'!AB17</f>
        <v>0</v>
      </c>
      <c r="AC13" s="385"/>
      <c r="AD13" s="385"/>
      <c r="AE13" s="865"/>
      <c r="AF13" s="865"/>
      <c r="AG13" s="865"/>
      <c r="AH13" s="865"/>
      <c r="AI13" s="865"/>
      <c r="AJ13" s="865"/>
      <c r="AK13" s="865"/>
      <c r="AL13" s="865"/>
      <c r="AM13" s="865"/>
      <c r="AN13" s="865"/>
      <c r="AO13" s="865"/>
      <c r="AP13" s="865"/>
      <c r="AQ13" s="865"/>
      <c r="AR13" s="865"/>
      <c r="AS13" s="865"/>
      <c r="AT13" s="865"/>
      <c r="AU13" s="865"/>
      <c r="AV13" s="865"/>
      <c r="AW13" s="865"/>
      <c r="AX13" s="865"/>
      <c r="AY13" s="865"/>
      <c r="AZ13" s="865"/>
      <c r="BA13" s="865"/>
      <c r="BB13" s="865"/>
      <c r="BC13" s="865"/>
      <c r="BD13" s="865"/>
      <c r="BE13" s="865"/>
      <c r="BF13" s="865"/>
      <c r="BG13" s="865"/>
      <c r="BH13" s="865"/>
      <c r="BI13" s="865"/>
      <c r="BJ13" s="865"/>
      <c r="BK13" s="865"/>
      <c r="BL13" s="865"/>
      <c r="BM13" s="865"/>
      <c r="BN13" s="865"/>
      <c r="BO13" s="865"/>
      <c r="BP13" s="865"/>
      <c r="BQ13" s="865"/>
      <c r="BR13" s="865"/>
      <c r="BS13" s="865"/>
      <c r="BT13" s="865"/>
      <c r="BU13" s="865"/>
      <c r="BV13" s="865"/>
      <c r="BW13" s="865"/>
      <c r="BX13" s="865"/>
      <c r="BY13" s="865"/>
      <c r="BZ13" s="865"/>
      <c r="CA13" s="865"/>
      <c r="CB13" s="865"/>
      <c r="CC13" s="865"/>
      <c r="CD13" s="865"/>
      <c r="CE13" s="865"/>
      <c r="CF13" s="865"/>
      <c r="CG13" s="865"/>
      <c r="CH13" s="865"/>
      <c r="CI13" s="865"/>
      <c r="CJ13" s="865"/>
      <c r="CK13" s="865"/>
      <c r="CL13" s="865"/>
      <c r="CM13" s="865"/>
      <c r="CN13" s="865"/>
      <c r="CO13" s="865"/>
      <c r="CP13" s="865"/>
      <c r="CQ13" s="865"/>
      <c r="CR13" s="865"/>
      <c r="CS13" s="865"/>
      <c r="CT13" s="865"/>
      <c r="CU13" s="865"/>
      <c r="CV13" s="865"/>
      <c r="CW13" s="865"/>
      <c r="CX13" s="865"/>
      <c r="CY13" s="865"/>
      <c r="CZ13" s="865"/>
      <c r="DA13" s="865"/>
      <c r="DB13" s="865"/>
      <c r="DC13" s="865"/>
      <c r="DD13" s="865"/>
      <c r="DE13" s="865"/>
      <c r="DF13" s="865"/>
      <c r="DG13" s="865"/>
      <c r="DH13" s="865"/>
      <c r="DI13" s="865"/>
      <c r="DJ13" s="865"/>
      <c r="DK13" s="865"/>
      <c r="DL13" s="865"/>
      <c r="DM13" s="865"/>
      <c r="DN13" s="865"/>
      <c r="DO13" s="865"/>
      <c r="DP13" s="865"/>
      <c r="DQ13" s="865"/>
      <c r="DR13" s="865"/>
      <c r="DS13" s="865"/>
      <c r="DT13" s="865"/>
      <c r="DU13" s="865"/>
      <c r="DV13" s="865"/>
      <c r="DW13" s="865"/>
      <c r="DX13" s="865"/>
      <c r="DY13" s="865"/>
      <c r="DZ13" s="865"/>
      <c r="EA13" s="865"/>
      <c r="EB13" s="865"/>
      <c r="EC13" s="865"/>
      <c r="ED13" s="865"/>
      <c r="EE13" s="865"/>
      <c r="EF13" s="865"/>
      <c r="EG13" s="865"/>
      <c r="EH13" s="865"/>
      <c r="EI13" s="865"/>
      <c r="EJ13" s="865"/>
      <c r="EK13" s="865"/>
      <c r="EL13" s="865"/>
      <c r="EM13" s="865"/>
      <c r="EN13" s="865"/>
      <c r="EO13" s="865"/>
      <c r="EP13" s="865"/>
      <c r="EQ13" s="865"/>
      <c r="ER13" s="865"/>
      <c r="ES13" s="865"/>
      <c r="ET13" s="865"/>
      <c r="EU13" s="865"/>
      <c r="EV13" s="865"/>
      <c r="EW13" s="865"/>
      <c r="EX13" s="865"/>
      <c r="EY13" s="865"/>
      <c r="EZ13" s="865"/>
      <c r="FA13" s="865"/>
      <c r="FB13" s="865"/>
      <c r="FC13" s="865"/>
      <c r="FD13" s="865"/>
      <c r="FE13" s="865"/>
      <c r="FF13" s="865"/>
      <c r="FG13" s="865"/>
      <c r="FH13" s="865"/>
      <c r="FI13" s="865"/>
      <c r="FJ13" s="865"/>
      <c r="FK13" s="865"/>
      <c r="FL13" s="865"/>
      <c r="FM13" s="865"/>
      <c r="FN13" s="865"/>
      <c r="FO13" s="865"/>
      <c r="FP13" s="865"/>
      <c r="FQ13" s="865"/>
      <c r="FR13" s="865"/>
      <c r="FS13" s="865"/>
      <c r="FT13" s="865"/>
      <c r="FU13" s="865"/>
      <c r="FV13" s="865"/>
      <c r="FW13" s="865"/>
      <c r="FX13" s="865"/>
      <c r="FY13" s="865"/>
      <c r="FZ13" s="865"/>
      <c r="GA13" s="865"/>
      <c r="GB13" s="865"/>
      <c r="GC13" s="865"/>
      <c r="GD13" s="865"/>
      <c r="GE13" s="865"/>
      <c r="GF13" s="865"/>
      <c r="GG13" s="865"/>
      <c r="GH13" s="865"/>
      <c r="GI13" s="865"/>
      <c r="GJ13" s="865"/>
      <c r="GK13" s="865"/>
      <c r="GL13" s="865"/>
      <c r="GM13" s="865"/>
      <c r="GN13" s="865"/>
      <c r="GO13" s="865"/>
      <c r="GP13" s="865"/>
      <c r="GQ13" s="865"/>
      <c r="GR13" s="865"/>
      <c r="GS13" s="865"/>
      <c r="GT13" s="865"/>
      <c r="GU13" s="865"/>
      <c r="GV13" s="865"/>
      <c r="GW13" s="865"/>
      <c r="GX13" s="865"/>
      <c r="GY13" s="865"/>
      <c r="GZ13" s="865"/>
      <c r="HA13" s="865"/>
      <c r="HB13" s="865"/>
      <c r="HC13" s="865"/>
      <c r="HD13" s="865"/>
      <c r="HE13" s="865"/>
      <c r="HF13" s="865"/>
      <c r="HG13" s="865"/>
      <c r="HH13" s="865"/>
      <c r="HI13" s="865"/>
      <c r="HJ13" s="865"/>
      <c r="HK13" s="865"/>
      <c r="HL13" s="865"/>
      <c r="HM13" s="865"/>
      <c r="HN13" s="865"/>
      <c r="HO13" s="865"/>
      <c r="HP13" s="865"/>
      <c r="HQ13" s="865"/>
      <c r="HR13" s="865"/>
      <c r="HS13" s="865"/>
      <c r="HT13" s="865"/>
      <c r="HU13" s="865"/>
      <c r="HV13" s="865"/>
      <c r="HW13" s="865"/>
      <c r="HX13" s="865"/>
      <c r="HY13" s="865"/>
      <c r="HZ13" s="865"/>
      <c r="IA13" s="865"/>
      <c r="IB13" s="865"/>
      <c r="IC13" s="865"/>
      <c r="ID13" s="865"/>
      <c r="IE13" s="865"/>
      <c r="IF13" s="865"/>
      <c r="IG13" s="865"/>
      <c r="IH13" s="865"/>
      <c r="II13" s="865"/>
      <c r="IJ13" s="865"/>
      <c r="IK13" s="865"/>
      <c r="IL13" s="865"/>
      <c r="IM13" s="865"/>
      <c r="IN13" s="865"/>
      <c r="IO13" s="865"/>
      <c r="IP13" s="865"/>
      <c r="IQ13" s="865"/>
      <c r="IR13" s="865"/>
      <c r="IS13" s="865"/>
      <c r="IT13" s="865"/>
      <c r="IU13" s="865"/>
      <c r="IV13" s="865"/>
      <c r="IW13" s="558"/>
    </row>
    <row r="14" customFormat="false" ht="12" hidden="false" customHeight="true" outlineLevel="0" collapsed="false">
      <c r="A14" s="791" t="s">
        <v>617</v>
      </c>
      <c r="B14" s="385"/>
      <c r="C14" s="385"/>
      <c r="D14" s="872" t="n">
        <f aca="false">IF(D$3&gt;'Project Assumptions'!$I$16,0,'Project Assumptions'!$N$67)</f>
        <v>0</v>
      </c>
      <c r="E14" s="872" t="n">
        <f aca="false">IF(E3&gt;'Project Assumptions'!$I$16,0,'Project Assumptions'!$N$67)</f>
        <v>0</v>
      </c>
      <c r="F14" s="872" t="n">
        <f aca="false">IF(F3&gt;'Project Assumptions'!$I$16,0,'Project Assumptions'!$N$67)</f>
        <v>0</v>
      </c>
      <c r="G14" s="872" t="n">
        <f aca="false">IF(G3&gt;'Project Assumptions'!$I$16,0,'Project Assumptions'!$N$67)</f>
        <v>0</v>
      </c>
      <c r="H14" s="872" t="n">
        <f aca="false">IF(H3&gt;'Project Assumptions'!$I$16,0,'Project Assumptions'!$N$67)</f>
        <v>0</v>
      </c>
      <c r="I14" s="872" t="n">
        <f aca="false">IF(I3&gt;'Project Assumptions'!$I$16,0,'Project Assumptions'!$N$67)</f>
        <v>0</v>
      </c>
      <c r="J14" s="872" t="n">
        <f aca="false">IF(J3&gt;'Project Assumptions'!$I$16,0,'Project Assumptions'!$N$67)</f>
        <v>0</v>
      </c>
      <c r="K14" s="872" t="n">
        <f aca="false">IF(K3&gt;'Project Assumptions'!$I$16,0,'Project Assumptions'!$N$67)</f>
        <v>0</v>
      </c>
      <c r="L14" s="872" t="n">
        <f aca="false">IF(L3&gt;'Project Assumptions'!$I$16,0,'Project Assumptions'!$N$67)</f>
        <v>0</v>
      </c>
      <c r="M14" s="872" t="n">
        <f aca="false">IF(M3&gt;'Project Assumptions'!$I$16,0,'Project Assumptions'!$N$67)</f>
        <v>0</v>
      </c>
      <c r="N14" s="872" t="n">
        <f aca="false">IF(N3&gt;'Project Assumptions'!$I$16,0,'Project Assumptions'!$N$67)</f>
        <v>0</v>
      </c>
      <c r="O14" s="872" t="n">
        <f aca="false">IF(O3&gt;'Project Assumptions'!$I$16,0,'Project Assumptions'!$N$67)</f>
        <v>0</v>
      </c>
      <c r="P14" s="872" t="n">
        <f aca="false">IF(P3&gt;'Project Assumptions'!$I$16,0,'Project Assumptions'!$N$67)</f>
        <v>0</v>
      </c>
      <c r="Q14" s="872" t="n">
        <f aca="false">IF(Q3&gt;'Project Assumptions'!$I$16,0,'Project Assumptions'!$N$67)</f>
        <v>0</v>
      </c>
      <c r="R14" s="872" t="n">
        <f aca="false">IF(R3&gt;'Project Assumptions'!$I$16,0,'Project Assumptions'!$N$67)</f>
        <v>0</v>
      </c>
      <c r="S14" s="872" t="n">
        <f aca="false">IF(S3&gt;'Project Assumptions'!$I$16,0,'Project Assumptions'!$N$67)</f>
        <v>0</v>
      </c>
      <c r="T14" s="872" t="n">
        <f aca="false">IF(T3&gt;'Project Assumptions'!$I$16,0,'Project Assumptions'!$N$67)</f>
        <v>0</v>
      </c>
      <c r="U14" s="872" t="n">
        <f aca="false">IF(U3&gt;'Project Assumptions'!$I$16,0,'Project Assumptions'!$N$67)</f>
        <v>0</v>
      </c>
      <c r="V14" s="872" t="n">
        <f aca="false">IF(V3&gt;'Project Assumptions'!$I$16,0,'Project Assumptions'!$N$67)</f>
        <v>0</v>
      </c>
      <c r="W14" s="872" t="n">
        <f aca="false">IF(W3&gt;'Project Assumptions'!$I$16,0,'Project Assumptions'!$N$67)</f>
        <v>0</v>
      </c>
      <c r="X14" s="872" t="n">
        <f aca="false">IF(X3&gt;'Project Assumptions'!$I$16,0,'Project Assumptions'!$N$67)</f>
        <v>0</v>
      </c>
      <c r="Y14" s="872" t="n">
        <f aca="false">IF(Y3&gt;'Project Assumptions'!$I$16,0,'Project Assumptions'!$N$67)</f>
        <v>0</v>
      </c>
      <c r="Z14" s="872" t="n">
        <f aca="false">IF(Z3&gt;'Project Assumptions'!$I$16,0,'Project Assumptions'!$N$67)</f>
        <v>0</v>
      </c>
      <c r="AA14" s="872" t="n">
        <f aca="false">IF(AA3&gt;'Project Assumptions'!$I$16,0,'Project Assumptions'!$N$67)</f>
        <v>0</v>
      </c>
      <c r="AB14" s="873" t="n">
        <f aca="false">IF(AB3&gt;'Project Assumptions'!$I$16,0,'Project Assumptions'!$N$67)</f>
        <v>0</v>
      </c>
      <c r="AC14" s="385"/>
      <c r="AD14" s="385"/>
      <c r="AE14" s="865"/>
      <c r="AF14" s="865"/>
      <c r="AG14" s="865"/>
      <c r="AH14" s="865"/>
      <c r="AI14" s="865"/>
      <c r="AJ14" s="865"/>
      <c r="AK14" s="865"/>
      <c r="AL14" s="865"/>
      <c r="AM14" s="865"/>
      <c r="AN14" s="865"/>
      <c r="AO14" s="865"/>
      <c r="AP14" s="865"/>
      <c r="AQ14" s="865"/>
      <c r="AR14" s="865"/>
      <c r="AS14" s="865"/>
      <c r="AT14" s="865"/>
      <c r="AU14" s="865"/>
      <c r="AV14" s="865"/>
      <c r="AW14" s="865"/>
      <c r="AX14" s="865"/>
      <c r="AY14" s="865"/>
      <c r="AZ14" s="865"/>
      <c r="BA14" s="865"/>
      <c r="BB14" s="865"/>
      <c r="BC14" s="865"/>
      <c r="BD14" s="865"/>
      <c r="BE14" s="865"/>
      <c r="BF14" s="865"/>
      <c r="BG14" s="865"/>
      <c r="BH14" s="865"/>
      <c r="BI14" s="865"/>
      <c r="BJ14" s="865"/>
      <c r="BK14" s="865"/>
      <c r="BL14" s="865"/>
      <c r="BM14" s="865"/>
      <c r="BN14" s="865"/>
      <c r="BO14" s="865"/>
      <c r="BP14" s="865"/>
      <c r="BQ14" s="865"/>
      <c r="BR14" s="865"/>
      <c r="BS14" s="865"/>
      <c r="BT14" s="865"/>
      <c r="BU14" s="865"/>
      <c r="BV14" s="865"/>
      <c r="BW14" s="865"/>
      <c r="BX14" s="865"/>
      <c r="BY14" s="865"/>
      <c r="BZ14" s="865"/>
      <c r="CA14" s="865"/>
      <c r="CB14" s="865"/>
      <c r="CC14" s="865"/>
      <c r="CD14" s="865"/>
      <c r="CE14" s="865"/>
      <c r="CF14" s="865"/>
      <c r="CG14" s="865"/>
      <c r="CH14" s="865"/>
      <c r="CI14" s="865"/>
      <c r="CJ14" s="865"/>
      <c r="CK14" s="865"/>
      <c r="CL14" s="865"/>
      <c r="CM14" s="865"/>
      <c r="CN14" s="865"/>
      <c r="CO14" s="865"/>
      <c r="CP14" s="865"/>
      <c r="CQ14" s="865"/>
      <c r="CR14" s="865"/>
      <c r="CS14" s="865"/>
      <c r="CT14" s="865"/>
      <c r="CU14" s="865"/>
      <c r="CV14" s="865"/>
      <c r="CW14" s="865"/>
      <c r="CX14" s="865"/>
      <c r="CY14" s="865"/>
      <c r="CZ14" s="865"/>
      <c r="DA14" s="865"/>
      <c r="DB14" s="865"/>
      <c r="DC14" s="865"/>
      <c r="DD14" s="865"/>
      <c r="DE14" s="865"/>
      <c r="DF14" s="865"/>
      <c r="DG14" s="865"/>
      <c r="DH14" s="865"/>
      <c r="DI14" s="865"/>
      <c r="DJ14" s="865"/>
      <c r="DK14" s="865"/>
      <c r="DL14" s="865"/>
      <c r="DM14" s="865"/>
      <c r="DN14" s="865"/>
      <c r="DO14" s="865"/>
      <c r="DP14" s="865"/>
      <c r="DQ14" s="865"/>
      <c r="DR14" s="865"/>
      <c r="DS14" s="865"/>
      <c r="DT14" s="865"/>
      <c r="DU14" s="865"/>
      <c r="DV14" s="865"/>
      <c r="DW14" s="865"/>
      <c r="DX14" s="865"/>
      <c r="DY14" s="865"/>
      <c r="DZ14" s="865"/>
      <c r="EA14" s="865"/>
      <c r="EB14" s="865"/>
      <c r="EC14" s="865"/>
      <c r="ED14" s="865"/>
      <c r="EE14" s="865"/>
      <c r="EF14" s="865"/>
      <c r="EG14" s="865"/>
      <c r="EH14" s="865"/>
      <c r="EI14" s="865"/>
      <c r="EJ14" s="865"/>
      <c r="EK14" s="865"/>
      <c r="EL14" s="865"/>
      <c r="EM14" s="865"/>
      <c r="EN14" s="865"/>
      <c r="EO14" s="865"/>
      <c r="EP14" s="865"/>
      <c r="EQ14" s="865"/>
      <c r="ER14" s="865"/>
      <c r="ES14" s="865"/>
      <c r="ET14" s="865"/>
      <c r="EU14" s="865"/>
      <c r="EV14" s="865"/>
      <c r="EW14" s="865"/>
      <c r="EX14" s="865"/>
      <c r="EY14" s="865"/>
      <c r="EZ14" s="865"/>
      <c r="FA14" s="865"/>
      <c r="FB14" s="865"/>
      <c r="FC14" s="865"/>
      <c r="FD14" s="865"/>
      <c r="FE14" s="865"/>
      <c r="FF14" s="865"/>
      <c r="FG14" s="865"/>
      <c r="FH14" s="865"/>
      <c r="FI14" s="865"/>
      <c r="FJ14" s="865"/>
      <c r="FK14" s="865"/>
      <c r="FL14" s="865"/>
      <c r="FM14" s="865"/>
      <c r="FN14" s="865"/>
      <c r="FO14" s="865"/>
      <c r="FP14" s="865"/>
      <c r="FQ14" s="865"/>
      <c r="FR14" s="865"/>
      <c r="FS14" s="865"/>
      <c r="FT14" s="865"/>
      <c r="FU14" s="865"/>
      <c r="FV14" s="865"/>
      <c r="FW14" s="865"/>
      <c r="FX14" s="865"/>
      <c r="FY14" s="865"/>
      <c r="FZ14" s="865"/>
      <c r="GA14" s="865"/>
      <c r="GB14" s="865"/>
      <c r="GC14" s="865"/>
      <c r="GD14" s="865"/>
      <c r="GE14" s="865"/>
      <c r="GF14" s="865"/>
      <c r="GG14" s="865"/>
      <c r="GH14" s="865"/>
      <c r="GI14" s="865"/>
      <c r="GJ14" s="865"/>
      <c r="GK14" s="865"/>
      <c r="GL14" s="865"/>
      <c r="GM14" s="865"/>
      <c r="GN14" s="865"/>
      <c r="GO14" s="865"/>
      <c r="GP14" s="865"/>
      <c r="GQ14" s="865"/>
      <c r="GR14" s="865"/>
      <c r="GS14" s="865"/>
      <c r="GT14" s="865"/>
      <c r="GU14" s="865"/>
      <c r="GV14" s="865"/>
      <c r="GW14" s="865"/>
      <c r="GX14" s="865"/>
      <c r="GY14" s="865"/>
      <c r="GZ14" s="865"/>
      <c r="HA14" s="865"/>
      <c r="HB14" s="865"/>
      <c r="HC14" s="865"/>
      <c r="HD14" s="865"/>
      <c r="HE14" s="865"/>
      <c r="HF14" s="865"/>
      <c r="HG14" s="865"/>
      <c r="HH14" s="865"/>
      <c r="HI14" s="865"/>
      <c r="HJ14" s="865"/>
      <c r="HK14" s="865"/>
      <c r="HL14" s="865"/>
      <c r="HM14" s="865"/>
      <c r="HN14" s="865"/>
      <c r="HO14" s="865"/>
      <c r="HP14" s="865"/>
      <c r="HQ14" s="865"/>
      <c r="HR14" s="865"/>
      <c r="HS14" s="865"/>
      <c r="HT14" s="865"/>
      <c r="HU14" s="865"/>
      <c r="HV14" s="865"/>
      <c r="HW14" s="865"/>
      <c r="HX14" s="865"/>
      <c r="HY14" s="865"/>
      <c r="HZ14" s="865"/>
      <c r="IA14" s="865"/>
      <c r="IB14" s="865"/>
      <c r="IC14" s="865"/>
      <c r="ID14" s="865"/>
      <c r="IE14" s="865"/>
      <c r="IF14" s="865"/>
      <c r="IG14" s="865"/>
      <c r="IH14" s="865"/>
      <c r="II14" s="865"/>
      <c r="IJ14" s="865"/>
      <c r="IK14" s="865"/>
      <c r="IL14" s="865"/>
      <c r="IM14" s="865"/>
      <c r="IN14" s="865"/>
      <c r="IO14" s="865"/>
      <c r="IP14" s="865"/>
      <c r="IQ14" s="865"/>
      <c r="IR14" s="865"/>
      <c r="IS14" s="865"/>
      <c r="IT14" s="865"/>
      <c r="IU14" s="865"/>
      <c r="IV14" s="865"/>
      <c r="IW14" s="558"/>
    </row>
    <row r="15" customFormat="false" ht="12" hidden="false" customHeight="true" outlineLevel="0" collapsed="false">
      <c r="A15" s="787" t="s">
        <v>618</v>
      </c>
      <c r="B15" s="434"/>
      <c r="C15" s="434"/>
      <c r="D15" s="732" t="n">
        <v>0</v>
      </c>
      <c r="E15" s="732" t="n">
        <v>0</v>
      </c>
      <c r="F15" s="732" t="n">
        <v>0</v>
      </c>
      <c r="G15" s="732" t="n">
        <v>0</v>
      </c>
      <c r="H15" s="732" t="n">
        <v>0</v>
      </c>
      <c r="I15" s="732" t="n">
        <v>0</v>
      </c>
      <c r="J15" s="732" t="n">
        <v>0</v>
      </c>
      <c r="K15" s="732" t="n">
        <v>0</v>
      </c>
      <c r="L15" s="732" t="n">
        <v>0</v>
      </c>
      <c r="M15" s="732" t="n">
        <v>0</v>
      </c>
      <c r="N15" s="732" t="n">
        <v>0</v>
      </c>
      <c r="O15" s="732" t="n">
        <v>0</v>
      </c>
      <c r="P15" s="732" t="n">
        <v>0</v>
      </c>
      <c r="Q15" s="732" t="n">
        <v>0</v>
      </c>
      <c r="R15" s="732" t="n">
        <v>0</v>
      </c>
      <c r="S15" s="732" t="n">
        <v>0</v>
      </c>
      <c r="T15" s="732" t="n">
        <v>0</v>
      </c>
      <c r="U15" s="732" t="n">
        <v>0</v>
      </c>
      <c r="V15" s="732" t="n">
        <v>0</v>
      </c>
      <c r="W15" s="732" t="n">
        <v>0</v>
      </c>
      <c r="X15" s="732" t="n">
        <v>0</v>
      </c>
      <c r="Y15" s="732" t="n">
        <v>0</v>
      </c>
      <c r="Z15" s="732" t="n">
        <v>0</v>
      </c>
      <c r="AA15" s="732" t="n">
        <v>0</v>
      </c>
      <c r="AB15" s="733" t="n">
        <v>0</v>
      </c>
      <c r="AC15" s="385"/>
      <c r="AD15" s="385"/>
      <c r="AE15" s="865"/>
      <c r="AF15" s="865"/>
      <c r="AG15" s="865"/>
      <c r="AH15" s="865"/>
      <c r="AI15" s="865"/>
      <c r="AJ15" s="865"/>
      <c r="AK15" s="865"/>
      <c r="AL15" s="865"/>
      <c r="AM15" s="865"/>
      <c r="AN15" s="865"/>
      <c r="AO15" s="865"/>
      <c r="AP15" s="865"/>
      <c r="AQ15" s="865"/>
      <c r="AR15" s="865"/>
      <c r="AS15" s="865"/>
      <c r="AT15" s="865"/>
      <c r="AU15" s="865"/>
      <c r="AV15" s="865"/>
      <c r="AW15" s="865"/>
      <c r="AX15" s="865"/>
      <c r="AY15" s="865"/>
      <c r="AZ15" s="865"/>
      <c r="BA15" s="865"/>
      <c r="BB15" s="865"/>
      <c r="BC15" s="865"/>
      <c r="BD15" s="865"/>
      <c r="BE15" s="865"/>
      <c r="BF15" s="865"/>
      <c r="BG15" s="865"/>
      <c r="BH15" s="865"/>
      <c r="BI15" s="865"/>
      <c r="BJ15" s="865"/>
      <c r="BK15" s="865"/>
      <c r="BL15" s="865"/>
      <c r="BM15" s="865"/>
      <c r="BN15" s="865"/>
      <c r="BO15" s="865"/>
      <c r="BP15" s="865"/>
      <c r="BQ15" s="865"/>
      <c r="BR15" s="865"/>
      <c r="BS15" s="865"/>
      <c r="BT15" s="865"/>
      <c r="BU15" s="865"/>
      <c r="BV15" s="865"/>
      <c r="BW15" s="865"/>
      <c r="BX15" s="865"/>
      <c r="BY15" s="865"/>
      <c r="BZ15" s="865"/>
      <c r="CA15" s="865"/>
      <c r="CB15" s="865"/>
      <c r="CC15" s="865"/>
      <c r="CD15" s="865"/>
      <c r="CE15" s="865"/>
      <c r="CF15" s="865"/>
      <c r="CG15" s="865"/>
      <c r="CH15" s="865"/>
      <c r="CI15" s="865"/>
      <c r="CJ15" s="865"/>
      <c r="CK15" s="865"/>
      <c r="CL15" s="865"/>
      <c r="CM15" s="865"/>
      <c r="CN15" s="865"/>
      <c r="CO15" s="865"/>
      <c r="CP15" s="865"/>
      <c r="CQ15" s="865"/>
      <c r="CR15" s="865"/>
      <c r="CS15" s="865"/>
      <c r="CT15" s="865"/>
      <c r="CU15" s="865"/>
      <c r="CV15" s="865"/>
      <c r="CW15" s="865"/>
      <c r="CX15" s="865"/>
      <c r="CY15" s="865"/>
      <c r="CZ15" s="865"/>
      <c r="DA15" s="865"/>
      <c r="DB15" s="865"/>
      <c r="DC15" s="865"/>
      <c r="DD15" s="865"/>
      <c r="DE15" s="865"/>
      <c r="DF15" s="865"/>
      <c r="DG15" s="865"/>
      <c r="DH15" s="865"/>
      <c r="DI15" s="865"/>
      <c r="DJ15" s="865"/>
      <c r="DK15" s="865"/>
      <c r="DL15" s="865"/>
      <c r="DM15" s="865"/>
      <c r="DN15" s="865"/>
      <c r="DO15" s="865"/>
      <c r="DP15" s="865"/>
      <c r="DQ15" s="865"/>
      <c r="DR15" s="865"/>
      <c r="DS15" s="865"/>
      <c r="DT15" s="865"/>
      <c r="DU15" s="865"/>
      <c r="DV15" s="865"/>
      <c r="DW15" s="865"/>
      <c r="DX15" s="865"/>
      <c r="DY15" s="865"/>
      <c r="DZ15" s="865"/>
      <c r="EA15" s="865"/>
      <c r="EB15" s="865"/>
      <c r="EC15" s="865"/>
      <c r="ED15" s="865"/>
      <c r="EE15" s="865"/>
      <c r="EF15" s="865"/>
      <c r="EG15" s="865"/>
      <c r="EH15" s="865"/>
      <c r="EI15" s="865"/>
      <c r="EJ15" s="865"/>
      <c r="EK15" s="865"/>
      <c r="EL15" s="865"/>
      <c r="EM15" s="865"/>
      <c r="EN15" s="865"/>
      <c r="EO15" s="865"/>
      <c r="EP15" s="865"/>
      <c r="EQ15" s="865"/>
      <c r="ER15" s="865"/>
      <c r="ES15" s="865"/>
      <c r="ET15" s="865"/>
      <c r="EU15" s="865"/>
      <c r="EV15" s="865"/>
      <c r="EW15" s="865"/>
      <c r="EX15" s="865"/>
      <c r="EY15" s="865"/>
      <c r="EZ15" s="865"/>
      <c r="FA15" s="865"/>
      <c r="FB15" s="865"/>
      <c r="FC15" s="865"/>
      <c r="FD15" s="865"/>
      <c r="FE15" s="865"/>
      <c r="FF15" s="865"/>
      <c r="FG15" s="865"/>
      <c r="FH15" s="865"/>
      <c r="FI15" s="865"/>
      <c r="FJ15" s="865"/>
      <c r="FK15" s="865"/>
      <c r="FL15" s="865"/>
      <c r="FM15" s="865"/>
      <c r="FN15" s="865"/>
      <c r="FO15" s="865"/>
      <c r="FP15" s="865"/>
      <c r="FQ15" s="865"/>
      <c r="FR15" s="865"/>
      <c r="FS15" s="865"/>
      <c r="FT15" s="865"/>
      <c r="FU15" s="865"/>
      <c r="FV15" s="865"/>
      <c r="FW15" s="865"/>
      <c r="FX15" s="865"/>
      <c r="FY15" s="865"/>
      <c r="FZ15" s="865"/>
      <c r="GA15" s="865"/>
      <c r="GB15" s="865"/>
      <c r="GC15" s="865"/>
      <c r="GD15" s="865"/>
      <c r="GE15" s="865"/>
      <c r="GF15" s="865"/>
      <c r="GG15" s="865"/>
      <c r="GH15" s="865"/>
      <c r="GI15" s="865"/>
      <c r="GJ15" s="865"/>
      <c r="GK15" s="865"/>
      <c r="GL15" s="865"/>
      <c r="GM15" s="865"/>
      <c r="GN15" s="865"/>
      <c r="GO15" s="865"/>
      <c r="GP15" s="865"/>
      <c r="GQ15" s="865"/>
      <c r="GR15" s="865"/>
      <c r="GS15" s="865"/>
      <c r="GT15" s="865"/>
      <c r="GU15" s="865"/>
      <c r="GV15" s="865"/>
      <c r="GW15" s="865"/>
      <c r="GX15" s="865"/>
      <c r="GY15" s="865"/>
      <c r="GZ15" s="865"/>
      <c r="HA15" s="865"/>
      <c r="HB15" s="865"/>
      <c r="HC15" s="865"/>
      <c r="HD15" s="865"/>
      <c r="HE15" s="865"/>
      <c r="HF15" s="865"/>
      <c r="HG15" s="865"/>
      <c r="HH15" s="865"/>
      <c r="HI15" s="865"/>
      <c r="HJ15" s="865"/>
      <c r="HK15" s="865"/>
      <c r="HL15" s="865"/>
      <c r="HM15" s="865"/>
      <c r="HN15" s="865"/>
      <c r="HO15" s="865"/>
      <c r="HP15" s="865"/>
      <c r="HQ15" s="865"/>
      <c r="HR15" s="865"/>
      <c r="HS15" s="865"/>
      <c r="HT15" s="865"/>
      <c r="HU15" s="865"/>
      <c r="HV15" s="865"/>
      <c r="HW15" s="865"/>
      <c r="HX15" s="865"/>
      <c r="HY15" s="865"/>
      <c r="HZ15" s="865"/>
      <c r="IA15" s="865"/>
      <c r="IB15" s="865"/>
      <c r="IC15" s="865"/>
      <c r="ID15" s="865"/>
      <c r="IE15" s="865"/>
      <c r="IF15" s="865"/>
      <c r="IG15" s="865"/>
      <c r="IH15" s="865"/>
      <c r="II15" s="865"/>
      <c r="IJ15" s="865"/>
      <c r="IK15" s="865"/>
      <c r="IL15" s="865"/>
      <c r="IM15" s="865"/>
      <c r="IN15" s="865"/>
      <c r="IO15" s="865"/>
      <c r="IP15" s="865"/>
      <c r="IQ15" s="865"/>
      <c r="IR15" s="865"/>
      <c r="IS15" s="865"/>
      <c r="IT15" s="865"/>
      <c r="IU15" s="865"/>
      <c r="IV15" s="865"/>
      <c r="IW15" s="558"/>
    </row>
    <row r="16" customFormat="false" ht="12" hidden="false" customHeight="true" outlineLevel="0" collapsed="false">
      <c r="A16" s="791"/>
      <c r="B16" s="385"/>
      <c r="C16" s="385"/>
      <c r="D16" s="438"/>
      <c r="E16" s="438"/>
      <c r="F16" s="438"/>
      <c r="G16" s="438"/>
      <c r="H16" s="438"/>
      <c r="I16" s="438"/>
      <c r="J16" s="438"/>
      <c r="K16" s="438"/>
      <c r="L16" s="438"/>
      <c r="M16" s="438"/>
      <c r="N16" s="438"/>
      <c r="O16" s="438"/>
      <c r="P16" s="438"/>
      <c r="Q16" s="438"/>
      <c r="R16" s="438"/>
      <c r="S16" s="438"/>
      <c r="T16" s="438"/>
      <c r="U16" s="438"/>
      <c r="V16" s="438"/>
      <c r="W16" s="438"/>
      <c r="X16" s="438"/>
      <c r="Y16" s="438"/>
      <c r="Z16" s="438"/>
      <c r="AA16" s="438"/>
      <c r="AB16" s="439"/>
      <c r="AC16" s="385"/>
      <c r="AD16" s="385"/>
      <c r="AE16" s="865"/>
      <c r="AF16" s="865"/>
      <c r="AG16" s="865"/>
      <c r="AH16" s="865"/>
      <c r="AI16" s="865"/>
      <c r="AJ16" s="865"/>
      <c r="AK16" s="865"/>
      <c r="AL16" s="865"/>
      <c r="AM16" s="865"/>
      <c r="AN16" s="865"/>
      <c r="AO16" s="865"/>
      <c r="AP16" s="865"/>
      <c r="AQ16" s="865"/>
      <c r="AR16" s="865"/>
      <c r="AS16" s="865"/>
      <c r="AT16" s="865"/>
      <c r="AU16" s="865"/>
      <c r="AV16" s="865"/>
      <c r="AW16" s="865"/>
      <c r="AX16" s="865"/>
      <c r="AY16" s="865"/>
      <c r="AZ16" s="865"/>
      <c r="BA16" s="865"/>
      <c r="BB16" s="865"/>
      <c r="BC16" s="865"/>
      <c r="BD16" s="865"/>
      <c r="BE16" s="865"/>
      <c r="BF16" s="865"/>
      <c r="BG16" s="865"/>
      <c r="BH16" s="865"/>
      <c r="BI16" s="865"/>
      <c r="BJ16" s="865"/>
      <c r="BK16" s="865"/>
      <c r="BL16" s="865"/>
      <c r="BM16" s="865"/>
      <c r="BN16" s="865"/>
      <c r="BO16" s="865"/>
      <c r="BP16" s="865"/>
      <c r="BQ16" s="865"/>
      <c r="BR16" s="865"/>
      <c r="BS16" s="865"/>
      <c r="BT16" s="865"/>
      <c r="BU16" s="865"/>
      <c r="BV16" s="865"/>
      <c r="BW16" s="865"/>
      <c r="BX16" s="865"/>
      <c r="BY16" s="865"/>
      <c r="BZ16" s="865"/>
      <c r="CA16" s="865"/>
      <c r="CB16" s="865"/>
      <c r="CC16" s="865"/>
      <c r="CD16" s="865"/>
      <c r="CE16" s="865"/>
      <c r="CF16" s="865"/>
      <c r="CG16" s="865"/>
      <c r="CH16" s="865"/>
      <c r="CI16" s="865"/>
      <c r="CJ16" s="865"/>
      <c r="CK16" s="865"/>
      <c r="CL16" s="865"/>
      <c r="CM16" s="865"/>
      <c r="CN16" s="865"/>
      <c r="CO16" s="865"/>
      <c r="CP16" s="865"/>
      <c r="CQ16" s="865"/>
      <c r="CR16" s="865"/>
      <c r="CS16" s="865"/>
      <c r="CT16" s="865"/>
      <c r="CU16" s="865"/>
      <c r="CV16" s="865"/>
      <c r="CW16" s="865"/>
      <c r="CX16" s="865"/>
      <c r="CY16" s="865"/>
      <c r="CZ16" s="865"/>
      <c r="DA16" s="865"/>
      <c r="DB16" s="865"/>
      <c r="DC16" s="865"/>
      <c r="DD16" s="865"/>
      <c r="DE16" s="865"/>
      <c r="DF16" s="865"/>
      <c r="DG16" s="865"/>
      <c r="DH16" s="865"/>
      <c r="DI16" s="865"/>
      <c r="DJ16" s="865"/>
      <c r="DK16" s="865"/>
      <c r="DL16" s="865"/>
      <c r="DM16" s="865"/>
      <c r="DN16" s="865"/>
      <c r="DO16" s="865"/>
      <c r="DP16" s="865"/>
      <c r="DQ16" s="865"/>
      <c r="DR16" s="865"/>
      <c r="DS16" s="865"/>
      <c r="DT16" s="865"/>
      <c r="DU16" s="865"/>
      <c r="DV16" s="865"/>
      <c r="DW16" s="865"/>
      <c r="DX16" s="865"/>
      <c r="DY16" s="865"/>
      <c r="DZ16" s="865"/>
      <c r="EA16" s="865"/>
      <c r="EB16" s="865"/>
      <c r="EC16" s="865"/>
      <c r="ED16" s="865"/>
      <c r="EE16" s="865"/>
      <c r="EF16" s="865"/>
      <c r="EG16" s="865"/>
      <c r="EH16" s="865"/>
      <c r="EI16" s="865"/>
      <c r="EJ16" s="865"/>
      <c r="EK16" s="865"/>
      <c r="EL16" s="865"/>
      <c r="EM16" s="865"/>
      <c r="EN16" s="865"/>
      <c r="EO16" s="865"/>
      <c r="EP16" s="865"/>
      <c r="EQ16" s="865"/>
      <c r="ER16" s="865"/>
      <c r="ES16" s="865"/>
      <c r="ET16" s="865"/>
      <c r="EU16" s="865"/>
      <c r="EV16" s="865"/>
      <c r="EW16" s="865"/>
      <c r="EX16" s="865"/>
      <c r="EY16" s="865"/>
      <c r="EZ16" s="865"/>
      <c r="FA16" s="865"/>
      <c r="FB16" s="865"/>
      <c r="FC16" s="865"/>
      <c r="FD16" s="865"/>
      <c r="FE16" s="865"/>
      <c r="FF16" s="865"/>
      <c r="FG16" s="865"/>
      <c r="FH16" s="865"/>
      <c r="FI16" s="865"/>
      <c r="FJ16" s="865"/>
      <c r="FK16" s="865"/>
      <c r="FL16" s="865"/>
      <c r="FM16" s="865"/>
      <c r="FN16" s="865"/>
      <c r="FO16" s="865"/>
      <c r="FP16" s="865"/>
      <c r="FQ16" s="865"/>
      <c r="FR16" s="865"/>
      <c r="FS16" s="865"/>
      <c r="FT16" s="865"/>
      <c r="FU16" s="865"/>
      <c r="FV16" s="865"/>
      <c r="FW16" s="865"/>
      <c r="FX16" s="865"/>
      <c r="FY16" s="865"/>
      <c r="FZ16" s="865"/>
      <c r="GA16" s="865"/>
      <c r="GB16" s="865"/>
      <c r="GC16" s="865"/>
      <c r="GD16" s="865"/>
      <c r="GE16" s="865"/>
      <c r="GF16" s="865"/>
      <c r="GG16" s="865"/>
      <c r="GH16" s="865"/>
      <c r="GI16" s="865"/>
      <c r="GJ16" s="865"/>
      <c r="GK16" s="865"/>
      <c r="GL16" s="865"/>
      <c r="GM16" s="865"/>
      <c r="GN16" s="865"/>
      <c r="GO16" s="865"/>
      <c r="GP16" s="865"/>
      <c r="GQ16" s="865"/>
      <c r="GR16" s="865"/>
      <c r="GS16" s="865"/>
      <c r="GT16" s="865"/>
      <c r="GU16" s="865"/>
      <c r="GV16" s="865"/>
      <c r="GW16" s="865"/>
      <c r="GX16" s="865"/>
      <c r="GY16" s="865"/>
      <c r="GZ16" s="865"/>
      <c r="HA16" s="865"/>
      <c r="HB16" s="865"/>
      <c r="HC16" s="865"/>
      <c r="HD16" s="865"/>
      <c r="HE16" s="865"/>
      <c r="HF16" s="865"/>
      <c r="HG16" s="865"/>
      <c r="HH16" s="865"/>
      <c r="HI16" s="865"/>
      <c r="HJ16" s="865"/>
      <c r="HK16" s="865"/>
      <c r="HL16" s="865"/>
      <c r="HM16" s="865"/>
      <c r="HN16" s="865"/>
      <c r="HO16" s="865"/>
      <c r="HP16" s="865"/>
      <c r="HQ16" s="865"/>
      <c r="HR16" s="865"/>
      <c r="HS16" s="865"/>
      <c r="HT16" s="865"/>
      <c r="HU16" s="865"/>
      <c r="HV16" s="865"/>
      <c r="HW16" s="865"/>
      <c r="HX16" s="865"/>
      <c r="HY16" s="865"/>
      <c r="HZ16" s="865"/>
      <c r="IA16" s="865"/>
      <c r="IB16" s="865"/>
      <c r="IC16" s="865"/>
      <c r="ID16" s="865"/>
      <c r="IE16" s="865"/>
      <c r="IF16" s="865"/>
      <c r="IG16" s="865"/>
      <c r="IH16" s="865"/>
      <c r="II16" s="865"/>
      <c r="IJ16" s="865"/>
      <c r="IK16" s="865"/>
      <c r="IL16" s="865"/>
      <c r="IM16" s="865"/>
      <c r="IN16" s="865"/>
      <c r="IO16" s="865"/>
      <c r="IP16" s="865"/>
      <c r="IQ16" s="865"/>
      <c r="IR16" s="865"/>
      <c r="IS16" s="865"/>
      <c r="IT16" s="865"/>
      <c r="IU16" s="865"/>
      <c r="IV16" s="865"/>
      <c r="IW16" s="558"/>
    </row>
    <row r="17" customFormat="false" ht="12" hidden="false" customHeight="true" outlineLevel="0" collapsed="false">
      <c r="A17" s="874" t="s">
        <v>619</v>
      </c>
      <c r="B17" s="385"/>
      <c r="C17" s="385"/>
      <c r="D17" s="385"/>
      <c r="E17" s="385"/>
      <c r="F17" s="385"/>
      <c r="G17" s="385"/>
      <c r="H17" s="385"/>
      <c r="I17" s="385"/>
      <c r="J17" s="385"/>
      <c r="K17" s="385"/>
      <c r="L17" s="385"/>
      <c r="M17" s="385"/>
      <c r="N17" s="385"/>
      <c r="O17" s="385"/>
      <c r="P17" s="385"/>
      <c r="Q17" s="385"/>
      <c r="R17" s="385"/>
      <c r="S17" s="385"/>
      <c r="T17" s="385"/>
      <c r="U17" s="385"/>
      <c r="V17" s="385"/>
      <c r="W17" s="385"/>
      <c r="X17" s="385"/>
      <c r="Y17" s="385"/>
      <c r="Z17" s="385"/>
      <c r="AA17" s="385"/>
      <c r="AB17" s="416"/>
      <c r="AC17" s="385"/>
      <c r="AD17" s="385"/>
    </row>
    <row r="18" customFormat="false" ht="12" hidden="false" customHeight="true" outlineLevel="0" collapsed="false">
      <c r="A18" s="791" t="s">
        <v>620</v>
      </c>
      <c r="B18" s="438"/>
      <c r="C18" s="438"/>
      <c r="D18" s="438" t="n">
        <f aca="false">'Book Income Statement'!D69</f>
        <v>-3124.19495534436</v>
      </c>
      <c r="E18" s="438" t="n">
        <f aca="false">'Book Income Statement'!E69</f>
        <v>5454.8448235857</v>
      </c>
      <c r="F18" s="438" t="n">
        <f aca="false">'Book Income Statement'!F69</f>
        <v>5980.49699906176</v>
      </c>
      <c r="G18" s="438" t="n">
        <f aca="false">'Book Income Statement'!G69</f>
        <v>6385.41455898719</v>
      </c>
      <c r="H18" s="438" t="n">
        <f aca="false">'Book Income Statement'!H69</f>
        <v>12664.4646715886</v>
      </c>
      <c r="I18" s="438" t="n">
        <f aca="false">'Book Income Statement'!I69</f>
        <v>17719.0321535978</v>
      </c>
      <c r="J18" s="438" t="n">
        <f aca="false">'Book Income Statement'!J69</f>
        <v>18758.5697579623</v>
      </c>
      <c r="K18" s="438" t="n">
        <f aca="false">'Book Income Statement'!K69</f>
        <v>19494.6958522829</v>
      </c>
      <c r="L18" s="438" t="n">
        <f aca="false">'Book Income Statement'!L69</f>
        <v>20860.1142942261</v>
      </c>
      <c r="M18" s="438" t="n">
        <f aca="false">'Book Income Statement'!M69</f>
        <v>21859.6474098526</v>
      </c>
      <c r="N18" s="438" t="n">
        <f aca="false">'Book Income Statement'!N69</f>
        <v>23716.2085975934</v>
      </c>
      <c r="O18" s="438" t="n">
        <f aca="false">'Book Income Statement'!O69</f>
        <v>23433.7217567078</v>
      </c>
      <c r="P18" s="438" t="n">
        <f aca="false">'Book Income Statement'!P69</f>
        <v>24781.0060643353</v>
      </c>
      <c r="Q18" s="438" t="n">
        <f aca="false">'Book Income Statement'!Q69</f>
        <v>25434.4856833054</v>
      </c>
      <c r="R18" s="438" t="n">
        <f aca="false">'Book Income Statement'!R69</f>
        <v>26074.4900180599</v>
      </c>
      <c r="S18" s="438" t="n">
        <f aca="false">'Book Income Statement'!S69</f>
        <v>26699.9481621037</v>
      </c>
      <c r="T18" s="438" t="n">
        <f aca="false">'Book Income Statement'!T69</f>
        <v>27343.4357637991</v>
      </c>
      <c r="U18" s="438" t="n">
        <f aca="false">'Book Income Statement'!U69</f>
        <v>28247.7659088554</v>
      </c>
      <c r="V18" s="438" t="n">
        <f aca="false">'Book Income Statement'!V69</f>
        <v>29238.351545871</v>
      </c>
      <c r="W18" s="438" t="n">
        <f aca="false">'Book Income Statement'!W69</f>
        <v>30264.9718499694</v>
      </c>
      <c r="X18" s="438" t="n">
        <f aca="false">'Book Income Statement'!X69</f>
        <v>31350.5487048607</v>
      </c>
      <c r="Y18" s="438" t="n">
        <f aca="false">'Book Income Statement'!Y69</f>
        <v>0</v>
      </c>
      <c r="Z18" s="438" t="n">
        <f aca="false">'Book Income Statement'!Z69</f>
        <v>0</v>
      </c>
      <c r="AA18" s="438" t="n">
        <f aca="false">'Book Income Statement'!AA69</f>
        <v>0</v>
      </c>
      <c r="AB18" s="439" t="n">
        <f aca="false">'Book Income Statement'!AB69</f>
        <v>0</v>
      </c>
      <c r="AC18" s="438"/>
      <c r="AD18" s="438"/>
      <c r="AE18" s="713"/>
      <c r="AF18" s="713"/>
      <c r="AG18" s="713"/>
      <c r="AH18" s="713"/>
      <c r="AI18" s="713"/>
      <c r="AJ18" s="713"/>
      <c r="AK18" s="713"/>
      <c r="AL18" s="713"/>
      <c r="AM18" s="713"/>
      <c r="AN18" s="713"/>
      <c r="AO18" s="713"/>
      <c r="AP18" s="713"/>
      <c r="AQ18" s="713"/>
      <c r="AR18" s="713"/>
      <c r="AS18" s="713"/>
      <c r="AT18" s="713"/>
      <c r="AU18" s="713"/>
      <c r="AV18" s="713"/>
      <c r="AW18" s="713"/>
      <c r="AX18" s="713"/>
      <c r="AY18" s="713"/>
      <c r="AZ18" s="713"/>
      <c r="BA18" s="713"/>
      <c r="BB18" s="713"/>
      <c r="BC18" s="713"/>
      <c r="BD18" s="713"/>
      <c r="BE18" s="713"/>
      <c r="BF18" s="713"/>
      <c r="BG18" s="713"/>
      <c r="BH18" s="713"/>
      <c r="BI18" s="713"/>
      <c r="BJ18" s="713"/>
      <c r="BK18" s="713"/>
      <c r="BL18" s="713"/>
      <c r="BM18" s="713"/>
      <c r="BN18" s="713"/>
      <c r="BO18" s="713"/>
      <c r="BP18" s="713"/>
      <c r="BQ18" s="713"/>
      <c r="BR18" s="713"/>
      <c r="BS18" s="713"/>
      <c r="BT18" s="713"/>
      <c r="BU18" s="713"/>
      <c r="BV18" s="713"/>
      <c r="BW18" s="713"/>
      <c r="BX18" s="713"/>
      <c r="BY18" s="713"/>
      <c r="BZ18" s="713"/>
      <c r="CA18" s="713"/>
      <c r="CB18" s="713"/>
      <c r="CC18" s="713"/>
      <c r="CD18" s="713"/>
      <c r="CE18" s="713"/>
      <c r="CF18" s="713"/>
      <c r="CG18" s="713"/>
      <c r="CH18" s="713"/>
      <c r="CI18" s="713"/>
      <c r="CJ18" s="713"/>
      <c r="CK18" s="713"/>
      <c r="CL18" s="713"/>
      <c r="CM18" s="713"/>
      <c r="CN18" s="713"/>
      <c r="CO18" s="713"/>
      <c r="CP18" s="713"/>
      <c r="CQ18" s="713"/>
      <c r="CR18" s="713"/>
      <c r="CS18" s="713"/>
      <c r="CT18" s="713"/>
      <c r="CU18" s="713"/>
      <c r="CV18" s="713"/>
      <c r="CW18" s="713"/>
      <c r="CX18" s="713"/>
      <c r="CY18" s="713"/>
      <c r="CZ18" s="713"/>
      <c r="DA18" s="713"/>
      <c r="DB18" s="713"/>
      <c r="DC18" s="713"/>
      <c r="DD18" s="713"/>
      <c r="DE18" s="713"/>
      <c r="DF18" s="713"/>
      <c r="DG18" s="713"/>
      <c r="DH18" s="713"/>
      <c r="DI18" s="713"/>
      <c r="DJ18" s="713"/>
      <c r="DK18" s="713"/>
      <c r="DL18" s="713"/>
      <c r="DM18" s="713"/>
      <c r="DN18" s="713"/>
      <c r="DO18" s="713"/>
      <c r="DP18" s="713"/>
      <c r="DQ18" s="713"/>
      <c r="DR18" s="713"/>
      <c r="DS18" s="713"/>
      <c r="DT18" s="713"/>
      <c r="DU18" s="713"/>
      <c r="DV18" s="713"/>
      <c r="DW18" s="713"/>
      <c r="DX18" s="713"/>
      <c r="DY18" s="713"/>
      <c r="DZ18" s="713"/>
      <c r="EA18" s="713"/>
      <c r="EB18" s="713"/>
      <c r="EC18" s="713"/>
      <c r="ED18" s="713"/>
      <c r="EE18" s="713"/>
      <c r="EF18" s="713"/>
      <c r="EG18" s="713"/>
      <c r="EH18" s="713"/>
      <c r="EI18" s="713"/>
      <c r="EJ18" s="713"/>
      <c r="EK18" s="713"/>
      <c r="EL18" s="713"/>
      <c r="EM18" s="713"/>
      <c r="EN18" s="713"/>
      <c r="EO18" s="713"/>
      <c r="EP18" s="713"/>
      <c r="EQ18" s="713"/>
      <c r="ER18" s="713"/>
      <c r="ES18" s="713"/>
      <c r="ET18" s="713"/>
      <c r="EU18" s="713"/>
      <c r="EV18" s="713"/>
      <c r="EW18" s="713"/>
      <c r="EX18" s="713"/>
      <c r="EY18" s="713"/>
      <c r="EZ18" s="713"/>
      <c r="FA18" s="713"/>
      <c r="FB18" s="713"/>
      <c r="FC18" s="713"/>
      <c r="FD18" s="713"/>
      <c r="FE18" s="713"/>
      <c r="FF18" s="713"/>
      <c r="FG18" s="713"/>
      <c r="FH18" s="713"/>
      <c r="FI18" s="713"/>
      <c r="FJ18" s="713"/>
      <c r="FK18" s="713"/>
      <c r="FL18" s="713"/>
      <c r="FM18" s="713"/>
      <c r="FN18" s="713"/>
      <c r="FO18" s="713"/>
      <c r="FP18" s="713"/>
      <c r="FQ18" s="713"/>
      <c r="FR18" s="713"/>
      <c r="FS18" s="713"/>
      <c r="FT18" s="713"/>
      <c r="FU18" s="713"/>
      <c r="FV18" s="713"/>
      <c r="FW18" s="713"/>
      <c r="FX18" s="713"/>
      <c r="FY18" s="713"/>
      <c r="FZ18" s="713"/>
      <c r="GA18" s="713"/>
      <c r="GB18" s="713"/>
      <c r="GC18" s="713"/>
      <c r="GD18" s="713"/>
      <c r="GE18" s="713"/>
      <c r="GF18" s="713"/>
      <c r="GG18" s="713"/>
      <c r="GH18" s="713"/>
      <c r="GI18" s="713"/>
      <c r="GJ18" s="713"/>
      <c r="GK18" s="713"/>
      <c r="GL18" s="713"/>
      <c r="GM18" s="713"/>
      <c r="GN18" s="713"/>
      <c r="GO18" s="713"/>
      <c r="GP18" s="713"/>
      <c r="GQ18" s="713"/>
      <c r="GR18" s="713"/>
      <c r="GS18" s="713"/>
      <c r="GT18" s="713"/>
      <c r="GU18" s="713"/>
      <c r="GV18" s="713"/>
      <c r="GW18" s="713"/>
      <c r="GX18" s="713"/>
      <c r="GY18" s="713"/>
      <c r="GZ18" s="713"/>
      <c r="HA18" s="713"/>
      <c r="HB18" s="713"/>
      <c r="HC18" s="713"/>
      <c r="HD18" s="713"/>
      <c r="HE18" s="713"/>
      <c r="HF18" s="713"/>
      <c r="HG18" s="713"/>
      <c r="HH18" s="713"/>
      <c r="HI18" s="713"/>
      <c r="HJ18" s="713"/>
      <c r="HK18" s="713"/>
      <c r="HL18" s="713"/>
      <c r="HM18" s="713"/>
      <c r="HN18" s="713"/>
      <c r="HO18" s="713"/>
      <c r="HP18" s="713"/>
      <c r="HQ18" s="713"/>
      <c r="HR18" s="713"/>
      <c r="HS18" s="713"/>
      <c r="HT18" s="713"/>
      <c r="HU18" s="713"/>
      <c r="HV18" s="713"/>
      <c r="HW18" s="713"/>
      <c r="HX18" s="713"/>
      <c r="HY18" s="713"/>
      <c r="HZ18" s="713"/>
      <c r="IA18" s="713"/>
      <c r="IB18" s="713"/>
      <c r="IC18" s="713"/>
      <c r="ID18" s="713"/>
      <c r="IE18" s="713"/>
      <c r="IF18" s="713"/>
      <c r="IG18" s="713"/>
      <c r="IH18" s="713"/>
      <c r="II18" s="713"/>
      <c r="IJ18" s="713"/>
      <c r="IK18" s="713"/>
      <c r="IL18" s="713"/>
      <c r="IM18" s="713"/>
      <c r="IN18" s="713"/>
      <c r="IO18" s="713"/>
      <c r="IP18" s="713"/>
      <c r="IQ18" s="713"/>
      <c r="IR18" s="713"/>
      <c r="IS18" s="713"/>
      <c r="IT18" s="713"/>
      <c r="IU18" s="713"/>
      <c r="IV18" s="713"/>
      <c r="IW18" s="713"/>
    </row>
    <row r="19" customFormat="false" ht="12.75" hidden="false" customHeight="true" outlineLevel="0" collapsed="false">
      <c r="A19" s="791" t="s">
        <v>621</v>
      </c>
      <c r="B19" s="438"/>
      <c r="C19" s="438"/>
      <c r="D19" s="443" t="n">
        <f aca="false">-D15</f>
        <v>-0</v>
      </c>
      <c r="E19" s="443" t="n">
        <f aca="false">-E15</f>
        <v>-0</v>
      </c>
      <c r="F19" s="443" t="n">
        <f aca="false">-F15</f>
        <v>-0</v>
      </c>
      <c r="G19" s="443" t="n">
        <f aca="false">-G15</f>
        <v>-0</v>
      </c>
      <c r="H19" s="443" t="n">
        <f aca="false">-H15</f>
        <v>-0</v>
      </c>
      <c r="I19" s="443" t="n">
        <f aca="false">-I15</f>
        <v>-0</v>
      </c>
      <c r="J19" s="443" t="n">
        <f aca="false">-J15</f>
        <v>-0</v>
      </c>
      <c r="K19" s="443" t="n">
        <f aca="false">-K15</f>
        <v>-0</v>
      </c>
      <c r="L19" s="443" t="n">
        <f aca="false">-L15</f>
        <v>-0</v>
      </c>
      <c r="M19" s="443" t="n">
        <f aca="false">-M15</f>
        <v>-0</v>
      </c>
      <c r="N19" s="443" t="n">
        <f aca="false">-N15</f>
        <v>-0</v>
      </c>
      <c r="O19" s="443" t="n">
        <f aca="false">-O15</f>
        <v>-0</v>
      </c>
      <c r="P19" s="443" t="n">
        <f aca="false">-P15</f>
        <v>-0</v>
      </c>
      <c r="Q19" s="443" t="n">
        <f aca="false">-Q15</f>
        <v>-0</v>
      </c>
      <c r="R19" s="443" t="n">
        <f aca="false">-R15</f>
        <v>-0</v>
      </c>
      <c r="S19" s="443" t="n">
        <f aca="false">-S15</f>
        <v>-0</v>
      </c>
      <c r="T19" s="443" t="n">
        <f aca="false">-T15</f>
        <v>-0</v>
      </c>
      <c r="U19" s="443" t="n">
        <f aca="false">-U15</f>
        <v>-0</v>
      </c>
      <c r="V19" s="443" t="n">
        <f aca="false">-V15</f>
        <v>-0</v>
      </c>
      <c r="W19" s="443" t="n">
        <f aca="false">-W15</f>
        <v>-0</v>
      </c>
      <c r="X19" s="443" t="n">
        <f aca="false">-X15</f>
        <v>-0</v>
      </c>
      <c r="Y19" s="443" t="n">
        <f aca="false">-Y15</f>
        <v>-0</v>
      </c>
      <c r="Z19" s="443" t="n">
        <f aca="false">-Z15</f>
        <v>-0</v>
      </c>
      <c r="AA19" s="443" t="n">
        <f aca="false">-AA15</f>
        <v>-0</v>
      </c>
      <c r="AB19" s="444" t="n">
        <f aca="false">-AB15</f>
        <v>-0</v>
      </c>
      <c r="AC19" s="438"/>
      <c r="AD19" s="438"/>
      <c r="AE19" s="713"/>
      <c r="AF19" s="713"/>
      <c r="AG19" s="713"/>
      <c r="AH19" s="713"/>
      <c r="AI19" s="713"/>
      <c r="AJ19" s="713"/>
      <c r="AK19" s="713"/>
      <c r="AL19" s="713"/>
      <c r="AM19" s="713"/>
      <c r="AN19" s="713"/>
      <c r="AO19" s="713"/>
      <c r="AP19" s="713"/>
      <c r="AQ19" s="713"/>
      <c r="AR19" s="713"/>
      <c r="AS19" s="713"/>
      <c r="AT19" s="713"/>
      <c r="AU19" s="713"/>
      <c r="AV19" s="713"/>
      <c r="AW19" s="713"/>
      <c r="AX19" s="713"/>
      <c r="AY19" s="713"/>
      <c r="AZ19" s="713"/>
      <c r="BA19" s="713"/>
      <c r="BB19" s="713"/>
      <c r="BC19" s="713"/>
      <c r="BD19" s="713"/>
      <c r="BE19" s="713"/>
      <c r="BF19" s="713"/>
      <c r="BG19" s="713"/>
      <c r="BH19" s="713"/>
      <c r="BI19" s="713"/>
      <c r="BJ19" s="713"/>
      <c r="BK19" s="713"/>
      <c r="BL19" s="713"/>
      <c r="BM19" s="713"/>
      <c r="BN19" s="713"/>
      <c r="BO19" s="713"/>
      <c r="BP19" s="713"/>
      <c r="BQ19" s="713"/>
      <c r="BR19" s="713"/>
      <c r="BS19" s="713"/>
      <c r="BT19" s="713"/>
      <c r="BU19" s="713"/>
      <c r="BV19" s="713"/>
      <c r="BW19" s="713"/>
      <c r="BX19" s="713"/>
      <c r="BY19" s="713"/>
      <c r="BZ19" s="713"/>
      <c r="CA19" s="713"/>
      <c r="CB19" s="713"/>
      <c r="CC19" s="713"/>
      <c r="CD19" s="713"/>
      <c r="CE19" s="713"/>
      <c r="CF19" s="713"/>
      <c r="CG19" s="713"/>
      <c r="CH19" s="713"/>
      <c r="CI19" s="713"/>
      <c r="CJ19" s="713"/>
      <c r="CK19" s="713"/>
      <c r="CL19" s="713"/>
      <c r="CM19" s="713"/>
      <c r="CN19" s="713"/>
      <c r="CO19" s="713"/>
      <c r="CP19" s="713"/>
      <c r="CQ19" s="713"/>
      <c r="CR19" s="713"/>
      <c r="CS19" s="713"/>
      <c r="CT19" s="713"/>
      <c r="CU19" s="713"/>
      <c r="CV19" s="713"/>
      <c r="CW19" s="713"/>
      <c r="CX19" s="713"/>
      <c r="CY19" s="713"/>
      <c r="CZ19" s="713"/>
      <c r="DA19" s="713"/>
      <c r="DB19" s="713"/>
      <c r="DC19" s="713"/>
      <c r="DD19" s="713"/>
      <c r="DE19" s="713"/>
      <c r="DF19" s="713"/>
      <c r="DG19" s="713"/>
      <c r="DH19" s="713"/>
      <c r="DI19" s="713"/>
      <c r="DJ19" s="713"/>
      <c r="DK19" s="713"/>
      <c r="DL19" s="713"/>
      <c r="DM19" s="713"/>
      <c r="DN19" s="713"/>
      <c r="DO19" s="713"/>
      <c r="DP19" s="713"/>
      <c r="DQ19" s="713"/>
      <c r="DR19" s="713"/>
      <c r="DS19" s="713"/>
      <c r="DT19" s="713"/>
      <c r="DU19" s="713"/>
      <c r="DV19" s="713"/>
      <c r="DW19" s="713"/>
      <c r="DX19" s="713"/>
      <c r="DY19" s="713"/>
      <c r="DZ19" s="713"/>
      <c r="EA19" s="713"/>
      <c r="EB19" s="713"/>
      <c r="EC19" s="713"/>
      <c r="ED19" s="713"/>
      <c r="EE19" s="713"/>
      <c r="EF19" s="713"/>
      <c r="EG19" s="713"/>
      <c r="EH19" s="713"/>
      <c r="EI19" s="713"/>
      <c r="EJ19" s="713"/>
      <c r="EK19" s="713"/>
      <c r="EL19" s="713"/>
      <c r="EM19" s="713"/>
      <c r="EN19" s="713"/>
      <c r="EO19" s="713"/>
      <c r="EP19" s="713"/>
      <c r="EQ19" s="713"/>
      <c r="ER19" s="713"/>
      <c r="ES19" s="713"/>
      <c r="ET19" s="713"/>
      <c r="EU19" s="713"/>
      <c r="EV19" s="713"/>
      <c r="EW19" s="713"/>
      <c r="EX19" s="713"/>
      <c r="EY19" s="713"/>
      <c r="EZ19" s="713"/>
      <c r="FA19" s="713"/>
      <c r="FB19" s="713"/>
      <c r="FC19" s="713"/>
      <c r="FD19" s="713"/>
      <c r="FE19" s="713"/>
      <c r="FF19" s="713"/>
      <c r="FG19" s="713"/>
      <c r="FH19" s="713"/>
      <c r="FI19" s="713"/>
      <c r="FJ19" s="713"/>
      <c r="FK19" s="713"/>
      <c r="FL19" s="713"/>
      <c r="FM19" s="713"/>
      <c r="FN19" s="713"/>
      <c r="FO19" s="713"/>
      <c r="FP19" s="713"/>
      <c r="FQ19" s="713"/>
      <c r="FR19" s="713"/>
      <c r="FS19" s="713"/>
      <c r="FT19" s="713"/>
      <c r="FU19" s="713"/>
      <c r="FV19" s="713"/>
      <c r="FW19" s="713"/>
      <c r="FX19" s="713"/>
      <c r="FY19" s="713"/>
      <c r="FZ19" s="713"/>
      <c r="GA19" s="713"/>
      <c r="GB19" s="713"/>
      <c r="GC19" s="713"/>
      <c r="GD19" s="713"/>
      <c r="GE19" s="713"/>
      <c r="GF19" s="713"/>
      <c r="GG19" s="713"/>
      <c r="GH19" s="713"/>
      <c r="GI19" s="713"/>
      <c r="GJ19" s="713"/>
      <c r="GK19" s="713"/>
      <c r="GL19" s="713"/>
      <c r="GM19" s="713"/>
      <c r="GN19" s="713"/>
      <c r="GO19" s="713"/>
      <c r="GP19" s="713"/>
      <c r="GQ19" s="713"/>
      <c r="GR19" s="713"/>
      <c r="GS19" s="713"/>
      <c r="GT19" s="713"/>
      <c r="GU19" s="713"/>
      <c r="GV19" s="713"/>
      <c r="GW19" s="713"/>
      <c r="GX19" s="713"/>
      <c r="GY19" s="713"/>
      <c r="GZ19" s="713"/>
      <c r="HA19" s="713"/>
      <c r="HB19" s="713"/>
      <c r="HC19" s="713"/>
      <c r="HD19" s="713"/>
      <c r="HE19" s="713"/>
      <c r="HF19" s="713"/>
      <c r="HG19" s="713"/>
      <c r="HH19" s="713"/>
      <c r="HI19" s="713"/>
      <c r="HJ19" s="713"/>
      <c r="HK19" s="713"/>
      <c r="HL19" s="713"/>
      <c r="HM19" s="713"/>
      <c r="HN19" s="713"/>
      <c r="HO19" s="713"/>
      <c r="HP19" s="713"/>
      <c r="HQ19" s="713"/>
      <c r="HR19" s="713"/>
      <c r="HS19" s="713"/>
      <c r="HT19" s="713"/>
      <c r="HU19" s="713"/>
      <c r="HV19" s="713"/>
      <c r="HW19" s="713"/>
      <c r="HX19" s="713"/>
      <c r="HY19" s="713"/>
      <c r="HZ19" s="713"/>
      <c r="IA19" s="713"/>
      <c r="IB19" s="713"/>
      <c r="IC19" s="713"/>
      <c r="ID19" s="713"/>
      <c r="IE19" s="713"/>
      <c r="IF19" s="713"/>
      <c r="IG19" s="713"/>
      <c r="IH19" s="713"/>
      <c r="II19" s="713"/>
      <c r="IJ19" s="713"/>
      <c r="IK19" s="713"/>
      <c r="IL19" s="713"/>
      <c r="IM19" s="713"/>
      <c r="IN19" s="713"/>
      <c r="IO19" s="713"/>
      <c r="IP19" s="713"/>
      <c r="IQ19" s="713"/>
      <c r="IR19" s="713"/>
      <c r="IS19" s="713"/>
      <c r="IT19" s="713"/>
      <c r="IU19" s="713"/>
      <c r="IV19" s="713"/>
      <c r="IW19" s="713"/>
    </row>
    <row r="20" customFormat="false" ht="12.75" hidden="false" customHeight="true" outlineLevel="0" collapsed="false">
      <c r="A20" s="791" t="s">
        <v>622</v>
      </c>
      <c r="B20" s="438"/>
      <c r="C20" s="438"/>
      <c r="D20" s="438" t="n">
        <f aca="false">SUM(D18:D19)</f>
        <v>-3124.19495534436</v>
      </c>
      <c r="E20" s="438" t="n">
        <f aca="false">SUM(E18:E19)</f>
        <v>5454.8448235857</v>
      </c>
      <c r="F20" s="438" t="n">
        <f aca="false">SUM(F18:F19)</f>
        <v>5980.49699906176</v>
      </c>
      <c r="G20" s="438" t="n">
        <f aca="false">SUM(G18:G19)</f>
        <v>6385.41455898719</v>
      </c>
      <c r="H20" s="438" t="n">
        <f aca="false">SUM(H18:H19)</f>
        <v>12664.4646715886</v>
      </c>
      <c r="I20" s="438" t="n">
        <f aca="false">SUM(I18:I19)</f>
        <v>17719.0321535978</v>
      </c>
      <c r="J20" s="438" t="n">
        <f aca="false">SUM(J18:J19)</f>
        <v>18758.5697579623</v>
      </c>
      <c r="K20" s="438" t="n">
        <f aca="false">SUM(K18:K19)</f>
        <v>19494.6958522829</v>
      </c>
      <c r="L20" s="438" t="n">
        <f aca="false">SUM(L18:L19)</f>
        <v>20860.1142942261</v>
      </c>
      <c r="M20" s="438" t="n">
        <f aca="false">SUM(M18:M19)</f>
        <v>21859.6474098526</v>
      </c>
      <c r="N20" s="438" t="n">
        <f aca="false">SUM(N18:N19)</f>
        <v>23716.2085975934</v>
      </c>
      <c r="O20" s="438" t="n">
        <f aca="false">SUM(O18:O19)</f>
        <v>23433.7217567078</v>
      </c>
      <c r="P20" s="438" t="n">
        <f aca="false">SUM(P18:P19)</f>
        <v>24781.0060643353</v>
      </c>
      <c r="Q20" s="438" t="n">
        <f aca="false">SUM(Q18:Q19)</f>
        <v>25434.4856833054</v>
      </c>
      <c r="R20" s="438" t="n">
        <f aca="false">SUM(R18:R19)</f>
        <v>26074.4900180599</v>
      </c>
      <c r="S20" s="438" t="n">
        <f aca="false">SUM(S18:S19)</f>
        <v>26699.9481621037</v>
      </c>
      <c r="T20" s="438" t="n">
        <f aca="false">SUM(T18:T19)</f>
        <v>27343.4357637991</v>
      </c>
      <c r="U20" s="438" t="n">
        <f aca="false">SUM(U18:U19)</f>
        <v>28247.7659088554</v>
      </c>
      <c r="V20" s="438" t="n">
        <f aca="false">SUM(V18:V19)</f>
        <v>29238.351545871</v>
      </c>
      <c r="W20" s="438" t="n">
        <f aca="false">SUM(W18:W19)</f>
        <v>30264.9718499694</v>
      </c>
      <c r="X20" s="438" t="n">
        <f aca="false">SUM(X18:X19)</f>
        <v>31350.5487048607</v>
      </c>
      <c r="Y20" s="438" t="n">
        <f aca="false">SUM(Y18:Y19)</f>
        <v>0</v>
      </c>
      <c r="Z20" s="438" t="n">
        <f aca="false">SUM(Z18:Z19)</f>
        <v>0</v>
      </c>
      <c r="AA20" s="438" t="n">
        <f aca="false">SUM(AA18:AA19)</f>
        <v>0</v>
      </c>
      <c r="AB20" s="439" t="n">
        <f aca="false">SUM(AB18:AB19)</f>
        <v>0</v>
      </c>
      <c r="AC20" s="438"/>
      <c r="AD20" s="438"/>
      <c r="AE20" s="713"/>
      <c r="AF20" s="713"/>
      <c r="AG20" s="713"/>
      <c r="AH20" s="713"/>
      <c r="AI20" s="713"/>
      <c r="AJ20" s="713"/>
      <c r="AK20" s="713"/>
      <c r="AL20" s="713"/>
      <c r="AM20" s="713"/>
      <c r="AN20" s="713"/>
      <c r="AO20" s="713"/>
      <c r="AP20" s="713"/>
      <c r="AQ20" s="713"/>
      <c r="AR20" s="713"/>
      <c r="AS20" s="713"/>
      <c r="AT20" s="713"/>
      <c r="AU20" s="713"/>
      <c r="AV20" s="713"/>
      <c r="AW20" s="713"/>
      <c r="AX20" s="713"/>
      <c r="AY20" s="713"/>
      <c r="AZ20" s="713"/>
      <c r="BA20" s="713"/>
      <c r="BB20" s="713"/>
      <c r="BC20" s="713"/>
      <c r="BD20" s="713"/>
      <c r="BE20" s="713"/>
      <c r="BF20" s="713"/>
      <c r="BG20" s="713"/>
      <c r="BH20" s="713"/>
      <c r="BI20" s="713"/>
      <c r="BJ20" s="713"/>
      <c r="BK20" s="713"/>
      <c r="BL20" s="713"/>
      <c r="BM20" s="713"/>
      <c r="BN20" s="713"/>
      <c r="BO20" s="713"/>
      <c r="BP20" s="713"/>
      <c r="BQ20" s="713"/>
      <c r="BR20" s="713"/>
      <c r="BS20" s="713"/>
      <c r="BT20" s="713"/>
      <c r="BU20" s="713"/>
      <c r="BV20" s="713"/>
      <c r="BW20" s="713"/>
      <c r="BX20" s="713"/>
      <c r="BY20" s="713"/>
      <c r="BZ20" s="713"/>
      <c r="CA20" s="713"/>
      <c r="CB20" s="713"/>
      <c r="CC20" s="713"/>
      <c r="CD20" s="713"/>
      <c r="CE20" s="713"/>
      <c r="CF20" s="713"/>
      <c r="CG20" s="713"/>
      <c r="CH20" s="713"/>
      <c r="CI20" s="713"/>
      <c r="CJ20" s="713"/>
      <c r="CK20" s="713"/>
      <c r="CL20" s="713"/>
      <c r="CM20" s="713"/>
      <c r="CN20" s="713"/>
      <c r="CO20" s="713"/>
      <c r="CP20" s="713"/>
      <c r="CQ20" s="713"/>
      <c r="CR20" s="713"/>
      <c r="CS20" s="713"/>
      <c r="CT20" s="713"/>
      <c r="CU20" s="713"/>
      <c r="CV20" s="713"/>
      <c r="CW20" s="713"/>
      <c r="CX20" s="713"/>
      <c r="CY20" s="713"/>
      <c r="CZ20" s="713"/>
      <c r="DA20" s="713"/>
      <c r="DB20" s="713"/>
      <c r="DC20" s="713"/>
      <c r="DD20" s="713"/>
      <c r="DE20" s="713"/>
      <c r="DF20" s="713"/>
      <c r="DG20" s="713"/>
      <c r="DH20" s="713"/>
      <c r="DI20" s="713"/>
      <c r="DJ20" s="713"/>
      <c r="DK20" s="713"/>
      <c r="DL20" s="713"/>
      <c r="DM20" s="713"/>
      <c r="DN20" s="713"/>
      <c r="DO20" s="713"/>
      <c r="DP20" s="713"/>
      <c r="DQ20" s="713"/>
      <c r="DR20" s="713"/>
      <c r="DS20" s="713"/>
      <c r="DT20" s="713"/>
      <c r="DU20" s="713"/>
      <c r="DV20" s="713"/>
      <c r="DW20" s="713"/>
      <c r="DX20" s="713"/>
      <c r="DY20" s="713"/>
      <c r="DZ20" s="713"/>
      <c r="EA20" s="713"/>
      <c r="EB20" s="713"/>
      <c r="EC20" s="713"/>
      <c r="ED20" s="713"/>
      <c r="EE20" s="713"/>
      <c r="EF20" s="713"/>
      <c r="EG20" s="713"/>
      <c r="EH20" s="713"/>
      <c r="EI20" s="713"/>
      <c r="EJ20" s="713"/>
      <c r="EK20" s="713"/>
      <c r="EL20" s="713"/>
      <c r="EM20" s="713"/>
      <c r="EN20" s="713"/>
      <c r="EO20" s="713"/>
      <c r="EP20" s="713"/>
      <c r="EQ20" s="713"/>
      <c r="ER20" s="713"/>
      <c r="ES20" s="713"/>
      <c r="ET20" s="713"/>
      <c r="EU20" s="713"/>
      <c r="EV20" s="713"/>
      <c r="EW20" s="713"/>
      <c r="EX20" s="713"/>
      <c r="EY20" s="713"/>
      <c r="EZ20" s="713"/>
      <c r="FA20" s="713"/>
      <c r="FB20" s="713"/>
      <c r="FC20" s="713"/>
      <c r="FD20" s="713"/>
      <c r="FE20" s="713"/>
      <c r="FF20" s="713"/>
      <c r="FG20" s="713"/>
      <c r="FH20" s="713"/>
      <c r="FI20" s="713"/>
      <c r="FJ20" s="713"/>
      <c r="FK20" s="713"/>
      <c r="FL20" s="713"/>
      <c r="FM20" s="713"/>
      <c r="FN20" s="713"/>
      <c r="FO20" s="713"/>
      <c r="FP20" s="713"/>
      <c r="FQ20" s="713"/>
      <c r="FR20" s="713"/>
      <c r="FS20" s="713"/>
      <c r="FT20" s="713"/>
      <c r="FU20" s="713"/>
      <c r="FV20" s="713"/>
      <c r="FW20" s="713"/>
      <c r="FX20" s="713"/>
      <c r="FY20" s="713"/>
      <c r="FZ20" s="713"/>
      <c r="GA20" s="713"/>
      <c r="GB20" s="713"/>
      <c r="GC20" s="713"/>
      <c r="GD20" s="713"/>
      <c r="GE20" s="713"/>
      <c r="GF20" s="713"/>
      <c r="GG20" s="713"/>
      <c r="GH20" s="713"/>
      <c r="GI20" s="713"/>
      <c r="GJ20" s="713"/>
      <c r="GK20" s="713"/>
      <c r="GL20" s="713"/>
      <c r="GM20" s="713"/>
      <c r="GN20" s="713"/>
      <c r="GO20" s="713"/>
      <c r="GP20" s="713"/>
      <c r="GQ20" s="713"/>
      <c r="GR20" s="713"/>
      <c r="GS20" s="713"/>
      <c r="GT20" s="713"/>
      <c r="GU20" s="713"/>
      <c r="GV20" s="713"/>
      <c r="GW20" s="713"/>
      <c r="GX20" s="713"/>
      <c r="GY20" s="713"/>
      <c r="GZ20" s="713"/>
      <c r="HA20" s="713"/>
      <c r="HB20" s="713"/>
      <c r="HC20" s="713"/>
      <c r="HD20" s="713"/>
      <c r="HE20" s="713"/>
      <c r="HF20" s="713"/>
      <c r="HG20" s="713"/>
      <c r="HH20" s="713"/>
      <c r="HI20" s="713"/>
      <c r="HJ20" s="713"/>
      <c r="HK20" s="713"/>
      <c r="HL20" s="713"/>
      <c r="HM20" s="713"/>
      <c r="HN20" s="713"/>
      <c r="HO20" s="713"/>
      <c r="HP20" s="713"/>
      <c r="HQ20" s="713"/>
      <c r="HR20" s="713"/>
      <c r="HS20" s="713"/>
      <c r="HT20" s="713"/>
      <c r="HU20" s="713"/>
      <c r="HV20" s="713"/>
      <c r="HW20" s="713"/>
      <c r="HX20" s="713"/>
      <c r="HY20" s="713"/>
      <c r="HZ20" s="713"/>
      <c r="IA20" s="713"/>
      <c r="IB20" s="713"/>
      <c r="IC20" s="713"/>
      <c r="ID20" s="713"/>
      <c r="IE20" s="713"/>
      <c r="IF20" s="713"/>
      <c r="IG20" s="713"/>
      <c r="IH20" s="713"/>
      <c r="II20" s="713"/>
      <c r="IJ20" s="713"/>
      <c r="IK20" s="713"/>
      <c r="IL20" s="713"/>
      <c r="IM20" s="713"/>
      <c r="IN20" s="713"/>
      <c r="IO20" s="713"/>
      <c r="IP20" s="713"/>
      <c r="IQ20" s="713"/>
      <c r="IR20" s="713"/>
      <c r="IS20" s="713"/>
      <c r="IT20" s="713"/>
      <c r="IU20" s="713"/>
      <c r="IV20" s="713"/>
      <c r="IW20" s="713"/>
    </row>
    <row r="21" customFormat="false" ht="12.75" hidden="false" customHeight="true" outlineLevel="0" collapsed="false">
      <c r="A21" s="791" t="s">
        <v>623</v>
      </c>
      <c r="B21" s="385"/>
      <c r="C21" s="789"/>
      <c r="D21" s="792" t="n">
        <f aca="false">'Book Income Statement'!D63</f>
        <v>2151.86013333333</v>
      </c>
      <c r="E21" s="792" t="n">
        <f aca="false">'Book Income Statement'!E63</f>
        <v>5201.96432</v>
      </c>
      <c r="F21" s="792" t="n">
        <f aca="false">'Book Income Statement'!F63</f>
        <v>5254.46432</v>
      </c>
      <c r="G21" s="792" t="n">
        <f aca="false">'Book Income Statement'!G63</f>
        <v>5254.46432</v>
      </c>
      <c r="H21" s="792" t="n">
        <f aca="false">'Book Income Statement'!H63</f>
        <v>5254.46432</v>
      </c>
      <c r="I21" s="792" t="n">
        <f aca="false">'Book Income Statement'!I63</f>
        <v>5002.78982</v>
      </c>
      <c r="J21" s="792" t="n">
        <f aca="false">'Book Income Statement'!J63</f>
        <v>4650.44552</v>
      </c>
      <c r="K21" s="792" t="n">
        <f aca="false">'Book Income Statement'!K63</f>
        <v>4650.44552</v>
      </c>
      <c r="L21" s="792" t="n">
        <f aca="false">'Book Income Statement'!L63</f>
        <v>4650.44552</v>
      </c>
      <c r="M21" s="792" t="n">
        <f aca="false">'Book Income Statement'!M63</f>
        <v>4650.44552</v>
      </c>
      <c r="N21" s="792" t="n">
        <f aca="false">'Book Income Statement'!N63</f>
        <v>4650.44552</v>
      </c>
      <c r="O21" s="792" t="n">
        <f aca="false">'Book Income Statement'!O63</f>
        <v>4650.44552</v>
      </c>
      <c r="P21" s="792" t="n">
        <f aca="false">'Book Income Statement'!P63</f>
        <v>4650.44552</v>
      </c>
      <c r="Q21" s="792" t="n">
        <f aca="false">'Book Income Statement'!Q63</f>
        <v>4650.44552</v>
      </c>
      <c r="R21" s="792" t="n">
        <f aca="false">'Book Income Statement'!R63</f>
        <v>4650.44552</v>
      </c>
      <c r="S21" s="792" t="n">
        <f aca="false">'Book Income Statement'!S63</f>
        <v>4650.44552</v>
      </c>
      <c r="T21" s="792" t="n">
        <f aca="false">'Book Income Statement'!T63</f>
        <v>4650.44552</v>
      </c>
      <c r="U21" s="792" t="n">
        <f aca="false">'Book Income Statement'!U63</f>
        <v>4650.44552</v>
      </c>
      <c r="V21" s="792" t="n">
        <f aca="false">'Book Income Statement'!V63</f>
        <v>4650.44552</v>
      </c>
      <c r="W21" s="792" t="n">
        <f aca="false">'Book Income Statement'!W63</f>
        <v>4650.44552</v>
      </c>
      <c r="X21" s="792" t="n">
        <f aca="false">'Book Income Statement'!X63</f>
        <v>4624.54968666667</v>
      </c>
      <c r="Y21" s="792" t="n">
        <f aca="false">'Book Income Statement'!Y63</f>
        <v>0</v>
      </c>
      <c r="Z21" s="792" t="n">
        <f aca="false">'Book Income Statement'!Z63</f>
        <v>0</v>
      </c>
      <c r="AA21" s="792" t="n">
        <f aca="false">'Book Income Statement'!AA63</f>
        <v>0</v>
      </c>
      <c r="AB21" s="793" t="n">
        <f aca="false">'Book Income Statement'!AB63</f>
        <v>0</v>
      </c>
      <c r="AC21" s="792"/>
      <c r="AD21" s="792"/>
    </row>
    <row r="22" customFormat="false" ht="15" hidden="false" customHeight="true" outlineLevel="0" collapsed="false">
      <c r="A22" s="791" t="s">
        <v>624</v>
      </c>
      <c r="B22" s="385"/>
      <c r="C22" s="385"/>
      <c r="D22" s="875" t="n">
        <f aca="false">IF(D3&lt;=ProjectLife,Depreciation!D30*-1,0)</f>
        <v>-7774.72953333333</v>
      </c>
      <c r="E22" s="875" t="n">
        <f aca="false">IF(E3&lt;=ProjectLife,Depreciation!E30*-1,0)</f>
        <v>-15060.77128</v>
      </c>
      <c r="F22" s="875" t="n">
        <f aca="false">IF(F3&lt;=ProjectLife,Depreciation!F30*-1,0)</f>
        <v>-13771.311032</v>
      </c>
      <c r="G22" s="875" t="n">
        <f aca="false">IF(G3&lt;=ProjectLife,Depreciation!G30*-1,0)</f>
        <v>-12468.293968</v>
      </c>
      <c r="H22" s="875" t="n">
        <f aca="false">IF(H3&lt;=ProjectLife,Depreciation!H30*-1,0)</f>
        <v>-11288.2314512</v>
      </c>
      <c r="I22" s="875" t="n">
        <f aca="false">IF(I3&lt;=ProjectLife,Depreciation!I30*-1,0)</f>
        <v>-9963.8546632</v>
      </c>
      <c r="J22" s="875" t="n">
        <f aca="false">IF(J3&lt;=ProjectLife,Depreciation!J30*-1,0)</f>
        <v>-9095.697856</v>
      </c>
      <c r="K22" s="875" t="n">
        <f aca="false">IF(K3&lt;=ProjectLife,Depreciation!K30*-1,0)</f>
        <v>-9100.7921744</v>
      </c>
      <c r="L22" s="875" t="n">
        <f aca="false">IF(L3&lt;=ProjectLife,Depreciation!L30*-1,0)</f>
        <v>-9086.097856</v>
      </c>
      <c r="M22" s="875" t="n">
        <f aca="false">IF(M3&lt;=ProjectLife,Depreciation!M30*-1,0)</f>
        <v>-9100.7921744</v>
      </c>
      <c r="N22" s="875" t="n">
        <f aca="false">IF(N3&lt;=ProjectLife,Depreciation!N30*-1,0)</f>
        <v>-9086.097856</v>
      </c>
      <c r="O22" s="875" t="n">
        <f aca="false">IF(O3&lt;=ProjectLife,Depreciation!O30*-1,0)</f>
        <v>-9100.7921744</v>
      </c>
      <c r="P22" s="875" t="n">
        <f aca="false">IF(P3&lt;=ProjectLife,Depreciation!P30*-1,0)</f>
        <v>-9086.097856</v>
      </c>
      <c r="Q22" s="875" t="n">
        <f aca="false">IF(Q3&lt;=ProjectLife,Depreciation!Q30*-1,0)</f>
        <v>-9100.7921744</v>
      </c>
      <c r="R22" s="875" t="n">
        <f aca="false">IF(R3&lt;=ProjectLife,Depreciation!R30*-1,0)</f>
        <v>-9086.097856</v>
      </c>
      <c r="S22" s="875" t="n">
        <f aca="false">IF(S3&lt;=ProjectLife,Depreciation!S30*-1,0)</f>
        <v>-4662.473928</v>
      </c>
      <c r="T22" s="875" t="n">
        <f aca="false">IF(T3&lt;=ProjectLife,Depreciation!T30*-1,0)</f>
        <v>-150.65</v>
      </c>
      <c r="U22" s="875" t="n">
        <f aca="false">IF(U3&lt;=ProjectLife,Depreciation!U30*-1,0)</f>
        <v>-62.15</v>
      </c>
      <c r="V22" s="875" t="n">
        <f aca="false">IF(V3&lt;=ProjectLife,Depreciation!V30*-1,0)</f>
        <v>-62.15</v>
      </c>
      <c r="W22" s="875" t="n">
        <f aca="false">IF(W3&lt;=ProjectLife,Depreciation!W30*-1,0)</f>
        <v>-62.15</v>
      </c>
      <c r="X22" s="875" t="n">
        <f aca="false">IF(X3&lt;=ProjectLife,Depreciation!X30*-1,0)</f>
        <v>0</v>
      </c>
      <c r="Y22" s="875" t="n">
        <f aca="false">IF(Y3&lt;=ProjectLife,Depreciation!Y30*-1,0)</f>
        <v>0</v>
      </c>
      <c r="Z22" s="875" t="n">
        <f aca="false">IF(Z3&lt;=ProjectLife,Depreciation!Z30*-1,0)</f>
        <v>0</v>
      </c>
      <c r="AA22" s="875" t="n">
        <f aca="false">IF(AA3&lt;=ProjectLife,Depreciation!AA30*-1,0)</f>
        <v>0</v>
      </c>
      <c r="AB22" s="876" t="n">
        <f aca="false">IF(AB3&lt;=ProjectLife,Depreciation!AB30*-1,0)</f>
        <v>0</v>
      </c>
      <c r="AC22" s="385"/>
      <c r="AD22" s="385"/>
      <c r="AE22" s="865"/>
      <c r="AF22" s="865"/>
      <c r="AG22" s="865"/>
      <c r="AH22" s="865"/>
      <c r="AI22" s="865"/>
      <c r="AJ22" s="865"/>
      <c r="AK22" s="865"/>
      <c r="AL22" s="865"/>
      <c r="AM22" s="865"/>
      <c r="AN22" s="865"/>
      <c r="AO22" s="865"/>
      <c r="AP22" s="865"/>
      <c r="AQ22" s="865"/>
      <c r="AR22" s="865"/>
      <c r="AS22" s="865"/>
      <c r="AT22" s="865"/>
      <c r="AU22" s="865"/>
      <c r="AV22" s="865"/>
      <c r="AW22" s="865"/>
      <c r="AX22" s="865"/>
      <c r="AY22" s="865"/>
      <c r="AZ22" s="865"/>
      <c r="BA22" s="865"/>
      <c r="BB22" s="865"/>
      <c r="BC22" s="865"/>
      <c r="BD22" s="865"/>
      <c r="BE22" s="865"/>
      <c r="BF22" s="865"/>
      <c r="BG22" s="865"/>
      <c r="BH22" s="865"/>
      <c r="BI22" s="865"/>
      <c r="BJ22" s="865"/>
      <c r="BK22" s="865"/>
      <c r="BL22" s="865"/>
      <c r="BM22" s="865"/>
      <c r="BN22" s="865"/>
      <c r="BO22" s="865"/>
      <c r="BP22" s="865"/>
      <c r="BQ22" s="865"/>
      <c r="BR22" s="865"/>
      <c r="BS22" s="865"/>
      <c r="BT22" s="865"/>
      <c r="BU22" s="865"/>
      <c r="BV22" s="865"/>
      <c r="BW22" s="865"/>
      <c r="BX22" s="865"/>
      <c r="BY22" s="865"/>
      <c r="BZ22" s="865"/>
      <c r="CA22" s="865"/>
      <c r="CB22" s="865"/>
      <c r="CC22" s="865"/>
      <c r="CD22" s="865"/>
      <c r="CE22" s="865"/>
      <c r="CF22" s="865"/>
      <c r="CG22" s="865"/>
      <c r="CH22" s="865"/>
      <c r="CI22" s="865"/>
      <c r="CJ22" s="865"/>
      <c r="CK22" s="865"/>
      <c r="CL22" s="865"/>
      <c r="CM22" s="865"/>
      <c r="CN22" s="865"/>
      <c r="CO22" s="865"/>
      <c r="CP22" s="865"/>
      <c r="CQ22" s="865"/>
      <c r="CR22" s="865"/>
      <c r="CS22" s="865"/>
      <c r="CT22" s="865"/>
      <c r="CU22" s="865"/>
      <c r="CV22" s="865"/>
      <c r="CW22" s="865"/>
      <c r="CX22" s="865"/>
      <c r="CY22" s="865"/>
      <c r="CZ22" s="865"/>
      <c r="DA22" s="865"/>
      <c r="DB22" s="865"/>
      <c r="DC22" s="865"/>
      <c r="DD22" s="865"/>
      <c r="DE22" s="865"/>
      <c r="DF22" s="865"/>
      <c r="DG22" s="865"/>
      <c r="DH22" s="865"/>
      <c r="DI22" s="865"/>
      <c r="DJ22" s="865"/>
      <c r="DK22" s="865"/>
      <c r="DL22" s="865"/>
      <c r="DM22" s="865"/>
      <c r="DN22" s="865"/>
      <c r="DO22" s="865"/>
      <c r="DP22" s="865"/>
      <c r="DQ22" s="865"/>
      <c r="DR22" s="865"/>
      <c r="DS22" s="865"/>
      <c r="DT22" s="865"/>
      <c r="DU22" s="865"/>
      <c r="DV22" s="865"/>
      <c r="DW22" s="865"/>
      <c r="DX22" s="865"/>
      <c r="DY22" s="865"/>
      <c r="DZ22" s="865"/>
      <c r="EA22" s="865"/>
      <c r="EB22" s="865"/>
      <c r="EC22" s="865"/>
      <c r="ED22" s="865"/>
      <c r="EE22" s="865"/>
      <c r="EF22" s="865"/>
      <c r="EG22" s="865"/>
      <c r="EH22" s="865"/>
      <c r="EI22" s="865"/>
      <c r="EJ22" s="865"/>
      <c r="EK22" s="865"/>
      <c r="EL22" s="865"/>
      <c r="EM22" s="865"/>
      <c r="EN22" s="865"/>
      <c r="EO22" s="865"/>
      <c r="EP22" s="865"/>
      <c r="EQ22" s="865"/>
      <c r="ER22" s="865"/>
      <c r="ES22" s="865"/>
      <c r="ET22" s="865"/>
      <c r="EU22" s="865"/>
      <c r="EV22" s="865"/>
      <c r="EW22" s="865"/>
      <c r="EX22" s="865"/>
      <c r="EY22" s="865"/>
      <c r="EZ22" s="865"/>
      <c r="FA22" s="865"/>
      <c r="FB22" s="865"/>
      <c r="FC22" s="865"/>
      <c r="FD22" s="865"/>
      <c r="FE22" s="865"/>
      <c r="FF22" s="865"/>
      <c r="FG22" s="865"/>
      <c r="FH22" s="865"/>
      <c r="FI22" s="865"/>
      <c r="FJ22" s="865"/>
      <c r="FK22" s="865"/>
      <c r="FL22" s="865"/>
      <c r="FM22" s="865"/>
      <c r="FN22" s="865"/>
      <c r="FO22" s="865"/>
      <c r="FP22" s="865"/>
      <c r="FQ22" s="865"/>
      <c r="FR22" s="865"/>
      <c r="FS22" s="865"/>
      <c r="FT22" s="865"/>
      <c r="FU22" s="865"/>
      <c r="FV22" s="865"/>
      <c r="FW22" s="865"/>
      <c r="FX22" s="865"/>
      <c r="FY22" s="865"/>
      <c r="FZ22" s="865"/>
      <c r="GA22" s="865"/>
      <c r="GB22" s="865"/>
      <c r="GC22" s="865"/>
      <c r="GD22" s="865"/>
      <c r="GE22" s="865"/>
      <c r="GF22" s="865"/>
      <c r="GG22" s="865"/>
      <c r="GH22" s="865"/>
      <c r="GI22" s="865"/>
      <c r="GJ22" s="865"/>
      <c r="GK22" s="865"/>
      <c r="GL22" s="865"/>
      <c r="GM22" s="865"/>
      <c r="GN22" s="865"/>
      <c r="GO22" s="865"/>
      <c r="GP22" s="865"/>
      <c r="GQ22" s="865"/>
      <c r="GR22" s="865"/>
      <c r="GS22" s="865"/>
      <c r="GT22" s="865"/>
      <c r="GU22" s="865"/>
      <c r="GV22" s="865"/>
      <c r="GW22" s="865"/>
      <c r="GX22" s="865"/>
      <c r="GY22" s="865"/>
      <c r="GZ22" s="865"/>
      <c r="HA22" s="865"/>
      <c r="HB22" s="865"/>
      <c r="HC22" s="865"/>
      <c r="HD22" s="865"/>
      <c r="HE22" s="865"/>
      <c r="HF22" s="865"/>
      <c r="HG22" s="865"/>
      <c r="HH22" s="865"/>
      <c r="HI22" s="865"/>
      <c r="HJ22" s="865"/>
      <c r="HK22" s="865"/>
      <c r="HL22" s="865"/>
      <c r="HM22" s="865"/>
      <c r="HN22" s="865"/>
      <c r="HO22" s="865"/>
      <c r="HP22" s="865"/>
      <c r="HQ22" s="865"/>
      <c r="HR22" s="865"/>
      <c r="HS22" s="865"/>
      <c r="HT22" s="865"/>
      <c r="HU22" s="865"/>
      <c r="HV22" s="865"/>
      <c r="HW22" s="865"/>
      <c r="HX22" s="865"/>
      <c r="HY22" s="865"/>
      <c r="HZ22" s="865"/>
      <c r="IA22" s="865"/>
      <c r="IB22" s="865"/>
      <c r="IC22" s="865"/>
      <c r="ID22" s="865"/>
      <c r="IE22" s="865"/>
      <c r="IF22" s="865"/>
      <c r="IG22" s="865"/>
      <c r="IH22" s="865"/>
      <c r="II22" s="865"/>
      <c r="IJ22" s="865"/>
      <c r="IK22" s="865"/>
      <c r="IL22" s="865"/>
      <c r="IM22" s="865"/>
      <c r="IN22" s="865"/>
      <c r="IO22" s="865"/>
      <c r="IP22" s="865"/>
      <c r="IQ22" s="865"/>
      <c r="IR22" s="865"/>
      <c r="IS22" s="865"/>
      <c r="IT22" s="865"/>
      <c r="IU22" s="865"/>
      <c r="IV22" s="865"/>
      <c r="IW22" s="558"/>
    </row>
    <row r="23" customFormat="false" ht="12" hidden="false" customHeight="true" outlineLevel="0" collapsed="false">
      <c r="A23" s="787" t="s">
        <v>625</v>
      </c>
      <c r="B23" s="434"/>
      <c r="C23" s="434"/>
      <c r="D23" s="877" t="n">
        <f aca="false">SUM(D20:D22)</f>
        <v>-8747.06435534436</v>
      </c>
      <c r="E23" s="877" t="n">
        <f aca="false">SUM(E20:E22)</f>
        <v>-4403.9621364143</v>
      </c>
      <c r="F23" s="877" t="n">
        <f aca="false">SUM(F20:F22)</f>
        <v>-2536.34971293824</v>
      </c>
      <c r="G23" s="877" t="n">
        <f aca="false">SUM(G20:G22)</f>
        <v>-828.415089012813</v>
      </c>
      <c r="H23" s="877" t="n">
        <f aca="false">SUM(H20:H22)</f>
        <v>6630.69754038863</v>
      </c>
      <c r="I23" s="877" t="n">
        <f aca="false">SUM(I20:I22)</f>
        <v>12757.9673103978</v>
      </c>
      <c r="J23" s="877" t="n">
        <f aca="false">SUM(J20:J22)</f>
        <v>14313.3174219623</v>
      </c>
      <c r="K23" s="877" t="n">
        <f aca="false">SUM(K20:K22)</f>
        <v>15044.3491978829</v>
      </c>
      <c r="L23" s="877" t="n">
        <f aca="false">SUM(L20:L22)</f>
        <v>16424.4619582261</v>
      </c>
      <c r="M23" s="877" t="n">
        <f aca="false">SUM(M20:M22)</f>
        <v>17409.3007554526</v>
      </c>
      <c r="N23" s="877" t="n">
        <f aca="false">SUM(N20:N22)</f>
        <v>19280.5562615934</v>
      </c>
      <c r="O23" s="877" t="n">
        <f aca="false">SUM(O20:O22)</f>
        <v>18983.3751023078</v>
      </c>
      <c r="P23" s="877" t="n">
        <f aca="false">SUM(P20:P22)</f>
        <v>20345.3537283353</v>
      </c>
      <c r="Q23" s="877" t="n">
        <f aca="false">SUM(Q20:Q22)</f>
        <v>20984.1390289054</v>
      </c>
      <c r="R23" s="877" t="n">
        <f aca="false">SUM(R20:R22)</f>
        <v>21638.8376820599</v>
      </c>
      <c r="S23" s="877" t="n">
        <f aca="false">SUM(S20:S22)</f>
        <v>26687.9197541037</v>
      </c>
      <c r="T23" s="877" t="n">
        <f aca="false">SUM(T20:T22)</f>
        <v>31843.2312837991</v>
      </c>
      <c r="U23" s="877" t="n">
        <f aca="false">SUM(U20:U22)</f>
        <v>32836.0614288554</v>
      </c>
      <c r="V23" s="877" t="n">
        <f aca="false">SUM(V20:V22)</f>
        <v>33826.647065871</v>
      </c>
      <c r="W23" s="877" t="n">
        <f aca="false">SUM(W20:W22)</f>
        <v>34853.2673699694</v>
      </c>
      <c r="X23" s="877" t="n">
        <f aca="false">SUM(X20:X22)</f>
        <v>35975.0983915274</v>
      </c>
      <c r="Y23" s="877" t="n">
        <f aca="false">SUM(Y20:Y22)</f>
        <v>0</v>
      </c>
      <c r="Z23" s="877" t="n">
        <f aca="false">SUM(Z20:Z22)</f>
        <v>0</v>
      </c>
      <c r="AA23" s="877" t="n">
        <f aca="false">SUM(AA20:AA22)</f>
        <v>0</v>
      </c>
      <c r="AB23" s="878" t="n">
        <f aca="false">SUM(AB20:AB22)</f>
        <v>0</v>
      </c>
      <c r="AC23" s="385"/>
      <c r="AD23" s="385"/>
      <c r="AE23" s="865"/>
      <c r="AF23" s="865"/>
      <c r="AG23" s="865"/>
      <c r="AH23" s="865"/>
      <c r="AI23" s="865"/>
      <c r="AJ23" s="865"/>
      <c r="AK23" s="865"/>
      <c r="AL23" s="865"/>
      <c r="AM23" s="865"/>
      <c r="AN23" s="865"/>
      <c r="AO23" s="865"/>
      <c r="AP23" s="865"/>
      <c r="AQ23" s="865"/>
      <c r="AR23" s="865"/>
      <c r="AS23" s="865"/>
      <c r="AT23" s="865"/>
      <c r="AU23" s="865"/>
      <c r="AV23" s="865"/>
      <c r="AW23" s="865"/>
      <c r="AX23" s="865"/>
      <c r="AY23" s="865"/>
      <c r="AZ23" s="865"/>
      <c r="BA23" s="865"/>
      <c r="BB23" s="865"/>
      <c r="BC23" s="865"/>
      <c r="BD23" s="865"/>
      <c r="BE23" s="865"/>
      <c r="BF23" s="865"/>
      <c r="BG23" s="865"/>
      <c r="BH23" s="865"/>
      <c r="BI23" s="865"/>
      <c r="BJ23" s="865"/>
      <c r="BK23" s="865"/>
      <c r="BL23" s="865"/>
      <c r="BM23" s="865"/>
      <c r="BN23" s="865"/>
      <c r="BO23" s="865"/>
      <c r="BP23" s="865"/>
      <c r="BQ23" s="865"/>
      <c r="BR23" s="865"/>
      <c r="BS23" s="865"/>
      <c r="BT23" s="865"/>
      <c r="BU23" s="865"/>
      <c r="BV23" s="865"/>
      <c r="BW23" s="865"/>
      <c r="BX23" s="865"/>
      <c r="BY23" s="865"/>
      <c r="BZ23" s="865"/>
      <c r="CA23" s="865"/>
      <c r="CB23" s="865"/>
      <c r="CC23" s="865"/>
      <c r="CD23" s="865"/>
      <c r="CE23" s="865"/>
      <c r="CF23" s="865"/>
      <c r="CG23" s="865"/>
      <c r="CH23" s="865"/>
      <c r="CI23" s="865"/>
      <c r="CJ23" s="865"/>
      <c r="CK23" s="865"/>
      <c r="CL23" s="865"/>
      <c r="CM23" s="865"/>
      <c r="CN23" s="865"/>
      <c r="CO23" s="865"/>
      <c r="CP23" s="865"/>
      <c r="CQ23" s="865"/>
      <c r="CR23" s="865"/>
      <c r="CS23" s="865"/>
      <c r="CT23" s="865"/>
      <c r="CU23" s="865"/>
      <c r="CV23" s="865"/>
      <c r="CW23" s="865"/>
      <c r="CX23" s="865"/>
      <c r="CY23" s="865"/>
      <c r="CZ23" s="865"/>
      <c r="DA23" s="865"/>
      <c r="DB23" s="865"/>
      <c r="DC23" s="865"/>
      <c r="DD23" s="865"/>
      <c r="DE23" s="865"/>
      <c r="DF23" s="865"/>
      <c r="DG23" s="865"/>
      <c r="DH23" s="865"/>
      <c r="DI23" s="865"/>
      <c r="DJ23" s="865"/>
      <c r="DK23" s="865"/>
      <c r="DL23" s="865"/>
      <c r="DM23" s="865"/>
      <c r="DN23" s="865"/>
      <c r="DO23" s="865"/>
      <c r="DP23" s="865"/>
      <c r="DQ23" s="865"/>
      <c r="DR23" s="865"/>
      <c r="DS23" s="865"/>
      <c r="DT23" s="865"/>
      <c r="DU23" s="865"/>
      <c r="DV23" s="865"/>
      <c r="DW23" s="865"/>
      <c r="DX23" s="865"/>
      <c r="DY23" s="865"/>
      <c r="DZ23" s="865"/>
      <c r="EA23" s="865"/>
      <c r="EB23" s="865"/>
      <c r="EC23" s="865"/>
      <c r="ED23" s="865"/>
      <c r="EE23" s="865"/>
      <c r="EF23" s="865"/>
      <c r="EG23" s="865"/>
      <c r="EH23" s="865"/>
      <c r="EI23" s="865"/>
      <c r="EJ23" s="865"/>
      <c r="EK23" s="865"/>
      <c r="EL23" s="865"/>
      <c r="EM23" s="865"/>
      <c r="EN23" s="865"/>
      <c r="EO23" s="865"/>
      <c r="EP23" s="865"/>
      <c r="EQ23" s="865"/>
      <c r="ER23" s="865"/>
      <c r="ES23" s="865"/>
      <c r="ET23" s="865"/>
      <c r="EU23" s="865"/>
      <c r="EV23" s="865"/>
      <c r="EW23" s="865"/>
      <c r="EX23" s="865"/>
      <c r="EY23" s="865"/>
      <c r="EZ23" s="865"/>
      <c r="FA23" s="865"/>
      <c r="FB23" s="865"/>
      <c r="FC23" s="865"/>
      <c r="FD23" s="865"/>
      <c r="FE23" s="865"/>
      <c r="FF23" s="865"/>
      <c r="FG23" s="865"/>
      <c r="FH23" s="865"/>
      <c r="FI23" s="865"/>
      <c r="FJ23" s="865"/>
      <c r="FK23" s="865"/>
      <c r="FL23" s="865"/>
      <c r="FM23" s="865"/>
      <c r="FN23" s="865"/>
      <c r="FO23" s="865"/>
      <c r="FP23" s="865"/>
      <c r="FQ23" s="865"/>
      <c r="FR23" s="865"/>
      <c r="FS23" s="865"/>
      <c r="FT23" s="865"/>
      <c r="FU23" s="865"/>
      <c r="FV23" s="865"/>
      <c r="FW23" s="865"/>
      <c r="FX23" s="865"/>
      <c r="FY23" s="865"/>
      <c r="FZ23" s="865"/>
      <c r="GA23" s="865"/>
      <c r="GB23" s="865"/>
      <c r="GC23" s="865"/>
      <c r="GD23" s="865"/>
      <c r="GE23" s="865"/>
      <c r="GF23" s="865"/>
      <c r="GG23" s="865"/>
      <c r="GH23" s="865"/>
      <c r="GI23" s="865"/>
      <c r="GJ23" s="865"/>
      <c r="GK23" s="865"/>
      <c r="GL23" s="865"/>
      <c r="GM23" s="865"/>
      <c r="GN23" s="865"/>
      <c r="GO23" s="865"/>
      <c r="GP23" s="865"/>
      <c r="GQ23" s="865"/>
      <c r="GR23" s="865"/>
      <c r="GS23" s="865"/>
      <c r="GT23" s="865"/>
      <c r="GU23" s="865"/>
      <c r="GV23" s="865"/>
      <c r="GW23" s="865"/>
      <c r="GX23" s="865"/>
      <c r="GY23" s="865"/>
      <c r="GZ23" s="865"/>
      <c r="HA23" s="865"/>
      <c r="HB23" s="865"/>
      <c r="HC23" s="865"/>
      <c r="HD23" s="865"/>
      <c r="HE23" s="865"/>
      <c r="HF23" s="865"/>
      <c r="HG23" s="865"/>
      <c r="HH23" s="865"/>
      <c r="HI23" s="865"/>
      <c r="HJ23" s="865"/>
      <c r="HK23" s="865"/>
      <c r="HL23" s="865"/>
      <c r="HM23" s="865"/>
      <c r="HN23" s="865"/>
      <c r="HO23" s="865"/>
      <c r="HP23" s="865"/>
      <c r="HQ23" s="865"/>
      <c r="HR23" s="865"/>
      <c r="HS23" s="865"/>
      <c r="HT23" s="865"/>
      <c r="HU23" s="865"/>
      <c r="HV23" s="865"/>
      <c r="HW23" s="865"/>
      <c r="HX23" s="865"/>
      <c r="HY23" s="865"/>
      <c r="HZ23" s="865"/>
      <c r="IA23" s="865"/>
      <c r="IB23" s="865"/>
      <c r="IC23" s="865"/>
      <c r="ID23" s="865"/>
      <c r="IE23" s="865"/>
      <c r="IF23" s="865"/>
      <c r="IG23" s="865"/>
      <c r="IH23" s="865"/>
      <c r="II23" s="865"/>
      <c r="IJ23" s="865"/>
      <c r="IK23" s="865"/>
      <c r="IL23" s="865"/>
      <c r="IM23" s="865"/>
      <c r="IN23" s="865"/>
      <c r="IO23" s="865"/>
      <c r="IP23" s="865"/>
      <c r="IQ23" s="865"/>
      <c r="IR23" s="865"/>
      <c r="IS23" s="865"/>
      <c r="IT23" s="865"/>
      <c r="IU23" s="865"/>
      <c r="IV23" s="865"/>
      <c r="IW23" s="558"/>
    </row>
    <row r="24" customFormat="false" ht="12" hidden="false" customHeight="true" outlineLevel="0" collapsed="false">
      <c r="A24" s="791"/>
      <c r="B24" s="385"/>
      <c r="C24" s="385"/>
      <c r="D24" s="385"/>
      <c r="E24" s="385"/>
      <c r="F24" s="385"/>
      <c r="G24" s="385"/>
      <c r="H24" s="385"/>
      <c r="I24" s="385"/>
      <c r="J24" s="385"/>
      <c r="K24" s="385"/>
      <c r="L24" s="385"/>
      <c r="M24" s="385"/>
      <c r="N24" s="385"/>
      <c r="O24" s="385"/>
      <c r="P24" s="385"/>
      <c r="Q24" s="385"/>
      <c r="R24" s="385"/>
      <c r="S24" s="385"/>
      <c r="T24" s="385"/>
      <c r="U24" s="385"/>
      <c r="V24" s="385"/>
      <c r="W24" s="385"/>
      <c r="X24" s="385"/>
      <c r="Y24" s="385"/>
      <c r="Z24" s="385"/>
      <c r="AA24" s="385"/>
      <c r="AB24" s="879"/>
      <c r="AC24" s="868"/>
      <c r="AD24" s="868"/>
      <c r="AE24" s="865"/>
      <c r="AF24" s="865"/>
      <c r="AG24" s="865"/>
      <c r="AH24" s="865"/>
      <c r="AI24" s="865"/>
      <c r="AJ24" s="865"/>
      <c r="AK24" s="865"/>
      <c r="AL24" s="865"/>
      <c r="AM24" s="865"/>
      <c r="AN24" s="865"/>
      <c r="AO24" s="865"/>
      <c r="AP24" s="865"/>
      <c r="AQ24" s="865"/>
      <c r="AR24" s="865"/>
      <c r="AS24" s="865"/>
      <c r="AT24" s="865"/>
      <c r="AU24" s="865"/>
      <c r="AV24" s="865"/>
      <c r="AW24" s="865"/>
      <c r="AX24" s="865"/>
      <c r="AY24" s="865"/>
      <c r="AZ24" s="865"/>
      <c r="BA24" s="865"/>
      <c r="BB24" s="865"/>
      <c r="BC24" s="865"/>
      <c r="BD24" s="865"/>
      <c r="BE24" s="865"/>
      <c r="BF24" s="865"/>
      <c r="BG24" s="865"/>
      <c r="BH24" s="865"/>
      <c r="BI24" s="865"/>
      <c r="BJ24" s="865"/>
      <c r="BK24" s="865"/>
      <c r="BL24" s="865"/>
      <c r="BM24" s="865"/>
      <c r="BN24" s="865"/>
      <c r="BO24" s="865"/>
      <c r="BP24" s="865"/>
      <c r="BQ24" s="865"/>
      <c r="BR24" s="865"/>
      <c r="BS24" s="865"/>
      <c r="BT24" s="865"/>
      <c r="BU24" s="865"/>
      <c r="BV24" s="865"/>
      <c r="BW24" s="865"/>
      <c r="BX24" s="865"/>
      <c r="BY24" s="865"/>
      <c r="BZ24" s="865"/>
      <c r="CA24" s="865"/>
      <c r="CB24" s="865"/>
      <c r="CC24" s="865"/>
      <c r="CD24" s="865"/>
      <c r="CE24" s="865"/>
      <c r="CF24" s="865"/>
      <c r="CG24" s="865"/>
      <c r="CH24" s="865"/>
      <c r="CI24" s="865"/>
      <c r="CJ24" s="865"/>
      <c r="CK24" s="865"/>
      <c r="CL24" s="865"/>
      <c r="CM24" s="865"/>
      <c r="CN24" s="865"/>
      <c r="CO24" s="865"/>
      <c r="CP24" s="865"/>
      <c r="CQ24" s="865"/>
      <c r="CR24" s="865"/>
      <c r="CS24" s="865"/>
      <c r="CT24" s="865"/>
      <c r="CU24" s="865"/>
      <c r="CV24" s="865"/>
      <c r="CW24" s="865"/>
      <c r="CX24" s="865"/>
      <c r="CY24" s="865"/>
      <c r="CZ24" s="865"/>
      <c r="DA24" s="865"/>
      <c r="DB24" s="865"/>
      <c r="DC24" s="865"/>
      <c r="DD24" s="865"/>
      <c r="DE24" s="865"/>
      <c r="DF24" s="865"/>
      <c r="DG24" s="865"/>
      <c r="DH24" s="865"/>
      <c r="DI24" s="865"/>
      <c r="DJ24" s="865"/>
      <c r="DK24" s="865"/>
      <c r="DL24" s="865"/>
      <c r="DM24" s="865"/>
      <c r="DN24" s="865"/>
      <c r="DO24" s="865"/>
      <c r="DP24" s="865"/>
      <c r="DQ24" s="865"/>
      <c r="DR24" s="865"/>
      <c r="DS24" s="865"/>
      <c r="DT24" s="865"/>
      <c r="DU24" s="865"/>
      <c r="DV24" s="865"/>
      <c r="DW24" s="865"/>
      <c r="DX24" s="865"/>
      <c r="DY24" s="865"/>
      <c r="DZ24" s="865"/>
      <c r="EA24" s="865"/>
      <c r="EB24" s="865"/>
      <c r="EC24" s="865"/>
      <c r="ED24" s="865"/>
      <c r="EE24" s="865"/>
      <c r="EF24" s="865"/>
      <c r="EG24" s="865"/>
      <c r="EH24" s="865"/>
      <c r="EI24" s="865"/>
      <c r="EJ24" s="865"/>
      <c r="EK24" s="865"/>
      <c r="EL24" s="865"/>
      <c r="EM24" s="865"/>
      <c r="EN24" s="865"/>
      <c r="EO24" s="865"/>
      <c r="EP24" s="865"/>
      <c r="EQ24" s="865"/>
      <c r="ER24" s="865"/>
      <c r="ES24" s="865"/>
      <c r="ET24" s="865"/>
      <c r="EU24" s="865"/>
      <c r="EV24" s="865"/>
      <c r="EW24" s="865"/>
      <c r="EX24" s="865"/>
      <c r="EY24" s="865"/>
      <c r="EZ24" s="865"/>
      <c r="FA24" s="865"/>
      <c r="FB24" s="865"/>
      <c r="FC24" s="865"/>
      <c r="FD24" s="865"/>
      <c r="FE24" s="865"/>
      <c r="FF24" s="865"/>
      <c r="FG24" s="865"/>
      <c r="FH24" s="865"/>
      <c r="FI24" s="865"/>
      <c r="FJ24" s="865"/>
      <c r="FK24" s="865"/>
      <c r="FL24" s="865"/>
      <c r="FM24" s="865"/>
      <c r="FN24" s="865"/>
      <c r="FO24" s="865"/>
      <c r="FP24" s="865"/>
      <c r="FQ24" s="865"/>
      <c r="FR24" s="865"/>
      <c r="FS24" s="865"/>
      <c r="FT24" s="865"/>
      <c r="FU24" s="865"/>
      <c r="FV24" s="865"/>
      <c r="FW24" s="865"/>
      <c r="FX24" s="865"/>
      <c r="FY24" s="865"/>
      <c r="FZ24" s="865"/>
      <c r="GA24" s="865"/>
      <c r="GB24" s="865"/>
      <c r="GC24" s="865"/>
      <c r="GD24" s="865"/>
      <c r="GE24" s="865"/>
      <c r="GF24" s="865"/>
      <c r="GG24" s="865"/>
      <c r="GH24" s="865"/>
      <c r="GI24" s="865"/>
      <c r="GJ24" s="865"/>
      <c r="GK24" s="865"/>
      <c r="GL24" s="865"/>
      <c r="GM24" s="865"/>
      <c r="GN24" s="865"/>
      <c r="GO24" s="865"/>
      <c r="GP24" s="865"/>
      <c r="GQ24" s="865"/>
      <c r="GR24" s="865"/>
      <c r="GS24" s="865"/>
      <c r="GT24" s="865"/>
      <c r="GU24" s="865"/>
      <c r="GV24" s="865"/>
      <c r="GW24" s="865"/>
      <c r="GX24" s="865"/>
      <c r="GY24" s="865"/>
      <c r="GZ24" s="865"/>
      <c r="HA24" s="865"/>
      <c r="HB24" s="865"/>
      <c r="HC24" s="865"/>
      <c r="HD24" s="865"/>
      <c r="HE24" s="865"/>
      <c r="HF24" s="865"/>
      <c r="HG24" s="865"/>
      <c r="HH24" s="865"/>
      <c r="HI24" s="865"/>
      <c r="HJ24" s="865"/>
      <c r="HK24" s="865"/>
      <c r="HL24" s="865"/>
      <c r="HM24" s="865"/>
      <c r="HN24" s="865"/>
      <c r="HO24" s="865"/>
      <c r="HP24" s="865"/>
      <c r="HQ24" s="865"/>
      <c r="HR24" s="865"/>
      <c r="HS24" s="865"/>
      <c r="HT24" s="865"/>
      <c r="HU24" s="865"/>
      <c r="HV24" s="865"/>
      <c r="HW24" s="865"/>
      <c r="HX24" s="865"/>
      <c r="HY24" s="865"/>
      <c r="HZ24" s="865"/>
      <c r="IA24" s="865"/>
      <c r="IB24" s="865"/>
      <c r="IC24" s="865"/>
      <c r="ID24" s="865"/>
      <c r="IE24" s="865"/>
      <c r="IF24" s="865"/>
      <c r="IG24" s="865"/>
      <c r="IH24" s="865"/>
      <c r="II24" s="865"/>
      <c r="IJ24" s="865"/>
      <c r="IK24" s="865"/>
      <c r="IL24" s="865"/>
      <c r="IM24" s="865"/>
      <c r="IN24" s="865"/>
      <c r="IO24" s="865"/>
      <c r="IP24" s="865"/>
      <c r="IQ24" s="865"/>
      <c r="IR24" s="865"/>
      <c r="IS24" s="865"/>
    </row>
    <row r="25" customFormat="false" ht="12" hidden="false" customHeight="true" outlineLevel="0" collapsed="false">
      <c r="A25" s="791" t="s">
        <v>626</v>
      </c>
      <c r="B25" s="385"/>
      <c r="C25" s="797"/>
      <c r="D25" s="792" t="n">
        <f aca="false">D23</f>
        <v>-8747.06435534436</v>
      </c>
      <c r="E25" s="792" t="n">
        <f aca="false">E23</f>
        <v>-4403.9621364143</v>
      </c>
      <c r="F25" s="792" t="n">
        <f aca="false">F23</f>
        <v>-2536.34971293824</v>
      </c>
      <c r="G25" s="792" t="n">
        <f aca="false">G23</f>
        <v>-828.415089012813</v>
      </c>
      <c r="H25" s="792" t="n">
        <f aca="false">H23</f>
        <v>6630.69754038863</v>
      </c>
      <c r="I25" s="792" t="n">
        <f aca="false">I23</f>
        <v>12757.9673103978</v>
      </c>
      <c r="J25" s="792" t="n">
        <f aca="false">J23</f>
        <v>14313.3174219623</v>
      </c>
      <c r="K25" s="792" t="n">
        <f aca="false">K23</f>
        <v>15044.3491978829</v>
      </c>
      <c r="L25" s="792" t="n">
        <f aca="false">L23</f>
        <v>16424.4619582261</v>
      </c>
      <c r="M25" s="792" t="n">
        <f aca="false">M23</f>
        <v>17409.3007554526</v>
      </c>
      <c r="N25" s="792" t="n">
        <f aca="false">N23</f>
        <v>19280.5562615934</v>
      </c>
      <c r="O25" s="792" t="n">
        <f aca="false">O23</f>
        <v>18983.3751023078</v>
      </c>
      <c r="P25" s="792" t="n">
        <f aca="false">P23</f>
        <v>20345.3537283353</v>
      </c>
      <c r="Q25" s="792" t="n">
        <f aca="false">Q23</f>
        <v>20984.1390289054</v>
      </c>
      <c r="R25" s="792" t="n">
        <f aca="false">R23</f>
        <v>21638.8376820599</v>
      </c>
      <c r="S25" s="792" t="n">
        <f aca="false">S23</f>
        <v>26687.9197541037</v>
      </c>
      <c r="T25" s="792" t="n">
        <f aca="false">T23</f>
        <v>31843.2312837991</v>
      </c>
      <c r="U25" s="792" t="n">
        <f aca="false">U23</f>
        <v>32836.0614288554</v>
      </c>
      <c r="V25" s="792" t="n">
        <f aca="false">V23</f>
        <v>33826.647065871</v>
      </c>
      <c r="W25" s="792" t="n">
        <f aca="false">W23</f>
        <v>34853.2673699694</v>
      </c>
      <c r="X25" s="792" t="n">
        <f aca="false">X23</f>
        <v>35975.0983915274</v>
      </c>
      <c r="Y25" s="792" t="n">
        <f aca="false">Y23</f>
        <v>0</v>
      </c>
      <c r="Z25" s="792" t="n">
        <f aca="false">Z23</f>
        <v>0</v>
      </c>
      <c r="AA25" s="792" t="n">
        <f aca="false">AA23</f>
        <v>0</v>
      </c>
      <c r="AB25" s="793" t="n">
        <f aca="false">AB23</f>
        <v>0</v>
      </c>
      <c r="AC25" s="797"/>
      <c r="AD25" s="797"/>
    </row>
    <row r="26" customFormat="false" ht="12" hidden="false" customHeight="true" outlineLevel="0" collapsed="false">
      <c r="A26" s="791" t="s">
        <v>627</v>
      </c>
      <c r="B26" s="385"/>
      <c r="C26" s="385"/>
      <c r="D26" s="866" t="n">
        <f aca="false">IF(D$3&gt;'Project Assumptions'!$I$16,0,'Project Assumptions'!$N$64)</f>
        <v>0.05</v>
      </c>
      <c r="E26" s="866" t="n">
        <f aca="false">IF(E$3&gt;'Project Assumptions'!$I$16,0,'Project Assumptions'!$N$64)</f>
        <v>0.05</v>
      </c>
      <c r="F26" s="866" t="n">
        <f aca="false">IF(F$3&gt;'Project Assumptions'!$I$16,0,'Project Assumptions'!$N$64)</f>
        <v>0.05</v>
      </c>
      <c r="G26" s="866" t="n">
        <f aca="false">IF(G$3&gt;'Project Assumptions'!$I$16,0,'Project Assumptions'!$N$64)</f>
        <v>0.05</v>
      </c>
      <c r="H26" s="866" t="n">
        <f aca="false">IF(H$3&gt;'Project Assumptions'!$I$16,0,'Project Assumptions'!$N$64)</f>
        <v>0.05</v>
      </c>
      <c r="I26" s="866" t="n">
        <f aca="false">IF(I$3&gt;'Project Assumptions'!$I$16,0,'Project Assumptions'!$N$64)</f>
        <v>0.05</v>
      </c>
      <c r="J26" s="866" t="n">
        <f aca="false">IF(J$3&gt;'Project Assumptions'!$I$16,0,'Project Assumptions'!$N$64)</f>
        <v>0.05</v>
      </c>
      <c r="K26" s="866" t="n">
        <f aca="false">IF(K$3&gt;'Project Assumptions'!$I$16,0,'Project Assumptions'!$N$64)</f>
        <v>0.05</v>
      </c>
      <c r="L26" s="866" t="n">
        <f aca="false">IF(L$3&gt;'Project Assumptions'!$I$16,0,'Project Assumptions'!$N$64)</f>
        <v>0.05</v>
      </c>
      <c r="M26" s="866" t="n">
        <f aca="false">IF(M$3&gt;'Project Assumptions'!$I$16,0,'Project Assumptions'!$N$64)</f>
        <v>0.05</v>
      </c>
      <c r="N26" s="866" t="n">
        <f aca="false">IF(N$3&gt;'Project Assumptions'!$I$16,0,'Project Assumptions'!$N$64)</f>
        <v>0.05</v>
      </c>
      <c r="O26" s="866" t="n">
        <f aca="false">IF(O$3&gt;'Project Assumptions'!$I$16,0,'Project Assumptions'!$N$64)</f>
        <v>0.05</v>
      </c>
      <c r="P26" s="866" t="n">
        <f aca="false">IF(P$3&gt;'Project Assumptions'!$I$16,0,'Project Assumptions'!$N$64)</f>
        <v>0.05</v>
      </c>
      <c r="Q26" s="866" t="n">
        <f aca="false">IF(Q$3&gt;'Project Assumptions'!$I$16,0,'Project Assumptions'!$N$64)</f>
        <v>0.05</v>
      </c>
      <c r="R26" s="866" t="n">
        <f aca="false">IF(R$3&gt;'Project Assumptions'!$I$16,0,'Project Assumptions'!$N$64)</f>
        <v>0.05</v>
      </c>
      <c r="S26" s="866" t="n">
        <f aca="false">IF(S$3&gt;'Project Assumptions'!$I$16,0,'Project Assumptions'!$N$64)</f>
        <v>0.05</v>
      </c>
      <c r="T26" s="866" t="n">
        <f aca="false">IF(T$3&gt;'Project Assumptions'!$I$16,0,'Project Assumptions'!$N$64)</f>
        <v>0.05</v>
      </c>
      <c r="U26" s="866" t="n">
        <f aca="false">IF(U$3&gt;'Project Assumptions'!$I$16,0,'Project Assumptions'!$N$64)</f>
        <v>0.05</v>
      </c>
      <c r="V26" s="866" t="n">
        <f aca="false">IF(V$3&gt;'Project Assumptions'!$I$16,0,'Project Assumptions'!$N$64)</f>
        <v>0.05</v>
      </c>
      <c r="W26" s="866" t="n">
        <f aca="false">IF(W$3&gt;'Project Assumptions'!$I$16,0,'Project Assumptions'!$N$64)</f>
        <v>0.05</v>
      </c>
      <c r="X26" s="866" t="n">
        <f aca="false">IF(X$3&gt;'Project Assumptions'!$I$16+1,0,'Project Assumptions'!$N$64)</f>
        <v>0.05</v>
      </c>
      <c r="Y26" s="866" t="n">
        <f aca="false">IF(Y$3&gt;'Project Assumptions'!$I$16,0,'Project Assumptions'!$N$64)</f>
        <v>0</v>
      </c>
      <c r="Z26" s="866" t="n">
        <f aca="false">IF(Z$3&gt;'Project Assumptions'!$I$16,0,'Project Assumptions'!$N$64)</f>
        <v>0</v>
      </c>
      <c r="AA26" s="866" t="n">
        <f aca="false">IF(AA$3&gt;'Project Assumptions'!$I$16,0,'Project Assumptions'!$N$64)</f>
        <v>0</v>
      </c>
      <c r="AB26" s="867" t="n">
        <f aca="false">IF(AB$3&gt;'Project Assumptions'!$I$16,0,'Project Assumptions'!$N$64)</f>
        <v>0</v>
      </c>
      <c r="AC26" s="385"/>
      <c r="AD26" s="868"/>
      <c r="AE26" s="865"/>
      <c r="AF26" s="865"/>
      <c r="AG26" s="865"/>
      <c r="AH26" s="865"/>
      <c r="AI26" s="865"/>
      <c r="AJ26" s="865"/>
      <c r="AK26" s="865"/>
      <c r="AL26" s="865"/>
      <c r="AM26" s="865"/>
      <c r="AN26" s="865"/>
      <c r="AO26" s="865"/>
      <c r="AP26" s="865"/>
      <c r="AQ26" s="865"/>
      <c r="AR26" s="865"/>
      <c r="AS26" s="865"/>
      <c r="AT26" s="865"/>
      <c r="AU26" s="865"/>
      <c r="AV26" s="865"/>
      <c r="AW26" s="865"/>
      <c r="AX26" s="865"/>
      <c r="AY26" s="865"/>
      <c r="AZ26" s="865"/>
      <c r="BA26" s="865"/>
      <c r="BB26" s="865"/>
      <c r="BC26" s="865"/>
      <c r="BD26" s="865"/>
      <c r="BE26" s="865"/>
      <c r="BF26" s="865"/>
      <c r="BG26" s="865"/>
      <c r="BH26" s="865"/>
      <c r="BI26" s="865"/>
      <c r="BJ26" s="865"/>
      <c r="BK26" s="865"/>
      <c r="BL26" s="865"/>
      <c r="BM26" s="865"/>
      <c r="BN26" s="865"/>
      <c r="BO26" s="865"/>
      <c r="BP26" s="865"/>
      <c r="BQ26" s="865"/>
      <c r="BR26" s="865"/>
      <c r="BS26" s="865"/>
      <c r="BT26" s="865"/>
      <c r="BU26" s="865"/>
      <c r="BV26" s="865"/>
      <c r="BW26" s="865"/>
      <c r="BX26" s="865"/>
      <c r="BY26" s="865"/>
      <c r="BZ26" s="865"/>
      <c r="CA26" s="865"/>
      <c r="CB26" s="865"/>
      <c r="CC26" s="865"/>
      <c r="CD26" s="865"/>
      <c r="CE26" s="865"/>
      <c r="CF26" s="865"/>
      <c r="CG26" s="865"/>
      <c r="CH26" s="865"/>
      <c r="CI26" s="865"/>
      <c r="CJ26" s="865"/>
      <c r="CK26" s="865"/>
      <c r="CL26" s="865"/>
      <c r="CM26" s="865"/>
      <c r="CN26" s="865"/>
      <c r="CO26" s="865"/>
      <c r="CP26" s="865"/>
      <c r="CQ26" s="865"/>
      <c r="CR26" s="865"/>
      <c r="CS26" s="865"/>
      <c r="CT26" s="865"/>
      <c r="CU26" s="865"/>
      <c r="CV26" s="865"/>
      <c r="CW26" s="865"/>
      <c r="CX26" s="865"/>
      <c r="CY26" s="865"/>
      <c r="CZ26" s="865"/>
      <c r="DA26" s="865"/>
      <c r="DB26" s="865"/>
      <c r="DC26" s="865"/>
      <c r="DD26" s="865"/>
      <c r="DE26" s="865"/>
      <c r="DF26" s="865"/>
      <c r="DG26" s="865"/>
      <c r="DH26" s="865"/>
      <c r="DI26" s="865"/>
      <c r="DJ26" s="865"/>
      <c r="DK26" s="865"/>
      <c r="DL26" s="865"/>
      <c r="DM26" s="865"/>
      <c r="DN26" s="865"/>
      <c r="DO26" s="865"/>
      <c r="DP26" s="865"/>
      <c r="DQ26" s="865"/>
      <c r="DR26" s="865"/>
      <c r="DS26" s="865"/>
      <c r="DT26" s="865"/>
      <c r="DU26" s="865"/>
      <c r="DV26" s="865"/>
      <c r="DW26" s="865"/>
      <c r="DX26" s="865"/>
      <c r="DY26" s="865"/>
      <c r="DZ26" s="865"/>
      <c r="EA26" s="865"/>
      <c r="EB26" s="865"/>
      <c r="EC26" s="865"/>
      <c r="ED26" s="865"/>
      <c r="EE26" s="865"/>
      <c r="EF26" s="865"/>
      <c r="EG26" s="865"/>
      <c r="EH26" s="865"/>
      <c r="EI26" s="865"/>
      <c r="EJ26" s="865"/>
      <c r="EK26" s="865"/>
      <c r="EL26" s="865"/>
      <c r="EM26" s="865"/>
      <c r="EN26" s="865"/>
      <c r="EO26" s="865"/>
      <c r="EP26" s="865"/>
      <c r="EQ26" s="865"/>
      <c r="ER26" s="865"/>
      <c r="ES26" s="865"/>
      <c r="ET26" s="865"/>
      <c r="EU26" s="865"/>
      <c r="EV26" s="865"/>
      <c r="EW26" s="865"/>
      <c r="EX26" s="865"/>
      <c r="EY26" s="865"/>
      <c r="EZ26" s="865"/>
      <c r="FA26" s="865"/>
      <c r="FB26" s="865"/>
      <c r="FC26" s="865"/>
      <c r="FD26" s="865"/>
      <c r="FE26" s="865"/>
      <c r="FF26" s="865"/>
      <c r="FG26" s="865"/>
      <c r="FH26" s="865"/>
      <c r="FI26" s="865"/>
      <c r="FJ26" s="865"/>
      <c r="FK26" s="865"/>
      <c r="FL26" s="865"/>
      <c r="FM26" s="865"/>
      <c r="FN26" s="865"/>
      <c r="FO26" s="865"/>
      <c r="FP26" s="865"/>
      <c r="FQ26" s="865"/>
      <c r="FR26" s="865"/>
      <c r="FS26" s="865"/>
      <c r="FT26" s="865"/>
      <c r="FU26" s="865"/>
      <c r="FV26" s="865"/>
      <c r="FW26" s="865"/>
      <c r="FX26" s="865"/>
      <c r="FY26" s="865"/>
      <c r="FZ26" s="865"/>
      <c r="GA26" s="865"/>
      <c r="GB26" s="865"/>
      <c r="GC26" s="865"/>
      <c r="GD26" s="865"/>
      <c r="GE26" s="865"/>
      <c r="GF26" s="865"/>
      <c r="GG26" s="865"/>
      <c r="GH26" s="865"/>
      <c r="GI26" s="865"/>
      <c r="GJ26" s="865"/>
      <c r="GK26" s="865"/>
      <c r="GL26" s="865"/>
      <c r="GM26" s="865"/>
      <c r="GN26" s="865"/>
      <c r="GO26" s="865"/>
      <c r="GP26" s="865"/>
      <c r="GQ26" s="865"/>
      <c r="GR26" s="865"/>
      <c r="GS26" s="865"/>
      <c r="GT26" s="865"/>
      <c r="GU26" s="865"/>
      <c r="GV26" s="865"/>
      <c r="GW26" s="865"/>
      <c r="GX26" s="865"/>
      <c r="GY26" s="865"/>
      <c r="GZ26" s="865"/>
      <c r="HA26" s="865"/>
      <c r="HB26" s="865"/>
      <c r="HC26" s="865"/>
      <c r="HD26" s="865"/>
      <c r="HE26" s="865"/>
      <c r="HF26" s="865"/>
      <c r="HG26" s="865"/>
      <c r="HH26" s="865"/>
      <c r="HI26" s="865"/>
      <c r="HJ26" s="865"/>
      <c r="HK26" s="865"/>
      <c r="HL26" s="865"/>
      <c r="HM26" s="865"/>
      <c r="HN26" s="865"/>
      <c r="HO26" s="865"/>
      <c r="HP26" s="865"/>
      <c r="HQ26" s="865"/>
      <c r="HR26" s="865"/>
      <c r="HS26" s="865"/>
      <c r="HT26" s="865"/>
      <c r="HU26" s="865"/>
      <c r="HV26" s="865"/>
      <c r="HW26" s="865"/>
      <c r="HX26" s="865"/>
      <c r="HY26" s="865"/>
      <c r="HZ26" s="865"/>
      <c r="IA26" s="865"/>
      <c r="IB26" s="865"/>
      <c r="IC26" s="865"/>
      <c r="ID26" s="865"/>
      <c r="IE26" s="865"/>
      <c r="IF26" s="865"/>
      <c r="IG26" s="865"/>
      <c r="IH26" s="865"/>
      <c r="II26" s="865"/>
      <c r="IJ26" s="865"/>
      <c r="IK26" s="865"/>
      <c r="IL26" s="865"/>
      <c r="IM26" s="865"/>
      <c r="IN26" s="865"/>
      <c r="IO26" s="865"/>
      <c r="IP26" s="865"/>
      <c r="IQ26" s="865"/>
      <c r="IR26" s="865"/>
      <c r="IS26" s="865"/>
      <c r="IT26" s="865"/>
      <c r="IU26" s="865"/>
    </row>
    <row r="27" customFormat="false" ht="12" hidden="false" customHeight="true" outlineLevel="0" collapsed="false">
      <c r="A27" s="791" t="s">
        <v>628</v>
      </c>
      <c r="B27" s="438"/>
      <c r="C27" s="438"/>
      <c r="D27" s="438" t="n">
        <f aca="false">D25*D26</f>
        <v>-437.353217767218</v>
      </c>
      <c r="E27" s="438" t="n">
        <f aca="false">E25*E26</f>
        <v>-220.198106820715</v>
      </c>
      <c r="F27" s="438" t="n">
        <f aca="false">F25*F26</f>
        <v>-126.817485646912</v>
      </c>
      <c r="G27" s="438" t="n">
        <f aca="false">G25*G26</f>
        <v>-41.4207544506407</v>
      </c>
      <c r="H27" s="438" t="n">
        <f aca="false">H25*H26</f>
        <v>331.534877019432</v>
      </c>
      <c r="I27" s="438" t="n">
        <f aca="false">I25*I26</f>
        <v>637.898365519888</v>
      </c>
      <c r="J27" s="438" t="n">
        <f aca="false">J25*J26</f>
        <v>715.665871098116</v>
      </c>
      <c r="K27" s="438" t="n">
        <f aca="false">K25*K26</f>
        <v>752.217459894144</v>
      </c>
      <c r="L27" s="438" t="n">
        <f aca="false">L25*L26</f>
        <v>821.223097911306</v>
      </c>
      <c r="M27" s="438" t="n">
        <f aca="false">M25*M26</f>
        <v>870.465037772628</v>
      </c>
      <c r="N27" s="438" t="n">
        <f aca="false">N25*N26</f>
        <v>964.027813079668</v>
      </c>
      <c r="O27" s="438" t="n">
        <f aca="false">O25*O26</f>
        <v>949.168755115388</v>
      </c>
      <c r="P27" s="438" t="n">
        <f aca="false">P25*P26</f>
        <v>1017.26768641676</v>
      </c>
      <c r="Q27" s="438" t="n">
        <f aca="false">Q25*Q26</f>
        <v>1049.20695144527</v>
      </c>
      <c r="R27" s="438" t="n">
        <f aca="false">R25*R26</f>
        <v>1081.941884103</v>
      </c>
      <c r="S27" s="438" t="n">
        <f aca="false">S25*S26</f>
        <v>1334.39598770519</v>
      </c>
      <c r="T27" s="438" t="n">
        <f aca="false">T25*T26</f>
        <v>1592.16156418995</v>
      </c>
      <c r="U27" s="438" t="n">
        <f aca="false">U25*U26</f>
        <v>1641.80307144277</v>
      </c>
      <c r="V27" s="438" t="n">
        <f aca="false">V25*V26</f>
        <v>1691.33235329355</v>
      </c>
      <c r="W27" s="438" t="n">
        <f aca="false">W25*W26</f>
        <v>1742.66336849847</v>
      </c>
      <c r="X27" s="438" t="n">
        <f aca="false">X25*X26</f>
        <v>1798.75491957637</v>
      </c>
      <c r="Y27" s="438" t="n">
        <f aca="false">Y25*Y26</f>
        <v>0</v>
      </c>
      <c r="Z27" s="438" t="n">
        <f aca="false">Z25*Z26</f>
        <v>0</v>
      </c>
      <c r="AA27" s="438" t="n">
        <f aca="false">AA25*AA26</f>
        <v>0</v>
      </c>
      <c r="AB27" s="439" t="n">
        <f aca="false">AB25*AB26</f>
        <v>0</v>
      </c>
      <c r="AC27" s="438"/>
      <c r="AD27" s="438"/>
      <c r="AE27" s="713"/>
      <c r="AF27" s="713"/>
      <c r="AG27" s="713"/>
      <c r="AH27" s="713"/>
      <c r="AI27" s="713"/>
      <c r="AJ27" s="713"/>
      <c r="AK27" s="713"/>
      <c r="AL27" s="713"/>
      <c r="AM27" s="713"/>
      <c r="AN27" s="713"/>
      <c r="AO27" s="713"/>
      <c r="AP27" s="713"/>
      <c r="AQ27" s="713"/>
      <c r="AR27" s="713"/>
      <c r="AS27" s="713"/>
      <c r="AT27" s="713"/>
      <c r="AU27" s="713"/>
      <c r="AV27" s="713"/>
      <c r="AW27" s="713"/>
      <c r="AX27" s="713"/>
      <c r="AY27" s="713"/>
      <c r="AZ27" s="713"/>
      <c r="BA27" s="713"/>
      <c r="BB27" s="713"/>
      <c r="BC27" s="713"/>
      <c r="BD27" s="713"/>
      <c r="BE27" s="713"/>
      <c r="BF27" s="713"/>
      <c r="BG27" s="713"/>
      <c r="BH27" s="713"/>
      <c r="BI27" s="713"/>
      <c r="BJ27" s="713"/>
      <c r="BK27" s="713"/>
      <c r="BL27" s="713"/>
      <c r="BM27" s="713"/>
      <c r="BN27" s="713"/>
      <c r="BO27" s="713"/>
      <c r="BP27" s="713"/>
      <c r="BQ27" s="713"/>
      <c r="BR27" s="713"/>
      <c r="BS27" s="713"/>
      <c r="BT27" s="713"/>
      <c r="BU27" s="713"/>
      <c r="BV27" s="713"/>
      <c r="BW27" s="713"/>
      <c r="BX27" s="713"/>
      <c r="BY27" s="713"/>
      <c r="BZ27" s="713"/>
      <c r="CA27" s="713"/>
      <c r="CB27" s="713"/>
      <c r="CC27" s="713"/>
      <c r="CD27" s="713"/>
      <c r="CE27" s="713"/>
      <c r="CF27" s="713"/>
      <c r="CG27" s="713"/>
      <c r="CH27" s="713"/>
      <c r="CI27" s="713"/>
      <c r="CJ27" s="713"/>
      <c r="CK27" s="713"/>
      <c r="CL27" s="713"/>
      <c r="CM27" s="713"/>
      <c r="CN27" s="713"/>
      <c r="CO27" s="713"/>
      <c r="CP27" s="713"/>
      <c r="CQ27" s="713"/>
      <c r="CR27" s="713"/>
      <c r="CS27" s="713"/>
      <c r="CT27" s="713"/>
      <c r="CU27" s="713"/>
      <c r="CV27" s="713"/>
      <c r="CW27" s="713"/>
      <c r="CX27" s="713"/>
      <c r="CY27" s="713"/>
      <c r="CZ27" s="713"/>
      <c r="DA27" s="713"/>
      <c r="DB27" s="713"/>
      <c r="DC27" s="713"/>
      <c r="DD27" s="713"/>
      <c r="DE27" s="713"/>
      <c r="DF27" s="713"/>
      <c r="DG27" s="713"/>
      <c r="DH27" s="713"/>
      <c r="DI27" s="713"/>
      <c r="DJ27" s="713"/>
      <c r="DK27" s="713"/>
      <c r="DL27" s="713"/>
      <c r="DM27" s="713"/>
      <c r="DN27" s="713"/>
      <c r="DO27" s="713"/>
      <c r="DP27" s="713"/>
      <c r="DQ27" s="713"/>
      <c r="DR27" s="713"/>
      <c r="DS27" s="713"/>
      <c r="DT27" s="713"/>
      <c r="DU27" s="713"/>
      <c r="DV27" s="713"/>
      <c r="DW27" s="713"/>
      <c r="DX27" s="713"/>
      <c r="DY27" s="713"/>
      <c r="DZ27" s="713"/>
      <c r="EA27" s="713"/>
      <c r="EB27" s="713"/>
      <c r="EC27" s="713"/>
      <c r="ED27" s="713"/>
      <c r="EE27" s="713"/>
      <c r="EF27" s="713"/>
      <c r="EG27" s="713"/>
      <c r="EH27" s="713"/>
      <c r="EI27" s="713"/>
      <c r="EJ27" s="713"/>
      <c r="EK27" s="713"/>
      <c r="EL27" s="713"/>
      <c r="EM27" s="713"/>
      <c r="EN27" s="713"/>
      <c r="EO27" s="713"/>
      <c r="EP27" s="713"/>
      <c r="EQ27" s="713"/>
      <c r="ER27" s="713"/>
      <c r="ES27" s="713"/>
      <c r="ET27" s="713"/>
      <c r="EU27" s="713"/>
      <c r="EV27" s="713"/>
      <c r="EW27" s="713"/>
      <c r="EX27" s="713"/>
      <c r="EY27" s="713"/>
      <c r="EZ27" s="713"/>
      <c r="FA27" s="713"/>
      <c r="FB27" s="713"/>
      <c r="FC27" s="713"/>
      <c r="FD27" s="713"/>
      <c r="FE27" s="713"/>
      <c r="FF27" s="713"/>
      <c r="FG27" s="713"/>
      <c r="FH27" s="713"/>
      <c r="FI27" s="713"/>
      <c r="FJ27" s="713"/>
      <c r="FK27" s="713"/>
      <c r="FL27" s="713"/>
      <c r="FM27" s="713"/>
      <c r="FN27" s="713"/>
      <c r="FO27" s="713"/>
      <c r="FP27" s="713"/>
      <c r="FQ27" s="713"/>
      <c r="FR27" s="713"/>
      <c r="FS27" s="713"/>
      <c r="FT27" s="713"/>
      <c r="FU27" s="713"/>
      <c r="FV27" s="713"/>
      <c r="FW27" s="713"/>
      <c r="FX27" s="713"/>
      <c r="FY27" s="713"/>
      <c r="FZ27" s="713"/>
      <c r="GA27" s="713"/>
      <c r="GB27" s="713"/>
      <c r="GC27" s="713"/>
      <c r="GD27" s="713"/>
      <c r="GE27" s="713"/>
      <c r="GF27" s="713"/>
      <c r="GG27" s="713"/>
      <c r="GH27" s="713"/>
      <c r="GI27" s="713"/>
      <c r="GJ27" s="713"/>
      <c r="GK27" s="713"/>
      <c r="GL27" s="713"/>
      <c r="GM27" s="713"/>
      <c r="GN27" s="713"/>
      <c r="GO27" s="713"/>
      <c r="GP27" s="713"/>
      <c r="GQ27" s="713"/>
      <c r="GR27" s="713"/>
      <c r="GS27" s="713"/>
      <c r="GT27" s="713"/>
      <c r="GU27" s="713"/>
      <c r="GV27" s="713"/>
      <c r="GW27" s="713"/>
      <c r="GX27" s="713"/>
      <c r="GY27" s="713"/>
      <c r="GZ27" s="713"/>
      <c r="HA27" s="713"/>
      <c r="HB27" s="713"/>
      <c r="HC27" s="713"/>
      <c r="HD27" s="713"/>
      <c r="HE27" s="713"/>
      <c r="HF27" s="713"/>
      <c r="HG27" s="713"/>
      <c r="HH27" s="713"/>
      <c r="HI27" s="713"/>
      <c r="HJ27" s="713"/>
      <c r="HK27" s="713"/>
      <c r="HL27" s="713"/>
      <c r="HM27" s="713"/>
      <c r="HN27" s="713"/>
      <c r="HO27" s="713"/>
      <c r="HP27" s="713"/>
      <c r="HQ27" s="713"/>
      <c r="HR27" s="713"/>
      <c r="HS27" s="713"/>
      <c r="HT27" s="713"/>
      <c r="HU27" s="713"/>
      <c r="HV27" s="713"/>
      <c r="HW27" s="713"/>
      <c r="HX27" s="713"/>
      <c r="HY27" s="713"/>
      <c r="HZ27" s="713"/>
      <c r="IA27" s="713"/>
      <c r="IB27" s="713"/>
      <c r="IC27" s="713"/>
      <c r="ID27" s="713"/>
      <c r="IE27" s="713"/>
      <c r="IF27" s="713"/>
      <c r="IG27" s="713"/>
      <c r="IH27" s="713"/>
      <c r="II27" s="713"/>
      <c r="IJ27" s="713"/>
      <c r="IK27" s="713"/>
      <c r="IL27" s="713"/>
      <c r="IM27" s="713"/>
      <c r="IN27" s="713"/>
      <c r="IO27" s="713"/>
      <c r="IP27" s="713"/>
      <c r="IQ27" s="713"/>
      <c r="IR27" s="713"/>
      <c r="IS27" s="713"/>
      <c r="IT27" s="713"/>
      <c r="IU27" s="713"/>
      <c r="IV27" s="713"/>
      <c r="IW27" s="713"/>
    </row>
    <row r="28" customFormat="false" ht="12" hidden="false" customHeight="true" outlineLevel="0" collapsed="false">
      <c r="A28" s="791"/>
      <c r="B28" s="438"/>
      <c r="C28" s="438"/>
      <c r="D28" s="438"/>
      <c r="E28" s="438"/>
      <c r="F28" s="438"/>
      <c r="G28" s="438"/>
      <c r="H28" s="438"/>
      <c r="I28" s="438"/>
      <c r="J28" s="438"/>
      <c r="K28" s="438"/>
      <c r="L28" s="438"/>
      <c r="M28" s="438"/>
      <c r="N28" s="438"/>
      <c r="O28" s="438"/>
      <c r="P28" s="438"/>
      <c r="Q28" s="438"/>
      <c r="R28" s="438"/>
      <c r="S28" s="438"/>
      <c r="T28" s="438"/>
      <c r="U28" s="438"/>
      <c r="V28" s="438"/>
      <c r="W28" s="438"/>
      <c r="X28" s="438"/>
      <c r="Y28" s="438"/>
      <c r="Z28" s="438"/>
      <c r="AA28" s="438"/>
      <c r="AB28" s="439"/>
      <c r="AC28" s="438"/>
      <c r="AD28" s="438"/>
      <c r="AE28" s="713"/>
      <c r="AF28" s="713"/>
      <c r="AG28" s="713"/>
      <c r="AH28" s="713"/>
      <c r="AI28" s="713"/>
      <c r="AJ28" s="713"/>
      <c r="AK28" s="713"/>
      <c r="AL28" s="713"/>
      <c r="AM28" s="713"/>
      <c r="AN28" s="713"/>
      <c r="AO28" s="713"/>
      <c r="AP28" s="713"/>
      <c r="AQ28" s="713"/>
      <c r="AR28" s="713"/>
      <c r="AS28" s="713"/>
      <c r="AT28" s="713"/>
      <c r="AU28" s="713"/>
      <c r="AV28" s="713"/>
      <c r="AW28" s="713"/>
      <c r="AX28" s="713"/>
      <c r="AY28" s="713"/>
      <c r="AZ28" s="713"/>
      <c r="BA28" s="713"/>
      <c r="BB28" s="713"/>
      <c r="BC28" s="713"/>
      <c r="BD28" s="713"/>
      <c r="BE28" s="713"/>
      <c r="BF28" s="713"/>
      <c r="BG28" s="713"/>
      <c r="BH28" s="713"/>
      <c r="BI28" s="713"/>
      <c r="BJ28" s="713"/>
      <c r="BK28" s="713"/>
      <c r="BL28" s="713"/>
      <c r="BM28" s="713"/>
      <c r="BN28" s="713"/>
      <c r="BO28" s="713"/>
      <c r="BP28" s="713"/>
      <c r="BQ28" s="713"/>
      <c r="BR28" s="713"/>
      <c r="BS28" s="713"/>
      <c r="BT28" s="713"/>
      <c r="BU28" s="713"/>
      <c r="BV28" s="713"/>
      <c r="BW28" s="713"/>
      <c r="BX28" s="713"/>
      <c r="BY28" s="713"/>
      <c r="BZ28" s="713"/>
      <c r="CA28" s="713"/>
      <c r="CB28" s="713"/>
      <c r="CC28" s="713"/>
      <c r="CD28" s="713"/>
      <c r="CE28" s="713"/>
      <c r="CF28" s="713"/>
      <c r="CG28" s="713"/>
      <c r="CH28" s="713"/>
      <c r="CI28" s="713"/>
      <c r="CJ28" s="713"/>
      <c r="CK28" s="713"/>
      <c r="CL28" s="713"/>
      <c r="CM28" s="713"/>
      <c r="CN28" s="713"/>
      <c r="CO28" s="713"/>
      <c r="CP28" s="713"/>
      <c r="CQ28" s="713"/>
      <c r="CR28" s="713"/>
      <c r="CS28" s="713"/>
      <c r="CT28" s="713"/>
      <c r="CU28" s="713"/>
      <c r="CV28" s="713"/>
      <c r="CW28" s="713"/>
      <c r="CX28" s="713"/>
      <c r="CY28" s="713"/>
      <c r="CZ28" s="713"/>
      <c r="DA28" s="713"/>
      <c r="DB28" s="713"/>
      <c r="DC28" s="713"/>
      <c r="DD28" s="713"/>
      <c r="DE28" s="713"/>
      <c r="DF28" s="713"/>
      <c r="DG28" s="713"/>
      <c r="DH28" s="713"/>
      <c r="DI28" s="713"/>
      <c r="DJ28" s="713"/>
      <c r="DK28" s="713"/>
      <c r="DL28" s="713"/>
      <c r="DM28" s="713"/>
      <c r="DN28" s="713"/>
      <c r="DO28" s="713"/>
      <c r="DP28" s="713"/>
      <c r="DQ28" s="713"/>
      <c r="DR28" s="713"/>
      <c r="DS28" s="713"/>
      <c r="DT28" s="713"/>
      <c r="DU28" s="713"/>
      <c r="DV28" s="713"/>
      <c r="DW28" s="713"/>
      <c r="DX28" s="713"/>
      <c r="DY28" s="713"/>
      <c r="DZ28" s="713"/>
      <c r="EA28" s="713"/>
      <c r="EB28" s="713"/>
      <c r="EC28" s="713"/>
      <c r="ED28" s="713"/>
      <c r="EE28" s="713"/>
      <c r="EF28" s="713"/>
      <c r="EG28" s="713"/>
      <c r="EH28" s="713"/>
      <c r="EI28" s="713"/>
      <c r="EJ28" s="713"/>
      <c r="EK28" s="713"/>
      <c r="EL28" s="713"/>
      <c r="EM28" s="713"/>
      <c r="EN28" s="713"/>
      <c r="EO28" s="713"/>
      <c r="EP28" s="713"/>
      <c r="EQ28" s="713"/>
      <c r="ER28" s="713"/>
      <c r="ES28" s="713"/>
      <c r="ET28" s="713"/>
      <c r="EU28" s="713"/>
      <c r="EV28" s="713"/>
      <c r="EW28" s="713"/>
      <c r="EX28" s="713"/>
      <c r="EY28" s="713"/>
      <c r="EZ28" s="713"/>
      <c r="FA28" s="713"/>
      <c r="FB28" s="713"/>
      <c r="FC28" s="713"/>
      <c r="FD28" s="713"/>
      <c r="FE28" s="713"/>
      <c r="FF28" s="713"/>
      <c r="FG28" s="713"/>
      <c r="FH28" s="713"/>
      <c r="FI28" s="713"/>
      <c r="FJ28" s="713"/>
      <c r="FK28" s="713"/>
      <c r="FL28" s="713"/>
      <c r="FM28" s="713"/>
      <c r="FN28" s="713"/>
      <c r="FO28" s="713"/>
      <c r="FP28" s="713"/>
      <c r="FQ28" s="713"/>
      <c r="FR28" s="713"/>
      <c r="FS28" s="713"/>
      <c r="FT28" s="713"/>
      <c r="FU28" s="713"/>
      <c r="FV28" s="713"/>
      <c r="FW28" s="713"/>
      <c r="FX28" s="713"/>
      <c r="FY28" s="713"/>
      <c r="FZ28" s="713"/>
      <c r="GA28" s="713"/>
      <c r="GB28" s="713"/>
      <c r="GC28" s="713"/>
      <c r="GD28" s="713"/>
      <c r="GE28" s="713"/>
      <c r="GF28" s="713"/>
      <c r="GG28" s="713"/>
      <c r="GH28" s="713"/>
      <c r="GI28" s="713"/>
      <c r="GJ28" s="713"/>
      <c r="GK28" s="713"/>
      <c r="GL28" s="713"/>
      <c r="GM28" s="713"/>
      <c r="GN28" s="713"/>
      <c r="GO28" s="713"/>
      <c r="GP28" s="713"/>
      <c r="GQ28" s="713"/>
      <c r="GR28" s="713"/>
      <c r="GS28" s="713"/>
      <c r="GT28" s="713"/>
      <c r="GU28" s="713"/>
      <c r="GV28" s="713"/>
      <c r="GW28" s="713"/>
      <c r="GX28" s="713"/>
      <c r="GY28" s="713"/>
      <c r="GZ28" s="713"/>
      <c r="HA28" s="713"/>
      <c r="HB28" s="713"/>
      <c r="HC28" s="713"/>
      <c r="HD28" s="713"/>
      <c r="HE28" s="713"/>
      <c r="HF28" s="713"/>
      <c r="HG28" s="713"/>
      <c r="HH28" s="713"/>
      <c r="HI28" s="713"/>
      <c r="HJ28" s="713"/>
      <c r="HK28" s="713"/>
      <c r="HL28" s="713"/>
      <c r="HM28" s="713"/>
      <c r="HN28" s="713"/>
      <c r="HO28" s="713"/>
      <c r="HP28" s="713"/>
      <c r="HQ28" s="713"/>
      <c r="HR28" s="713"/>
      <c r="HS28" s="713"/>
      <c r="HT28" s="713"/>
      <c r="HU28" s="713"/>
      <c r="HV28" s="713"/>
      <c r="HW28" s="713"/>
      <c r="HX28" s="713"/>
      <c r="HY28" s="713"/>
      <c r="HZ28" s="713"/>
      <c r="IA28" s="713"/>
      <c r="IB28" s="713"/>
      <c r="IC28" s="713"/>
      <c r="ID28" s="713"/>
      <c r="IE28" s="713"/>
      <c r="IF28" s="713"/>
      <c r="IG28" s="713"/>
      <c r="IH28" s="713"/>
      <c r="II28" s="713"/>
      <c r="IJ28" s="713"/>
      <c r="IK28" s="713"/>
      <c r="IL28" s="713"/>
      <c r="IM28" s="713"/>
      <c r="IN28" s="713"/>
      <c r="IO28" s="713"/>
      <c r="IP28" s="713"/>
      <c r="IQ28" s="713"/>
      <c r="IR28" s="713"/>
      <c r="IS28" s="713"/>
      <c r="IT28" s="713"/>
      <c r="IU28" s="713"/>
      <c r="IV28" s="713"/>
      <c r="IW28" s="713"/>
    </row>
    <row r="29" customFormat="false" ht="12" hidden="false" customHeight="true" outlineLevel="0" collapsed="false">
      <c r="A29" s="791" t="s">
        <v>629</v>
      </c>
      <c r="B29" s="438"/>
      <c r="C29" s="438"/>
      <c r="D29" s="880" t="n">
        <f aca="false">C33</f>
        <v>0</v>
      </c>
      <c r="E29" s="880" t="n">
        <f aca="false">D33</f>
        <v>437.353217767218</v>
      </c>
      <c r="F29" s="880" t="n">
        <f aca="false">E33</f>
        <v>657.551324587933</v>
      </c>
      <c r="G29" s="880" t="n">
        <f aca="false">F33</f>
        <v>784.368810234846</v>
      </c>
      <c r="H29" s="880" t="n">
        <f aca="false">G33</f>
        <v>825.789564685486</v>
      </c>
      <c r="I29" s="880" t="n">
        <f aca="false">H33</f>
        <v>494.254687666055</v>
      </c>
      <c r="J29" s="880" t="n">
        <f aca="false">I33</f>
        <v>0</v>
      </c>
      <c r="K29" s="880" t="n">
        <f aca="false">J33</f>
        <v>0</v>
      </c>
      <c r="L29" s="880" t="n">
        <f aca="false">K33</f>
        <v>0</v>
      </c>
      <c r="M29" s="880" t="n">
        <f aca="false">L33</f>
        <v>0</v>
      </c>
      <c r="N29" s="880" t="n">
        <f aca="false">M33</f>
        <v>0</v>
      </c>
      <c r="O29" s="880" t="n">
        <f aca="false">N33</f>
        <v>0</v>
      </c>
      <c r="P29" s="880" t="n">
        <f aca="false">O33</f>
        <v>0</v>
      </c>
      <c r="Q29" s="880" t="n">
        <f aca="false">P33</f>
        <v>0</v>
      </c>
      <c r="R29" s="880" t="n">
        <f aca="false">Q33</f>
        <v>0</v>
      </c>
      <c r="S29" s="880" t="n">
        <f aca="false">R33</f>
        <v>0</v>
      </c>
      <c r="T29" s="880" t="n">
        <f aca="false">S33</f>
        <v>0</v>
      </c>
      <c r="U29" s="880" t="n">
        <f aca="false">T33</f>
        <v>0</v>
      </c>
      <c r="V29" s="880" t="n">
        <f aca="false">U33</f>
        <v>0</v>
      </c>
      <c r="W29" s="880" t="n">
        <f aca="false">V33</f>
        <v>0</v>
      </c>
      <c r="X29" s="880" t="n">
        <f aca="false">W33</f>
        <v>0</v>
      </c>
      <c r="Y29" s="880" t="n">
        <f aca="false">X33</f>
        <v>0</v>
      </c>
      <c r="Z29" s="880" t="n">
        <f aca="false">Y33</f>
        <v>0</v>
      </c>
      <c r="AA29" s="880" t="n">
        <f aca="false">Z33</f>
        <v>0</v>
      </c>
      <c r="AB29" s="881" t="n">
        <f aca="false">AA33</f>
        <v>0</v>
      </c>
      <c r="AC29" s="438"/>
      <c r="AD29" s="438"/>
      <c r="AE29" s="713"/>
      <c r="AF29" s="713"/>
      <c r="AG29" s="713"/>
      <c r="AH29" s="713"/>
      <c r="AI29" s="713"/>
      <c r="AJ29" s="713"/>
      <c r="AK29" s="713"/>
      <c r="AL29" s="713"/>
      <c r="AM29" s="713"/>
      <c r="AN29" s="713"/>
      <c r="AO29" s="713"/>
      <c r="AP29" s="713"/>
      <c r="AQ29" s="713"/>
      <c r="AR29" s="713"/>
      <c r="AS29" s="713"/>
      <c r="AT29" s="713"/>
      <c r="AU29" s="713"/>
      <c r="AV29" s="713"/>
      <c r="AW29" s="713"/>
      <c r="AX29" s="713"/>
      <c r="AY29" s="713"/>
      <c r="AZ29" s="713"/>
      <c r="BA29" s="713"/>
      <c r="BB29" s="713"/>
      <c r="BC29" s="713"/>
      <c r="BD29" s="713"/>
      <c r="BE29" s="713"/>
      <c r="BF29" s="713"/>
      <c r="BG29" s="713"/>
      <c r="BH29" s="713"/>
      <c r="BI29" s="713"/>
      <c r="BJ29" s="713"/>
      <c r="BK29" s="713"/>
      <c r="BL29" s="713"/>
      <c r="BM29" s="713"/>
      <c r="BN29" s="713"/>
      <c r="BO29" s="713"/>
      <c r="BP29" s="713"/>
      <c r="BQ29" s="713"/>
      <c r="BR29" s="713"/>
      <c r="BS29" s="713"/>
      <c r="BT29" s="713"/>
      <c r="BU29" s="713"/>
      <c r="BV29" s="713"/>
      <c r="BW29" s="713"/>
      <c r="BX29" s="713"/>
      <c r="BY29" s="713"/>
      <c r="BZ29" s="713"/>
      <c r="CA29" s="713"/>
      <c r="CB29" s="713"/>
      <c r="CC29" s="713"/>
      <c r="CD29" s="713"/>
      <c r="CE29" s="713"/>
      <c r="CF29" s="713"/>
      <c r="CG29" s="713"/>
      <c r="CH29" s="713"/>
      <c r="CI29" s="713"/>
      <c r="CJ29" s="713"/>
      <c r="CK29" s="713"/>
      <c r="CL29" s="713"/>
      <c r="CM29" s="713"/>
      <c r="CN29" s="713"/>
      <c r="CO29" s="713"/>
      <c r="CP29" s="713"/>
      <c r="CQ29" s="713"/>
      <c r="CR29" s="713"/>
      <c r="CS29" s="713"/>
      <c r="CT29" s="713"/>
      <c r="CU29" s="713"/>
      <c r="CV29" s="713"/>
      <c r="CW29" s="713"/>
      <c r="CX29" s="713"/>
      <c r="CY29" s="713"/>
      <c r="CZ29" s="713"/>
      <c r="DA29" s="713"/>
      <c r="DB29" s="713"/>
      <c r="DC29" s="713"/>
      <c r="DD29" s="713"/>
      <c r="DE29" s="713"/>
      <c r="DF29" s="713"/>
      <c r="DG29" s="713"/>
      <c r="DH29" s="713"/>
      <c r="DI29" s="713"/>
      <c r="DJ29" s="713"/>
      <c r="DK29" s="713"/>
      <c r="DL29" s="713"/>
      <c r="DM29" s="713"/>
      <c r="DN29" s="713"/>
      <c r="DO29" s="713"/>
      <c r="DP29" s="713"/>
      <c r="DQ29" s="713"/>
      <c r="DR29" s="713"/>
      <c r="DS29" s="713"/>
      <c r="DT29" s="713"/>
      <c r="DU29" s="713"/>
      <c r="DV29" s="713"/>
      <c r="DW29" s="713"/>
      <c r="DX29" s="713"/>
      <c r="DY29" s="713"/>
      <c r="DZ29" s="713"/>
      <c r="EA29" s="713"/>
      <c r="EB29" s="713"/>
      <c r="EC29" s="713"/>
      <c r="ED29" s="713"/>
      <c r="EE29" s="713"/>
      <c r="EF29" s="713"/>
      <c r="EG29" s="713"/>
      <c r="EH29" s="713"/>
      <c r="EI29" s="713"/>
      <c r="EJ29" s="713"/>
      <c r="EK29" s="713"/>
      <c r="EL29" s="713"/>
      <c r="EM29" s="713"/>
      <c r="EN29" s="713"/>
      <c r="EO29" s="713"/>
      <c r="EP29" s="713"/>
      <c r="EQ29" s="713"/>
      <c r="ER29" s="713"/>
      <c r="ES29" s="713"/>
      <c r="ET29" s="713"/>
      <c r="EU29" s="713"/>
      <c r="EV29" s="713"/>
      <c r="EW29" s="713"/>
      <c r="EX29" s="713"/>
      <c r="EY29" s="713"/>
      <c r="EZ29" s="713"/>
      <c r="FA29" s="713"/>
      <c r="FB29" s="713"/>
      <c r="FC29" s="713"/>
      <c r="FD29" s="713"/>
      <c r="FE29" s="713"/>
      <c r="FF29" s="713"/>
      <c r="FG29" s="713"/>
      <c r="FH29" s="713"/>
      <c r="FI29" s="713"/>
      <c r="FJ29" s="713"/>
      <c r="FK29" s="713"/>
      <c r="FL29" s="713"/>
      <c r="FM29" s="713"/>
      <c r="FN29" s="713"/>
      <c r="FO29" s="713"/>
      <c r="FP29" s="713"/>
      <c r="FQ29" s="713"/>
      <c r="FR29" s="713"/>
      <c r="FS29" s="713"/>
      <c r="FT29" s="713"/>
      <c r="FU29" s="713"/>
      <c r="FV29" s="713"/>
      <c r="FW29" s="713"/>
      <c r="FX29" s="713"/>
      <c r="FY29" s="713"/>
      <c r="FZ29" s="713"/>
      <c r="GA29" s="713"/>
      <c r="GB29" s="713"/>
      <c r="GC29" s="713"/>
      <c r="GD29" s="713"/>
      <c r="GE29" s="713"/>
      <c r="GF29" s="713"/>
      <c r="GG29" s="713"/>
      <c r="GH29" s="713"/>
      <c r="GI29" s="713"/>
      <c r="GJ29" s="713"/>
      <c r="GK29" s="713"/>
      <c r="GL29" s="713"/>
      <c r="GM29" s="713"/>
      <c r="GN29" s="713"/>
      <c r="GO29" s="713"/>
      <c r="GP29" s="713"/>
      <c r="GQ29" s="713"/>
      <c r="GR29" s="713"/>
      <c r="GS29" s="713"/>
      <c r="GT29" s="713"/>
      <c r="GU29" s="713"/>
      <c r="GV29" s="713"/>
      <c r="GW29" s="713"/>
      <c r="GX29" s="713"/>
      <c r="GY29" s="713"/>
      <c r="GZ29" s="713"/>
      <c r="HA29" s="713"/>
      <c r="HB29" s="713"/>
      <c r="HC29" s="713"/>
      <c r="HD29" s="713"/>
      <c r="HE29" s="713"/>
      <c r="HF29" s="713"/>
      <c r="HG29" s="713"/>
      <c r="HH29" s="713"/>
      <c r="HI29" s="713"/>
      <c r="HJ29" s="713"/>
      <c r="HK29" s="713"/>
      <c r="HL29" s="713"/>
      <c r="HM29" s="713"/>
      <c r="HN29" s="713"/>
      <c r="HO29" s="713"/>
      <c r="HP29" s="713"/>
      <c r="HQ29" s="713"/>
      <c r="HR29" s="713"/>
      <c r="HS29" s="713"/>
      <c r="HT29" s="713"/>
      <c r="HU29" s="713"/>
      <c r="HV29" s="713"/>
      <c r="HW29" s="713"/>
      <c r="HX29" s="713"/>
      <c r="HY29" s="713"/>
      <c r="HZ29" s="713"/>
      <c r="IA29" s="713"/>
      <c r="IB29" s="713"/>
      <c r="IC29" s="713"/>
      <c r="ID29" s="713"/>
      <c r="IE29" s="713"/>
      <c r="IF29" s="713"/>
      <c r="IG29" s="713"/>
      <c r="IH29" s="713"/>
      <c r="II29" s="713"/>
      <c r="IJ29" s="713"/>
      <c r="IK29" s="713"/>
      <c r="IL29" s="713"/>
      <c r="IM29" s="713"/>
      <c r="IN29" s="713"/>
      <c r="IO29" s="713"/>
      <c r="IP29" s="713"/>
      <c r="IQ29" s="713"/>
      <c r="IR29" s="713"/>
      <c r="IS29" s="713"/>
      <c r="IT29" s="713"/>
      <c r="IU29" s="713"/>
      <c r="IV29" s="713"/>
      <c r="IW29" s="713"/>
    </row>
    <row r="30" customFormat="false" ht="12" hidden="false" customHeight="true" outlineLevel="0" collapsed="false">
      <c r="A30" s="791" t="s">
        <v>630</v>
      </c>
      <c r="B30" s="438"/>
      <c r="C30" s="438"/>
      <c r="D30" s="880" t="n">
        <f aca="false">IF(D3&gt;ProjectLife,0,IF(D27&lt;0,-D27,0))</f>
        <v>437.353217767218</v>
      </c>
      <c r="E30" s="880" t="n">
        <f aca="false">IF(E3&gt;ProjectLife,0,IF(E27&lt;0,-E27,0))</f>
        <v>220.198106820715</v>
      </c>
      <c r="F30" s="880" t="n">
        <f aca="false">IF(F3&gt;ProjectLife,0,IF(F27&lt;0,-F27,0))</f>
        <v>126.817485646912</v>
      </c>
      <c r="G30" s="880" t="n">
        <f aca="false">IF(G3&gt;ProjectLife,0,IF(G27&lt;0,-G27,0))</f>
        <v>41.4207544506407</v>
      </c>
      <c r="H30" s="880" t="n">
        <f aca="false">IF(H3&gt;ProjectLife,0,IF(H27&lt;0,-H27,0))</f>
        <v>0</v>
      </c>
      <c r="I30" s="880" t="n">
        <f aca="false">IF(I3&gt;ProjectLife,0,IF(I27&lt;0,-I27,0))</f>
        <v>0</v>
      </c>
      <c r="J30" s="880" t="n">
        <f aca="false">IF(J3&gt;ProjectLife,0,IF(J27&lt;0,-J27,0))</f>
        <v>0</v>
      </c>
      <c r="K30" s="880" t="n">
        <f aca="false">IF(K3&gt;ProjectLife,0,IF(K27&lt;0,-K27,0))</f>
        <v>0</v>
      </c>
      <c r="L30" s="880" t="n">
        <f aca="false">IF(L3&gt;ProjectLife,0,IF(L27&lt;0,-L27,0))</f>
        <v>0</v>
      </c>
      <c r="M30" s="880" t="n">
        <f aca="false">IF(M3&gt;ProjectLife,0,IF(M27&lt;0,-M27,0))</f>
        <v>0</v>
      </c>
      <c r="N30" s="880" t="n">
        <f aca="false">IF(N3&gt;ProjectLife,0,IF(N27&lt;0,-N27,0))</f>
        <v>0</v>
      </c>
      <c r="O30" s="880" t="n">
        <f aca="false">IF(O3&gt;ProjectLife,0,IF(O27&lt;0,-O27,0))</f>
        <v>0</v>
      </c>
      <c r="P30" s="880" t="n">
        <f aca="false">IF(P3&gt;ProjectLife,0,IF(P27&lt;0,-P27,0))</f>
        <v>0</v>
      </c>
      <c r="Q30" s="880" t="n">
        <f aca="false">IF(Q3&gt;ProjectLife,0,IF(Q27&lt;0,-Q27,0))</f>
        <v>0</v>
      </c>
      <c r="R30" s="880" t="n">
        <f aca="false">IF(R3&gt;ProjectLife,0,IF(R27&lt;0,-R27,0))</f>
        <v>0</v>
      </c>
      <c r="S30" s="880" t="n">
        <f aca="false">IF(S3&gt;ProjectLife,0,IF(S27&lt;0,-S27,0))</f>
        <v>0</v>
      </c>
      <c r="T30" s="880" t="n">
        <f aca="false">IF(T3&gt;ProjectLife,0,IF(T27&lt;0,-T27,0))</f>
        <v>0</v>
      </c>
      <c r="U30" s="880" t="n">
        <f aca="false">IF(U3&gt;ProjectLife,0,IF(U27&lt;0,-U27,0))</f>
        <v>0</v>
      </c>
      <c r="V30" s="880" t="n">
        <f aca="false">IF(V3&gt;ProjectLife,0,IF(V27&lt;0,-V27,0))</f>
        <v>0</v>
      </c>
      <c r="W30" s="880" t="n">
        <f aca="false">IF(W3&gt;ProjectLife,0,IF(W27&lt;0,-W27,0))</f>
        <v>0</v>
      </c>
      <c r="X30" s="880" t="n">
        <f aca="false">IF(X3&gt;ProjectLife,0,IF(X27&lt;0,-X27,0))</f>
        <v>0</v>
      </c>
      <c r="Y30" s="880" t="n">
        <f aca="false">IF(Y3&gt;ProjectLife,0,IF(Y27&lt;0,-Y27,0))</f>
        <v>0</v>
      </c>
      <c r="Z30" s="880" t="n">
        <f aca="false">IF(Z3&gt;ProjectLife,0,IF(Z27&lt;0,-Z27,0))</f>
        <v>0</v>
      </c>
      <c r="AA30" s="880" t="n">
        <f aca="false">IF(AA3&gt;ProjectLife,0,IF(AA27&lt;0,-AA27,0))</f>
        <v>0</v>
      </c>
      <c r="AB30" s="881" t="n">
        <f aca="false">IF(AB3&gt;ProjectLife,0,IF(AB27&lt;0,-AB27,0))</f>
        <v>0</v>
      </c>
      <c r="AC30" s="438"/>
      <c r="AD30" s="438"/>
      <c r="AE30" s="713"/>
      <c r="AF30" s="713"/>
      <c r="AG30" s="713"/>
      <c r="AH30" s="713"/>
      <c r="AI30" s="713"/>
      <c r="AJ30" s="713"/>
      <c r="AK30" s="713"/>
      <c r="AL30" s="713"/>
      <c r="AM30" s="713"/>
      <c r="AN30" s="713"/>
      <c r="AO30" s="713"/>
      <c r="AP30" s="713"/>
      <c r="AQ30" s="713"/>
      <c r="AR30" s="713"/>
      <c r="AS30" s="713"/>
      <c r="AT30" s="713"/>
      <c r="AU30" s="713"/>
      <c r="AV30" s="713"/>
      <c r="AW30" s="713"/>
      <c r="AX30" s="713"/>
      <c r="AY30" s="713"/>
      <c r="AZ30" s="713"/>
      <c r="BA30" s="713"/>
      <c r="BB30" s="713"/>
      <c r="BC30" s="713"/>
      <c r="BD30" s="713"/>
      <c r="BE30" s="713"/>
      <c r="BF30" s="713"/>
      <c r="BG30" s="713"/>
      <c r="BH30" s="713"/>
      <c r="BI30" s="713"/>
      <c r="BJ30" s="713"/>
      <c r="BK30" s="713"/>
      <c r="BL30" s="713"/>
      <c r="BM30" s="713"/>
      <c r="BN30" s="713"/>
      <c r="BO30" s="713"/>
      <c r="BP30" s="713"/>
      <c r="BQ30" s="713"/>
      <c r="BR30" s="713"/>
      <c r="BS30" s="713"/>
      <c r="BT30" s="713"/>
      <c r="BU30" s="713"/>
      <c r="BV30" s="713"/>
      <c r="BW30" s="713"/>
      <c r="BX30" s="713"/>
      <c r="BY30" s="713"/>
      <c r="BZ30" s="713"/>
      <c r="CA30" s="713"/>
      <c r="CB30" s="713"/>
      <c r="CC30" s="713"/>
      <c r="CD30" s="713"/>
      <c r="CE30" s="713"/>
      <c r="CF30" s="713"/>
      <c r="CG30" s="713"/>
      <c r="CH30" s="713"/>
      <c r="CI30" s="713"/>
      <c r="CJ30" s="713"/>
      <c r="CK30" s="713"/>
      <c r="CL30" s="713"/>
      <c r="CM30" s="713"/>
      <c r="CN30" s="713"/>
      <c r="CO30" s="713"/>
      <c r="CP30" s="713"/>
      <c r="CQ30" s="713"/>
      <c r="CR30" s="713"/>
      <c r="CS30" s="713"/>
      <c r="CT30" s="713"/>
      <c r="CU30" s="713"/>
      <c r="CV30" s="713"/>
      <c r="CW30" s="713"/>
      <c r="CX30" s="713"/>
      <c r="CY30" s="713"/>
      <c r="CZ30" s="713"/>
      <c r="DA30" s="713"/>
      <c r="DB30" s="713"/>
      <c r="DC30" s="713"/>
      <c r="DD30" s="713"/>
      <c r="DE30" s="713"/>
      <c r="DF30" s="713"/>
      <c r="DG30" s="713"/>
      <c r="DH30" s="713"/>
      <c r="DI30" s="713"/>
      <c r="DJ30" s="713"/>
      <c r="DK30" s="713"/>
      <c r="DL30" s="713"/>
      <c r="DM30" s="713"/>
      <c r="DN30" s="713"/>
      <c r="DO30" s="713"/>
      <c r="DP30" s="713"/>
      <c r="DQ30" s="713"/>
      <c r="DR30" s="713"/>
      <c r="DS30" s="713"/>
      <c r="DT30" s="713"/>
      <c r="DU30" s="713"/>
      <c r="DV30" s="713"/>
      <c r="DW30" s="713"/>
      <c r="DX30" s="713"/>
      <c r="DY30" s="713"/>
      <c r="DZ30" s="713"/>
      <c r="EA30" s="713"/>
      <c r="EB30" s="713"/>
      <c r="EC30" s="713"/>
      <c r="ED30" s="713"/>
      <c r="EE30" s="713"/>
      <c r="EF30" s="713"/>
      <c r="EG30" s="713"/>
      <c r="EH30" s="713"/>
      <c r="EI30" s="713"/>
      <c r="EJ30" s="713"/>
      <c r="EK30" s="713"/>
      <c r="EL30" s="713"/>
      <c r="EM30" s="713"/>
      <c r="EN30" s="713"/>
      <c r="EO30" s="713"/>
      <c r="EP30" s="713"/>
      <c r="EQ30" s="713"/>
      <c r="ER30" s="713"/>
      <c r="ES30" s="713"/>
      <c r="ET30" s="713"/>
      <c r="EU30" s="713"/>
      <c r="EV30" s="713"/>
      <c r="EW30" s="713"/>
      <c r="EX30" s="713"/>
      <c r="EY30" s="713"/>
      <c r="EZ30" s="713"/>
      <c r="FA30" s="713"/>
      <c r="FB30" s="713"/>
      <c r="FC30" s="713"/>
      <c r="FD30" s="713"/>
      <c r="FE30" s="713"/>
      <c r="FF30" s="713"/>
      <c r="FG30" s="713"/>
      <c r="FH30" s="713"/>
      <c r="FI30" s="713"/>
      <c r="FJ30" s="713"/>
      <c r="FK30" s="713"/>
      <c r="FL30" s="713"/>
      <c r="FM30" s="713"/>
      <c r="FN30" s="713"/>
      <c r="FO30" s="713"/>
      <c r="FP30" s="713"/>
      <c r="FQ30" s="713"/>
      <c r="FR30" s="713"/>
      <c r="FS30" s="713"/>
      <c r="FT30" s="713"/>
      <c r="FU30" s="713"/>
      <c r="FV30" s="713"/>
      <c r="FW30" s="713"/>
      <c r="FX30" s="713"/>
      <c r="FY30" s="713"/>
      <c r="FZ30" s="713"/>
      <c r="GA30" s="713"/>
      <c r="GB30" s="713"/>
      <c r="GC30" s="713"/>
      <c r="GD30" s="713"/>
      <c r="GE30" s="713"/>
      <c r="GF30" s="713"/>
      <c r="GG30" s="713"/>
      <c r="GH30" s="713"/>
      <c r="GI30" s="713"/>
      <c r="GJ30" s="713"/>
      <c r="GK30" s="713"/>
      <c r="GL30" s="713"/>
      <c r="GM30" s="713"/>
      <c r="GN30" s="713"/>
      <c r="GO30" s="713"/>
      <c r="GP30" s="713"/>
      <c r="GQ30" s="713"/>
      <c r="GR30" s="713"/>
      <c r="GS30" s="713"/>
      <c r="GT30" s="713"/>
      <c r="GU30" s="713"/>
      <c r="GV30" s="713"/>
      <c r="GW30" s="713"/>
      <c r="GX30" s="713"/>
      <c r="GY30" s="713"/>
      <c r="GZ30" s="713"/>
      <c r="HA30" s="713"/>
      <c r="HB30" s="713"/>
      <c r="HC30" s="713"/>
      <c r="HD30" s="713"/>
      <c r="HE30" s="713"/>
      <c r="HF30" s="713"/>
      <c r="HG30" s="713"/>
      <c r="HH30" s="713"/>
      <c r="HI30" s="713"/>
      <c r="HJ30" s="713"/>
      <c r="HK30" s="713"/>
      <c r="HL30" s="713"/>
      <c r="HM30" s="713"/>
      <c r="HN30" s="713"/>
      <c r="HO30" s="713"/>
      <c r="HP30" s="713"/>
      <c r="HQ30" s="713"/>
      <c r="HR30" s="713"/>
      <c r="HS30" s="713"/>
      <c r="HT30" s="713"/>
      <c r="HU30" s="713"/>
      <c r="HV30" s="713"/>
      <c r="HW30" s="713"/>
      <c r="HX30" s="713"/>
      <c r="HY30" s="713"/>
      <c r="HZ30" s="713"/>
      <c r="IA30" s="713"/>
      <c r="IB30" s="713"/>
      <c r="IC30" s="713"/>
      <c r="ID30" s="713"/>
      <c r="IE30" s="713"/>
      <c r="IF30" s="713"/>
      <c r="IG30" s="713"/>
      <c r="IH30" s="713"/>
      <c r="II30" s="713"/>
      <c r="IJ30" s="713"/>
      <c r="IK30" s="713"/>
      <c r="IL30" s="713"/>
      <c r="IM30" s="713"/>
      <c r="IN30" s="713"/>
      <c r="IO30" s="713"/>
      <c r="IP30" s="713"/>
      <c r="IQ30" s="713"/>
      <c r="IR30" s="713"/>
      <c r="IS30" s="713"/>
      <c r="IT30" s="713"/>
      <c r="IU30" s="713"/>
      <c r="IV30" s="713"/>
      <c r="IW30" s="713"/>
    </row>
    <row r="31" customFormat="false" ht="12" hidden="false" customHeight="true" outlineLevel="0" collapsed="false">
      <c r="A31" s="412" t="s">
        <v>631</v>
      </c>
      <c r="B31" s="566"/>
      <c r="C31" s="882" t="n">
        <v>5</v>
      </c>
      <c r="D31" s="883" t="n">
        <v>0</v>
      </c>
      <c r="E31" s="884" t="n">
        <v>0</v>
      </c>
      <c r="F31" s="884" t="n">
        <v>0</v>
      </c>
      <c r="G31" s="884" t="n">
        <v>0</v>
      </c>
      <c r="H31" s="884" t="n">
        <v>0</v>
      </c>
      <c r="I31" s="885" t="n">
        <v>0</v>
      </c>
      <c r="J31" s="557" t="n">
        <f aca="false">IF(D30&gt;(SUM(E32:I32)+SUM(D31:I31))*-1,D30-(SUM(D32:I32)+SUM(D31:I31))*-1,0)</f>
        <v>0</v>
      </c>
      <c r="K31" s="557" t="n">
        <f aca="false">IF(E30&gt;(SUM(F32:J32)+SUM(E31:J31))*-1,E30-(SUM(E32:J32)+SUM(E31:J31))*-1,0)</f>
        <v>0</v>
      </c>
      <c r="L31" s="557" t="n">
        <f aca="false">IF(F30&gt;(SUM(G32:K32)+SUM(F31:K31))*-1,F30-(SUM(F32:K32)+SUM(F31:K31))*-1,0)</f>
        <v>0</v>
      </c>
      <c r="M31" s="557" t="n">
        <f aca="false">IF(G30&gt;(SUM(H32:L32)+SUM(G31:L31))*-1,G30-(SUM(G32:L32)+SUM(G31:L31))*-1,0)</f>
        <v>0</v>
      </c>
      <c r="N31" s="557" t="n">
        <f aca="false">IF(H30&gt;(SUM(I32:M32)+SUM(H31:M31))*-1,H30-(SUM(H32:M32)+SUM(H31:M31))*-1,0)</f>
        <v>0</v>
      </c>
      <c r="O31" s="557" t="n">
        <f aca="false">IF(I30&gt;(SUM(J32:N32)+SUM(I31:N31))*-1,I30-(SUM(I32:N32)+SUM(I31:N31))*-1,0)</f>
        <v>0</v>
      </c>
      <c r="P31" s="557" t="n">
        <f aca="false">IF(J30&gt;(SUM(K32:O32)+SUM(J31:O31))*-1,J30-(SUM(J32:O32)+SUM(J31:O31))*-1,0)</f>
        <v>0</v>
      </c>
      <c r="Q31" s="557" t="n">
        <f aca="false">IF(K30&gt;(SUM(L32:P32)+SUM(K31:P31))*-1,K30-(SUM(K32:P32)+SUM(K31:P31))*-1,0)</f>
        <v>0</v>
      </c>
      <c r="R31" s="557" t="n">
        <f aca="false">IF(L30&gt;(SUM(M32:Q32)+SUM(L31:Q31))*-1,L30-(SUM(L32:Q32)+SUM(L31:Q31))*-1,0)</f>
        <v>0</v>
      </c>
      <c r="S31" s="557" t="n">
        <f aca="false">IF(M30&gt;(SUM(N32:R32)+SUM(M31:R31))*-1,M30-(SUM(M32:R32)+SUM(M31:R31))*-1,0)</f>
        <v>0</v>
      </c>
      <c r="T31" s="557" t="n">
        <f aca="false">IF(N30&gt;(SUM(O32:S32)+SUM(N31:S31))*-1,N30-(SUM(N32:S32)+SUM(N31:S31))*-1,0)</f>
        <v>0</v>
      </c>
      <c r="U31" s="557" t="n">
        <f aca="false">IF(O30&gt;(SUM(P32:T32)+SUM(O31:T31))*-1,O30-(SUM(O32:T32)+SUM(O31:T31))*-1,0)</f>
        <v>0</v>
      </c>
      <c r="V31" s="557" t="n">
        <f aca="false">IF(P30&gt;(SUM(Q32:U32)+SUM(P31:U31))*-1,P30-(SUM(P32:U32)+SUM(P31:U31))*-1,0)</f>
        <v>0</v>
      </c>
      <c r="W31" s="557" t="n">
        <f aca="false">IF(Q30&gt;(SUM(R32:V32)+SUM(Q31:V31))*-1,Q30-(SUM(Q32:V32)+SUM(Q31:V31))*-1,0)</f>
        <v>0</v>
      </c>
      <c r="X31" s="557" t="n">
        <f aca="false">IF(R30&gt;(SUM(S32:W32)+SUM(R31:W31))*-1,R30-(SUM(R32:W32)+SUM(R31:W31))*-1,0)</f>
        <v>0</v>
      </c>
      <c r="Y31" s="557" t="n">
        <f aca="false">IF(S30&gt;(SUM(T32:X32)+SUM(S31:X31))*-1,S30-(SUM(S32:X32)+SUM(S31:X31))*-1,0)</f>
        <v>0</v>
      </c>
      <c r="Z31" s="557" t="n">
        <f aca="false">IF(T30&gt;(SUM(U32:Y32)+SUM(T31:Y31))*-1,T30-(SUM(T32:Y32)+SUM(T31:Y31))*-1,0)</f>
        <v>0</v>
      </c>
      <c r="AA31" s="557" t="n">
        <f aca="false">IF(U30&gt;(SUM(V32:Z32)+SUM(U31:Z31))*-1,U30-(SUM(U32:Z32)+SUM(U31:Z31))*-1,0)</f>
        <v>0</v>
      </c>
      <c r="AB31" s="795" t="n">
        <f aca="false">IF(V30&gt;(SUM(W32:AA32)+SUM(V31:AA31))*-1,V30-(SUM(V32:AA32)+SUM(V31:AA31))*-1,0)</f>
        <v>0</v>
      </c>
      <c r="AC31" s="438"/>
      <c r="AD31" s="438"/>
      <c r="AE31" s="713"/>
      <c r="AF31" s="713"/>
      <c r="AG31" s="713"/>
      <c r="AH31" s="713"/>
      <c r="AI31" s="713"/>
      <c r="AJ31" s="713"/>
      <c r="AK31" s="713"/>
      <c r="AL31" s="713"/>
      <c r="AM31" s="713"/>
      <c r="AN31" s="713"/>
      <c r="AO31" s="713"/>
      <c r="AP31" s="713"/>
      <c r="AQ31" s="713"/>
      <c r="AR31" s="713"/>
      <c r="AS31" s="713"/>
      <c r="AT31" s="713"/>
      <c r="AU31" s="713"/>
      <c r="AV31" s="713"/>
      <c r="AW31" s="713"/>
      <c r="AX31" s="713"/>
      <c r="AY31" s="713"/>
      <c r="AZ31" s="713"/>
      <c r="BA31" s="713"/>
      <c r="BB31" s="713"/>
      <c r="BC31" s="713"/>
      <c r="BD31" s="713"/>
      <c r="BE31" s="713"/>
      <c r="BF31" s="713"/>
      <c r="BG31" s="713"/>
      <c r="BH31" s="713"/>
      <c r="BI31" s="713"/>
      <c r="BJ31" s="713"/>
      <c r="BK31" s="713"/>
      <c r="BL31" s="713"/>
      <c r="BM31" s="713"/>
      <c r="BN31" s="713"/>
      <c r="BO31" s="713"/>
      <c r="BP31" s="713"/>
      <c r="BQ31" s="713"/>
      <c r="BR31" s="713"/>
      <c r="BS31" s="713"/>
      <c r="BT31" s="713"/>
      <c r="BU31" s="713"/>
      <c r="BV31" s="713"/>
      <c r="BW31" s="713"/>
      <c r="BX31" s="713"/>
      <c r="BY31" s="713"/>
      <c r="BZ31" s="713"/>
      <c r="CA31" s="713"/>
      <c r="CB31" s="713"/>
      <c r="CC31" s="713"/>
      <c r="CD31" s="713"/>
      <c r="CE31" s="713"/>
      <c r="CF31" s="713"/>
      <c r="CG31" s="713"/>
      <c r="CH31" s="713"/>
      <c r="CI31" s="713"/>
      <c r="CJ31" s="713"/>
      <c r="CK31" s="713"/>
      <c r="CL31" s="713"/>
      <c r="CM31" s="713"/>
      <c r="CN31" s="713"/>
      <c r="CO31" s="713"/>
      <c r="CP31" s="713"/>
      <c r="CQ31" s="713"/>
      <c r="CR31" s="713"/>
      <c r="CS31" s="713"/>
      <c r="CT31" s="713"/>
      <c r="CU31" s="713"/>
      <c r="CV31" s="713"/>
      <c r="CW31" s="713"/>
      <c r="CX31" s="713"/>
      <c r="CY31" s="713"/>
      <c r="CZ31" s="713"/>
      <c r="DA31" s="713"/>
      <c r="DB31" s="713"/>
      <c r="DC31" s="713"/>
      <c r="DD31" s="713"/>
      <c r="DE31" s="713"/>
      <c r="DF31" s="713"/>
      <c r="DG31" s="713"/>
      <c r="DH31" s="713"/>
      <c r="DI31" s="713"/>
      <c r="DJ31" s="713"/>
      <c r="DK31" s="713"/>
      <c r="DL31" s="713"/>
      <c r="DM31" s="713"/>
      <c r="DN31" s="713"/>
      <c r="DO31" s="713"/>
      <c r="DP31" s="713"/>
      <c r="DQ31" s="713"/>
      <c r="DR31" s="713"/>
      <c r="DS31" s="713"/>
      <c r="DT31" s="713"/>
      <c r="DU31" s="713"/>
      <c r="DV31" s="713"/>
      <c r="DW31" s="713"/>
      <c r="DX31" s="713"/>
      <c r="DY31" s="713"/>
      <c r="DZ31" s="713"/>
      <c r="EA31" s="713"/>
      <c r="EB31" s="713"/>
      <c r="EC31" s="713"/>
      <c r="ED31" s="713"/>
      <c r="EE31" s="713"/>
      <c r="EF31" s="713"/>
      <c r="EG31" s="713"/>
      <c r="EH31" s="713"/>
      <c r="EI31" s="713"/>
      <c r="EJ31" s="713"/>
      <c r="EK31" s="713"/>
      <c r="EL31" s="713"/>
      <c r="EM31" s="713"/>
      <c r="EN31" s="713"/>
      <c r="EO31" s="713"/>
      <c r="EP31" s="713"/>
      <c r="EQ31" s="713"/>
      <c r="ER31" s="713"/>
      <c r="ES31" s="713"/>
      <c r="ET31" s="713"/>
      <c r="EU31" s="713"/>
      <c r="EV31" s="713"/>
      <c r="EW31" s="713"/>
      <c r="EX31" s="713"/>
      <c r="EY31" s="713"/>
      <c r="EZ31" s="713"/>
      <c r="FA31" s="713"/>
      <c r="FB31" s="713"/>
      <c r="FC31" s="713"/>
      <c r="FD31" s="713"/>
      <c r="FE31" s="713"/>
      <c r="FF31" s="713"/>
      <c r="FG31" s="713"/>
      <c r="FH31" s="713"/>
      <c r="FI31" s="713"/>
      <c r="FJ31" s="713"/>
      <c r="FK31" s="713"/>
      <c r="FL31" s="713"/>
      <c r="FM31" s="713"/>
      <c r="FN31" s="713"/>
      <c r="FO31" s="713"/>
      <c r="FP31" s="713"/>
      <c r="FQ31" s="713"/>
      <c r="FR31" s="713"/>
      <c r="FS31" s="713"/>
      <c r="FT31" s="713"/>
      <c r="FU31" s="713"/>
      <c r="FV31" s="713"/>
      <c r="FW31" s="713"/>
      <c r="FX31" s="713"/>
      <c r="FY31" s="713"/>
      <c r="FZ31" s="713"/>
      <c r="GA31" s="713"/>
      <c r="GB31" s="713"/>
      <c r="GC31" s="713"/>
      <c r="GD31" s="713"/>
      <c r="GE31" s="713"/>
      <c r="GF31" s="713"/>
      <c r="GG31" s="713"/>
      <c r="GH31" s="713"/>
      <c r="GI31" s="713"/>
      <c r="GJ31" s="713"/>
      <c r="GK31" s="713"/>
      <c r="GL31" s="713"/>
      <c r="GM31" s="713"/>
      <c r="GN31" s="713"/>
      <c r="GO31" s="713"/>
      <c r="GP31" s="713"/>
      <c r="GQ31" s="713"/>
      <c r="GR31" s="713"/>
      <c r="GS31" s="713"/>
      <c r="GT31" s="713"/>
      <c r="GU31" s="713"/>
      <c r="GV31" s="713"/>
      <c r="GW31" s="713"/>
      <c r="GX31" s="713"/>
      <c r="GY31" s="713"/>
      <c r="GZ31" s="713"/>
      <c r="HA31" s="713"/>
      <c r="HB31" s="713"/>
      <c r="HC31" s="713"/>
      <c r="HD31" s="713"/>
      <c r="HE31" s="713"/>
      <c r="HF31" s="713"/>
      <c r="HG31" s="713"/>
      <c r="HH31" s="713"/>
      <c r="HI31" s="713"/>
      <c r="HJ31" s="713"/>
      <c r="HK31" s="713"/>
      <c r="HL31" s="713"/>
      <c r="HM31" s="713"/>
      <c r="HN31" s="713"/>
      <c r="HO31" s="713"/>
      <c r="HP31" s="713"/>
      <c r="HQ31" s="713"/>
      <c r="HR31" s="713"/>
      <c r="HS31" s="713"/>
      <c r="HT31" s="713"/>
      <c r="HU31" s="713"/>
      <c r="HV31" s="713"/>
      <c r="HW31" s="713"/>
      <c r="HX31" s="713"/>
      <c r="HY31" s="713"/>
      <c r="HZ31" s="713"/>
      <c r="IA31" s="713"/>
      <c r="IB31" s="713"/>
      <c r="IC31" s="713"/>
      <c r="ID31" s="713"/>
      <c r="IE31" s="713"/>
      <c r="IF31" s="713"/>
      <c r="IG31" s="713"/>
      <c r="IH31" s="713"/>
      <c r="II31" s="713"/>
      <c r="IJ31" s="713"/>
      <c r="IK31" s="713"/>
      <c r="IL31" s="713"/>
      <c r="IM31" s="713"/>
      <c r="IN31" s="713"/>
      <c r="IO31" s="713"/>
      <c r="IP31" s="713"/>
      <c r="IQ31" s="713"/>
      <c r="IR31" s="713"/>
      <c r="IS31" s="713"/>
      <c r="IT31" s="713"/>
      <c r="IU31" s="713"/>
      <c r="IV31" s="713"/>
      <c r="IW31" s="713"/>
    </row>
    <row r="32" customFormat="false" ht="12" hidden="false" customHeight="true" outlineLevel="0" collapsed="false">
      <c r="A32" s="412" t="s">
        <v>632</v>
      </c>
      <c r="B32" s="566"/>
      <c r="C32" s="385"/>
      <c r="D32" s="807" t="n">
        <f aca="false">IF('Project Assumptions'!$C$56="No",0,IF(D3&lt;='Project Assumptions'!$C$57,IF(D27&lt;0,0,IF(D29&gt;D27,-D27,-D29)),0))</f>
        <v>0</v>
      </c>
      <c r="E32" s="807" t="n">
        <f aca="false">IF('Project Assumptions'!$C$56="No",0,IF(E3&lt;='Project Assumptions'!$C$57,IF(E27&lt;0,0,IF(E29&gt;E27,-E27,-E29)),0))</f>
        <v>0</v>
      </c>
      <c r="F32" s="807" t="n">
        <f aca="false">IF('Project Assumptions'!$C$56="No",0,IF(F3&lt;='Project Assumptions'!$C$57,IF(F27&lt;0,0,IF(F29&gt;F27,-F27,-F29)),0))</f>
        <v>0</v>
      </c>
      <c r="G32" s="807" t="n">
        <f aca="false">IF('Project Assumptions'!$C$56="No",0,IF(G3&lt;='Project Assumptions'!$C$57,IF(G27&lt;0,0,IF(G29&gt;G27,-G27,-G29)),0))</f>
        <v>0</v>
      </c>
      <c r="H32" s="807" t="n">
        <f aca="false">IF('Project Assumptions'!$C$56="No",0,IF(H3&lt;='Project Assumptions'!$C$57,IF(H27&lt;0,0,IF(H29&gt;H27,-H27,-H29)),0))</f>
        <v>-331.534877019432</v>
      </c>
      <c r="I32" s="807" t="n">
        <f aca="false">IF('Project Assumptions'!$C$56="No",0,IF(I3&lt;='Project Assumptions'!$C$57,IF(I27&lt;0,0,IF(I29&gt;I27,-I27,-I29)),0))</f>
        <v>-494.254687666055</v>
      </c>
      <c r="J32" s="807" t="n">
        <f aca="false">IF('Project Assumptions'!$C$56="No",0,IF(J3&lt;='Project Assumptions'!$C$57,IF(J27&lt;0,0,IF(J29&gt;J27,-J27,-J29)),0))</f>
        <v>-0</v>
      </c>
      <c r="K32" s="807" t="n">
        <f aca="false">IF('Project Assumptions'!$C$56="No",0,IF(K3&lt;='Project Assumptions'!$C$57,IF(K27&lt;0,0,IF(K29&gt;K27,-K27,-K29)),0))</f>
        <v>-0</v>
      </c>
      <c r="L32" s="807" t="n">
        <f aca="false">IF('Project Assumptions'!$C$56="No",0,IF(L3&lt;='Project Assumptions'!$C$57,IF(L27&lt;0,0,IF(L29&gt;L27,-L27,-L29)),0))</f>
        <v>-0</v>
      </c>
      <c r="M32" s="807" t="n">
        <f aca="false">IF('Project Assumptions'!$C$56="No",0,IF(M3&lt;='Project Assumptions'!$C$57,IF(M27&lt;0,0,IF(M29&gt;M27,-M27,-M29)),0))</f>
        <v>-0</v>
      </c>
      <c r="N32" s="807" t="n">
        <f aca="false">IF('Project Assumptions'!$C$56="No",0,IF(N3&lt;='Project Assumptions'!$C$57,IF(N27&lt;0,0,IF(N29&gt;N27,-N27,-N29)),0))</f>
        <v>-0</v>
      </c>
      <c r="O32" s="807" t="n">
        <f aca="false">IF('Project Assumptions'!$C$56="No",0,IF(O3&lt;='Project Assumptions'!$C$57,IF(O27&lt;0,0,IF(O29&gt;O27,-O27,-O29)),0))</f>
        <v>-0</v>
      </c>
      <c r="P32" s="807" t="n">
        <f aca="false">IF('Project Assumptions'!$C$56="No",0,IF(P3&lt;='Project Assumptions'!$C$57,IF(P27&lt;0,0,IF(P29&gt;P27,-P27,-P29)),0))</f>
        <v>-0</v>
      </c>
      <c r="Q32" s="807" t="n">
        <f aca="false">IF('Project Assumptions'!$C$56="No",0,IF(Q3&lt;='Project Assumptions'!$C$57,IF(Q27&lt;0,0,IF(Q29&gt;Q27,-Q27,-Q29)),0))</f>
        <v>-0</v>
      </c>
      <c r="R32" s="807" t="n">
        <f aca="false">IF('Project Assumptions'!$C$56="No",0,IF(R3&lt;='Project Assumptions'!$C$57,IF(R27&lt;0,0,IF(R29&gt;R27,-R27,-R29)),0))</f>
        <v>-0</v>
      </c>
      <c r="S32" s="807" t="n">
        <f aca="false">IF('Project Assumptions'!$C$56="No",0,IF(S3&lt;='Project Assumptions'!$C$57,IF(S27&lt;0,0,IF(S29&gt;S27,-S27,-S29)),0))</f>
        <v>0</v>
      </c>
      <c r="T32" s="807" t="n">
        <f aca="false">IF('Project Assumptions'!$C$56="No",0,IF(T3&lt;='Project Assumptions'!$C$57,IF(T27&lt;0,0,IF(T29&gt;T27,-T27,-T29)),0))</f>
        <v>0</v>
      </c>
      <c r="U32" s="807" t="n">
        <f aca="false">IF('Project Assumptions'!$C$56="No",0,IF(U3&lt;='Project Assumptions'!$C$57,IF(U27&lt;0,0,IF(U29&gt;U27,-U27,-U29)),0))</f>
        <v>0</v>
      </c>
      <c r="V32" s="807" t="n">
        <f aca="false">IF('Project Assumptions'!$C$56="No",0,IF(V3&lt;='Project Assumptions'!$C$57,IF(V27&lt;0,0,IF(V29&gt;V27,-V27,-V29)),0))</f>
        <v>0</v>
      </c>
      <c r="W32" s="807" t="n">
        <f aca="false">IF('Project Assumptions'!$C$56="No",0,IF(W3&lt;='Project Assumptions'!$C$57,IF(W27&lt;0,0,IF(W29&gt;W27,-W27,-W29)),0))</f>
        <v>0</v>
      </c>
      <c r="X32" s="807" t="n">
        <f aca="false">IF('Project Assumptions'!$C$56="No",0,IF(X3&lt;='Project Assumptions'!$C$57,IF(X27&lt;0,0,IF(X29&gt;X27,-X27,-X29)),0))</f>
        <v>0</v>
      </c>
      <c r="Y32" s="807" t="n">
        <f aca="false">IF('Project Assumptions'!$C$56="No",0,IF(Y3&lt;='Project Assumptions'!$C$57,IF(Y27&lt;0,0,IF(Y29&gt;Y27,-Y27,-Y29)),0))</f>
        <v>0</v>
      </c>
      <c r="Z32" s="807" t="n">
        <f aca="false">IF('Project Assumptions'!$C$56="No",0,IF(Z3&lt;='Project Assumptions'!$C$57,IF(Z27&lt;0,0,IF(Z29&gt;Z27,-Z27,-Z29)),0))</f>
        <v>0</v>
      </c>
      <c r="AA32" s="807" t="n">
        <f aca="false">IF('Project Assumptions'!$C$56="No",0,IF(AA3&lt;='Project Assumptions'!$C$57,IF(AA27&lt;0,0,IF(AA29&gt;AA27,-AA27,-AA29)),0))</f>
        <v>0</v>
      </c>
      <c r="AB32" s="808" t="n">
        <f aca="false">IF('Project Assumptions'!$C$56="No",0,IF(AB3&lt;='Project Assumptions'!$C$57,IF(AB27&lt;0,0,IF(AB29&gt;AB27,-AB27,-AB29)),0))</f>
        <v>0</v>
      </c>
      <c r="AC32" s="438"/>
      <c r="AD32" s="438"/>
      <c r="AE32" s="713"/>
      <c r="AF32" s="713"/>
      <c r="AG32" s="713"/>
      <c r="AH32" s="713"/>
      <c r="AI32" s="713"/>
      <c r="AJ32" s="713"/>
      <c r="AK32" s="713"/>
      <c r="AL32" s="713"/>
      <c r="AM32" s="713"/>
      <c r="AN32" s="713"/>
      <c r="AO32" s="713"/>
      <c r="AP32" s="713"/>
      <c r="AQ32" s="713"/>
      <c r="AR32" s="713"/>
      <c r="AS32" s="713"/>
      <c r="AT32" s="713"/>
      <c r="AU32" s="713"/>
      <c r="AV32" s="713"/>
      <c r="AW32" s="713"/>
      <c r="AX32" s="713"/>
      <c r="AY32" s="713"/>
      <c r="AZ32" s="713"/>
      <c r="BA32" s="713"/>
      <c r="BB32" s="713"/>
      <c r="BC32" s="713"/>
      <c r="BD32" s="713"/>
      <c r="BE32" s="713"/>
      <c r="BF32" s="713"/>
      <c r="BG32" s="713"/>
      <c r="BH32" s="713"/>
      <c r="BI32" s="713"/>
      <c r="BJ32" s="713"/>
      <c r="BK32" s="713"/>
      <c r="BL32" s="713"/>
      <c r="BM32" s="713"/>
      <c r="BN32" s="713"/>
      <c r="BO32" s="713"/>
      <c r="BP32" s="713"/>
      <c r="BQ32" s="713"/>
      <c r="BR32" s="713"/>
      <c r="BS32" s="713"/>
      <c r="BT32" s="713"/>
      <c r="BU32" s="713"/>
      <c r="BV32" s="713"/>
      <c r="BW32" s="713"/>
      <c r="BX32" s="713"/>
      <c r="BY32" s="713"/>
      <c r="BZ32" s="713"/>
      <c r="CA32" s="713"/>
      <c r="CB32" s="713"/>
      <c r="CC32" s="713"/>
      <c r="CD32" s="713"/>
      <c r="CE32" s="713"/>
      <c r="CF32" s="713"/>
      <c r="CG32" s="713"/>
      <c r="CH32" s="713"/>
      <c r="CI32" s="713"/>
      <c r="CJ32" s="713"/>
      <c r="CK32" s="713"/>
      <c r="CL32" s="713"/>
      <c r="CM32" s="713"/>
      <c r="CN32" s="713"/>
      <c r="CO32" s="713"/>
      <c r="CP32" s="713"/>
      <c r="CQ32" s="713"/>
      <c r="CR32" s="713"/>
      <c r="CS32" s="713"/>
      <c r="CT32" s="713"/>
      <c r="CU32" s="713"/>
      <c r="CV32" s="713"/>
      <c r="CW32" s="713"/>
      <c r="CX32" s="713"/>
      <c r="CY32" s="713"/>
      <c r="CZ32" s="713"/>
      <c r="DA32" s="713"/>
      <c r="DB32" s="713"/>
      <c r="DC32" s="713"/>
      <c r="DD32" s="713"/>
      <c r="DE32" s="713"/>
      <c r="DF32" s="713"/>
      <c r="DG32" s="713"/>
      <c r="DH32" s="713"/>
      <c r="DI32" s="713"/>
      <c r="DJ32" s="713"/>
      <c r="DK32" s="713"/>
      <c r="DL32" s="713"/>
      <c r="DM32" s="713"/>
      <c r="DN32" s="713"/>
      <c r="DO32" s="713"/>
      <c r="DP32" s="713"/>
      <c r="DQ32" s="713"/>
      <c r="DR32" s="713"/>
      <c r="DS32" s="713"/>
      <c r="DT32" s="713"/>
      <c r="DU32" s="713"/>
      <c r="DV32" s="713"/>
      <c r="DW32" s="713"/>
      <c r="DX32" s="713"/>
      <c r="DY32" s="713"/>
      <c r="DZ32" s="713"/>
      <c r="EA32" s="713"/>
      <c r="EB32" s="713"/>
      <c r="EC32" s="713"/>
      <c r="ED32" s="713"/>
      <c r="EE32" s="713"/>
      <c r="EF32" s="713"/>
      <c r="EG32" s="713"/>
      <c r="EH32" s="713"/>
      <c r="EI32" s="713"/>
      <c r="EJ32" s="713"/>
      <c r="EK32" s="713"/>
      <c r="EL32" s="713"/>
      <c r="EM32" s="713"/>
      <c r="EN32" s="713"/>
      <c r="EO32" s="713"/>
      <c r="EP32" s="713"/>
      <c r="EQ32" s="713"/>
      <c r="ER32" s="713"/>
      <c r="ES32" s="713"/>
      <c r="ET32" s="713"/>
      <c r="EU32" s="713"/>
      <c r="EV32" s="713"/>
      <c r="EW32" s="713"/>
      <c r="EX32" s="713"/>
      <c r="EY32" s="713"/>
      <c r="EZ32" s="713"/>
      <c r="FA32" s="713"/>
      <c r="FB32" s="713"/>
      <c r="FC32" s="713"/>
      <c r="FD32" s="713"/>
      <c r="FE32" s="713"/>
      <c r="FF32" s="713"/>
      <c r="FG32" s="713"/>
      <c r="FH32" s="713"/>
      <c r="FI32" s="713"/>
      <c r="FJ32" s="713"/>
      <c r="FK32" s="713"/>
      <c r="FL32" s="713"/>
      <c r="FM32" s="713"/>
      <c r="FN32" s="713"/>
      <c r="FO32" s="713"/>
      <c r="FP32" s="713"/>
      <c r="FQ32" s="713"/>
      <c r="FR32" s="713"/>
      <c r="FS32" s="713"/>
      <c r="FT32" s="713"/>
      <c r="FU32" s="713"/>
      <c r="FV32" s="713"/>
      <c r="FW32" s="713"/>
      <c r="FX32" s="713"/>
      <c r="FY32" s="713"/>
      <c r="FZ32" s="713"/>
      <c r="GA32" s="713"/>
      <c r="GB32" s="713"/>
      <c r="GC32" s="713"/>
      <c r="GD32" s="713"/>
      <c r="GE32" s="713"/>
      <c r="GF32" s="713"/>
      <c r="GG32" s="713"/>
      <c r="GH32" s="713"/>
      <c r="GI32" s="713"/>
      <c r="GJ32" s="713"/>
      <c r="GK32" s="713"/>
      <c r="GL32" s="713"/>
      <c r="GM32" s="713"/>
      <c r="GN32" s="713"/>
      <c r="GO32" s="713"/>
      <c r="GP32" s="713"/>
      <c r="GQ32" s="713"/>
      <c r="GR32" s="713"/>
      <c r="GS32" s="713"/>
      <c r="GT32" s="713"/>
      <c r="GU32" s="713"/>
      <c r="GV32" s="713"/>
      <c r="GW32" s="713"/>
      <c r="GX32" s="713"/>
      <c r="GY32" s="713"/>
      <c r="GZ32" s="713"/>
      <c r="HA32" s="713"/>
      <c r="HB32" s="713"/>
      <c r="HC32" s="713"/>
      <c r="HD32" s="713"/>
      <c r="HE32" s="713"/>
      <c r="HF32" s="713"/>
      <c r="HG32" s="713"/>
      <c r="HH32" s="713"/>
      <c r="HI32" s="713"/>
      <c r="HJ32" s="713"/>
      <c r="HK32" s="713"/>
      <c r="HL32" s="713"/>
      <c r="HM32" s="713"/>
      <c r="HN32" s="713"/>
      <c r="HO32" s="713"/>
      <c r="HP32" s="713"/>
      <c r="HQ32" s="713"/>
      <c r="HR32" s="713"/>
      <c r="HS32" s="713"/>
      <c r="HT32" s="713"/>
      <c r="HU32" s="713"/>
      <c r="HV32" s="713"/>
      <c r="HW32" s="713"/>
      <c r="HX32" s="713"/>
      <c r="HY32" s="713"/>
      <c r="HZ32" s="713"/>
      <c r="IA32" s="713"/>
      <c r="IB32" s="713"/>
      <c r="IC32" s="713"/>
      <c r="ID32" s="713"/>
      <c r="IE32" s="713"/>
      <c r="IF32" s="713"/>
      <c r="IG32" s="713"/>
      <c r="IH32" s="713"/>
      <c r="II32" s="713"/>
      <c r="IJ32" s="713"/>
      <c r="IK32" s="713"/>
      <c r="IL32" s="713"/>
      <c r="IM32" s="713"/>
      <c r="IN32" s="713"/>
      <c r="IO32" s="713"/>
      <c r="IP32" s="713"/>
      <c r="IQ32" s="713"/>
      <c r="IR32" s="713"/>
      <c r="IS32" s="713"/>
      <c r="IT32" s="713"/>
      <c r="IU32" s="713"/>
      <c r="IV32" s="713"/>
      <c r="IW32" s="713"/>
    </row>
    <row r="33" customFormat="false" ht="12" hidden="false" customHeight="true" outlineLevel="0" collapsed="false">
      <c r="A33" s="412" t="s">
        <v>633</v>
      </c>
      <c r="B33" s="566"/>
      <c r="C33" s="385"/>
      <c r="D33" s="807" t="n">
        <f aca="false">SUM(D29:D32)</f>
        <v>437.353217767218</v>
      </c>
      <c r="E33" s="807" t="n">
        <f aca="false">SUM(E29:E32)</f>
        <v>657.551324587933</v>
      </c>
      <c r="F33" s="807" t="n">
        <f aca="false">SUM(F29:F32)</f>
        <v>784.368810234846</v>
      </c>
      <c r="G33" s="807" t="n">
        <f aca="false">SUM(G29:G32)</f>
        <v>825.789564685486</v>
      </c>
      <c r="H33" s="807" t="n">
        <f aca="false">SUM(H29:H32)</f>
        <v>494.254687666055</v>
      </c>
      <c r="I33" s="807" t="n">
        <f aca="false">SUM(I29:I32)</f>
        <v>0</v>
      </c>
      <c r="J33" s="807" t="n">
        <f aca="false">SUM(J29:J32)</f>
        <v>0</v>
      </c>
      <c r="K33" s="807" t="n">
        <f aca="false">SUM(K29:K32)</f>
        <v>0</v>
      </c>
      <c r="L33" s="807" t="n">
        <f aca="false">SUM(L29:L32)</f>
        <v>0</v>
      </c>
      <c r="M33" s="807" t="n">
        <f aca="false">SUM(M29:M32)</f>
        <v>0</v>
      </c>
      <c r="N33" s="807" t="n">
        <f aca="false">SUM(N29:N32)</f>
        <v>0</v>
      </c>
      <c r="O33" s="807" t="n">
        <f aca="false">SUM(O29:O32)</f>
        <v>0</v>
      </c>
      <c r="P33" s="807" t="n">
        <f aca="false">SUM(P29:P32)</f>
        <v>0</v>
      </c>
      <c r="Q33" s="807" t="n">
        <f aca="false">SUM(Q29:Q32)</f>
        <v>0</v>
      </c>
      <c r="R33" s="807" t="n">
        <f aca="false">SUM(R29:R32)</f>
        <v>0</v>
      </c>
      <c r="S33" s="807" t="n">
        <f aca="false">SUM(S29:S32)</f>
        <v>0</v>
      </c>
      <c r="T33" s="807" t="n">
        <f aca="false">SUM(T29:T32)</f>
        <v>0</v>
      </c>
      <c r="U33" s="807" t="n">
        <f aca="false">SUM(U29:U32)</f>
        <v>0</v>
      </c>
      <c r="V33" s="807" t="n">
        <f aca="false">SUM(V29:V32)</f>
        <v>0</v>
      </c>
      <c r="W33" s="807" t="n">
        <f aca="false">SUM(W29:W32)</f>
        <v>0</v>
      </c>
      <c r="X33" s="807" t="n">
        <f aca="false">SUM(X29:X32)</f>
        <v>0</v>
      </c>
      <c r="Y33" s="807" t="n">
        <f aca="false">SUM(Y29:Y32)</f>
        <v>0</v>
      </c>
      <c r="Z33" s="807" t="n">
        <f aca="false">SUM(Z29:Z32)</f>
        <v>0</v>
      </c>
      <c r="AA33" s="807" t="n">
        <f aca="false">SUM(AA29:AA32)</f>
        <v>0</v>
      </c>
      <c r="AB33" s="808" t="n">
        <f aca="false">SUM(AB29:AB32)</f>
        <v>0</v>
      </c>
      <c r="AC33" s="438"/>
      <c r="AD33" s="438"/>
      <c r="AE33" s="713"/>
      <c r="AF33" s="713"/>
      <c r="AG33" s="713"/>
      <c r="AH33" s="713"/>
      <c r="AI33" s="713"/>
      <c r="AJ33" s="713"/>
      <c r="AK33" s="713"/>
      <c r="AL33" s="713"/>
      <c r="AM33" s="713"/>
      <c r="AN33" s="713"/>
      <c r="AO33" s="713"/>
      <c r="AP33" s="713"/>
      <c r="AQ33" s="713"/>
      <c r="AR33" s="713"/>
      <c r="AS33" s="713"/>
      <c r="AT33" s="713"/>
      <c r="AU33" s="713"/>
      <c r="AV33" s="713"/>
      <c r="AW33" s="713"/>
      <c r="AX33" s="713"/>
      <c r="AY33" s="713"/>
      <c r="AZ33" s="713"/>
      <c r="BA33" s="713"/>
      <c r="BB33" s="713"/>
      <c r="BC33" s="713"/>
      <c r="BD33" s="713"/>
      <c r="BE33" s="713"/>
      <c r="BF33" s="713"/>
      <c r="BG33" s="713"/>
      <c r="BH33" s="713"/>
      <c r="BI33" s="713"/>
      <c r="BJ33" s="713"/>
      <c r="BK33" s="713"/>
      <c r="BL33" s="713"/>
      <c r="BM33" s="713"/>
      <c r="BN33" s="713"/>
      <c r="BO33" s="713"/>
      <c r="BP33" s="713"/>
      <c r="BQ33" s="713"/>
      <c r="BR33" s="713"/>
      <c r="BS33" s="713"/>
      <c r="BT33" s="713"/>
      <c r="BU33" s="713"/>
      <c r="BV33" s="713"/>
      <c r="BW33" s="713"/>
      <c r="BX33" s="713"/>
      <c r="BY33" s="713"/>
      <c r="BZ33" s="713"/>
      <c r="CA33" s="713"/>
      <c r="CB33" s="713"/>
      <c r="CC33" s="713"/>
      <c r="CD33" s="713"/>
      <c r="CE33" s="713"/>
      <c r="CF33" s="713"/>
      <c r="CG33" s="713"/>
      <c r="CH33" s="713"/>
      <c r="CI33" s="713"/>
      <c r="CJ33" s="713"/>
      <c r="CK33" s="713"/>
      <c r="CL33" s="713"/>
      <c r="CM33" s="713"/>
      <c r="CN33" s="713"/>
      <c r="CO33" s="713"/>
      <c r="CP33" s="713"/>
      <c r="CQ33" s="713"/>
      <c r="CR33" s="713"/>
      <c r="CS33" s="713"/>
      <c r="CT33" s="713"/>
      <c r="CU33" s="713"/>
      <c r="CV33" s="713"/>
      <c r="CW33" s="713"/>
      <c r="CX33" s="713"/>
      <c r="CY33" s="713"/>
      <c r="CZ33" s="713"/>
      <c r="DA33" s="713"/>
      <c r="DB33" s="713"/>
      <c r="DC33" s="713"/>
      <c r="DD33" s="713"/>
      <c r="DE33" s="713"/>
      <c r="DF33" s="713"/>
      <c r="DG33" s="713"/>
      <c r="DH33" s="713"/>
      <c r="DI33" s="713"/>
      <c r="DJ33" s="713"/>
      <c r="DK33" s="713"/>
      <c r="DL33" s="713"/>
      <c r="DM33" s="713"/>
      <c r="DN33" s="713"/>
      <c r="DO33" s="713"/>
      <c r="DP33" s="713"/>
      <c r="DQ33" s="713"/>
      <c r="DR33" s="713"/>
      <c r="DS33" s="713"/>
      <c r="DT33" s="713"/>
      <c r="DU33" s="713"/>
      <c r="DV33" s="713"/>
      <c r="DW33" s="713"/>
      <c r="DX33" s="713"/>
      <c r="DY33" s="713"/>
      <c r="DZ33" s="713"/>
      <c r="EA33" s="713"/>
      <c r="EB33" s="713"/>
      <c r="EC33" s="713"/>
      <c r="ED33" s="713"/>
      <c r="EE33" s="713"/>
      <c r="EF33" s="713"/>
      <c r="EG33" s="713"/>
      <c r="EH33" s="713"/>
      <c r="EI33" s="713"/>
      <c r="EJ33" s="713"/>
      <c r="EK33" s="713"/>
      <c r="EL33" s="713"/>
      <c r="EM33" s="713"/>
      <c r="EN33" s="713"/>
      <c r="EO33" s="713"/>
      <c r="EP33" s="713"/>
      <c r="EQ33" s="713"/>
      <c r="ER33" s="713"/>
      <c r="ES33" s="713"/>
      <c r="ET33" s="713"/>
      <c r="EU33" s="713"/>
      <c r="EV33" s="713"/>
      <c r="EW33" s="713"/>
      <c r="EX33" s="713"/>
      <c r="EY33" s="713"/>
      <c r="EZ33" s="713"/>
      <c r="FA33" s="713"/>
      <c r="FB33" s="713"/>
      <c r="FC33" s="713"/>
      <c r="FD33" s="713"/>
      <c r="FE33" s="713"/>
      <c r="FF33" s="713"/>
      <c r="FG33" s="713"/>
      <c r="FH33" s="713"/>
      <c r="FI33" s="713"/>
      <c r="FJ33" s="713"/>
      <c r="FK33" s="713"/>
      <c r="FL33" s="713"/>
      <c r="FM33" s="713"/>
      <c r="FN33" s="713"/>
      <c r="FO33" s="713"/>
      <c r="FP33" s="713"/>
      <c r="FQ33" s="713"/>
      <c r="FR33" s="713"/>
      <c r="FS33" s="713"/>
      <c r="FT33" s="713"/>
      <c r="FU33" s="713"/>
      <c r="FV33" s="713"/>
      <c r="FW33" s="713"/>
      <c r="FX33" s="713"/>
      <c r="FY33" s="713"/>
      <c r="FZ33" s="713"/>
      <c r="GA33" s="713"/>
      <c r="GB33" s="713"/>
      <c r="GC33" s="713"/>
      <c r="GD33" s="713"/>
      <c r="GE33" s="713"/>
      <c r="GF33" s="713"/>
      <c r="GG33" s="713"/>
      <c r="GH33" s="713"/>
      <c r="GI33" s="713"/>
      <c r="GJ33" s="713"/>
      <c r="GK33" s="713"/>
      <c r="GL33" s="713"/>
      <c r="GM33" s="713"/>
      <c r="GN33" s="713"/>
      <c r="GO33" s="713"/>
      <c r="GP33" s="713"/>
      <c r="GQ33" s="713"/>
      <c r="GR33" s="713"/>
      <c r="GS33" s="713"/>
      <c r="GT33" s="713"/>
      <c r="GU33" s="713"/>
      <c r="GV33" s="713"/>
      <c r="GW33" s="713"/>
      <c r="GX33" s="713"/>
      <c r="GY33" s="713"/>
      <c r="GZ33" s="713"/>
      <c r="HA33" s="713"/>
      <c r="HB33" s="713"/>
      <c r="HC33" s="713"/>
      <c r="HD33" s="713"/>
      <c r="HE33" s="713"/>
      <c r="HF33" s="713"/>
      <c r="HG33" s="713"/>
      <c r="HH33" s="713"/>
      <c r="HI33" s="713"/>
      <c r="HJ33" s="713"/>
      <c r="HK33" s="713"/>
      <c r="HL33" s="713"/>
      <c r="HM33" s="713"/>
      <c r="HN33" s="713"/>
      <c r="HO33" s="713"/>
      <c r="HP33" s="713"/>
      <c r="HQ33" s="713"/>
      <c r="HR33" s="713"/>
      <c r="HS33" s="713"/>
      <c r="HT33" s="713"/>
      <c r="HU33" s="713"/>
      <c r="HV33" s="713"/>
      <c r="HW33" s="713"/>
      <c r="HX33" s="713"/>
      <c r="HY33" s="713"/>
      <c r="HZ33" s="713"/>
      <c r="IA33" s="713"/>
      <c r="IB33" s="713"/>
      <c r="IC33" s="713"/>
      <c r="ID33" s="713"/>
      <c r="IE33" s="713"/>
      <c r="IF33" s="713"/>
      <c r="IG33" s="713"/>
      <c r="IH33" s="713"/>
      <c r="II33" s="713"/>
      <c r="IJ33" s="713"/>
      <c r="IK33" s="713"/>
      <c r="IL33" s="713"/>
      <c r="IM33" s="713"/>
      <c r="IN33" s="713"/>
      <c r="IO33" s="713"/>
      <c r="IP33" s="713"/>
      <c r="IQ33" s="713"/>
      <c r="IR33" s="713"/>
      <c r="IS33" s="713"/>
      <c r="IT33" s="713"/>
      <c r="IU33" s="713"/>
      <c r="IV33" s="713"/>
      <c r="IW33" s="713"/>
    </row>
    <row r="34" customFormat="false" ht="12" hidden="false" customHeight="true" outlineLevel="0" collapsed="false">
      <c r="A34" s="412"/>
      <c r="B34" s="566"/>
      <c r="C34" s="385"/>
      <c r="D34" s="557"/>
      <c r="E34" s="557"/>
      <c r="F34" s="557"/>
      <c r="G34" s="557"/>
      <c r="H34" s="557"/>
      <c r="I34" s="557"/>
      <c r="J34" s="557"/>
      <c r="K34" s="557"/>
      <c r="L34" s="557"/>
      <c r="M34" s="557"/>
      <c r="N34" s="557"/>
      <c r="O34" s="557"/>
      <c r="P34" s="557"/>
      <c r="Q34" s="557"/>
      <c r="R34" s="557"/>
      <c r="S34" s="557"/>
      <c r="T34" s="557"/>
      <c r="U34" s="557"/>
      <c r="V34" s="557"/>
      <c r="W34" s="557"/>
      <c r="X34" s="557"/>
      <c r="Y34" s="557"/>
      <c r="Z34" s="557"/>
      <c r="AA34" s="557"/>
      <c r="AB34" s="795"/>
      <c r="AC34" s="438"/>
      <c r="AD34" s="438"/>
      <c r="AE34" s="713"/>
      <c r="AF34" s="713"/>
      <c r="AG34" s="713"/>
      <c r="AH34" s="713"/>
      <c r="AI34" s="713"/>
      <c r="AJ34" s="713"/>
      <c r="AK34" s="713"/>
      <c r="AL34" s="713"/>
      <c r="AM34" s="713"/>
      <c r="AN34" s="713"/>
      <c r="AO34" s="713"/>
      <c r="AP34" s="713"/>
      <c r="AQ34" s="713"/>
      <c r="AR34" s="713"/>
      <c r="AS34" s="713"/>
      <c r="AT34" s="713"/>
      <c r="AU34" s="713"/>
      <c r="AV34" s="713"/>
      <c r="AW34" s="713"/>
      <c r="AX34" s="713"/>
      <c r="AY34" s="713"/>
      <c r="AZ34" s="713"/>
      <c r="BA34" s="713"/>
      <c r="BB34" s="713"/>
      <c r="BC34" s="713"/>
      <c r="BD34" s="713"/>
      <c r="BE34" s="713"/>
      <c r="BF34" s="713"/>
      <c r="BG34" s="713"/>
      <c r="BH34" s="713"/>
      <c r="BI34" s="713"/>
      <c r="BJ34" s="713"/>
      <c r="BK34" s="713"/>
      <c r="BL34" s="713"/>
      <c r="BM34" s="713"/>
      <c r="BN34" s="713"/>
      <c r="BO34" s="713"/>
      <c r="BP34" s="713"/>
      <c r="BQ34" s="713"/>
      <c r="BR34" s="713"/>
      <c r="BS34" s="713"/>
      <c r="BT34" s="713"/>
      <c r="BU34" s="713"/>
      <c r="BV34" s="713"/>
      <c r="BW34" s="713"/>
      <c r="BX34" s="713"/>
      <c r="BY34" s="713"/>
      <c r="BZ34" s="713"/>
      <c r="CA34" s="713"/>
      <c r="CB34" s="713"/>
      <c r="CC34" s="713"/>
      <c r="CD34" s="713"/>
      <c r="CE34" s="713"/>
      <c r="CF34" s="713"/>
      <c r="CG34" s="713"/>
      <c r="CH34" s="713"/>
      <c r="CI34" s="713"/>
      <c r="CJ34" s="713"/>
      <c r="CK34" s="713"/>
      <c r="CL34" s="713"/>
      <c r="CM34" s="713"/>
      <c r="CN34" s="713"/>
      <c r="CO34" s="713"/>
      <c r="CP34" s="713"/>
      <c r="CQ34" s="713"/>
      <c r="CR34" s="713"/>
      <c r="CS34" s="713"/>
      <c r="CT34" s="713"/>
      <c r="CU34" s="713"/>
      <c r="CV34" s="713"/>
      <c r="CW34" s="713"/>
      <c r="CX34" s="713"/>
      <c r="CY34" s="713"/>
      <c r="CZ34" s="713"/>
      <c r="DA34" s="713"/>
      <c r="DB34" s="713"/>
      <c r="DC34" s="713"/>
      <c r="DD34" s="713"/>
      <c r="DE34" s="713"/>
      <c r="DF34" s="713"/>
      <c r="DG34" s="713"/>
      <c r="DH34" s="713"/>
      <c r="DI34" s="713"/>
      <c r="DJ34" s="713"/>
      <c r="DK34" s="713"/>
      <c r="DL34" s="713"/>
      <c r="DM34" s="713"/>
      <c r="DN34" s="713"/>
      <c r="DO34" s="713"/>
      <c r="DP34" s="713"/>
      <c r="DQ34" s="713"/>
      <c r="DR34" s="713"/>
      <c r="DS34" s="713"/>
      <c r="DT34" s="713"/>
      <c r="DU34" s="713"/>
      <c r="DV34" s="713"/>
      <c r="DW34" s="713"/>
      <c r="DX34" s="713"/>
      <c r="DY34" s="713"/>
      <c r="DZ34" s="713"/>
      <c r="EA34" s="713"/>
      <c r="EB34" s="713"/>
      <c r="EC34" s="713"/>
      <c r="ED34" s="713"/>
      <c r="EE34" s="713"/>
      <c r="EF34" s="713"/>
      <c r="EG34" s="713"/>
      <c r="EH34" s="713"/>
      <c r="EI34" s="713"/>
      <c r="EJ34" s="713"/>
      <c r="EK34" s="713"/>
      <c r="EL34" s="713"/>
      <c r="EM34" s="713"/>
      <c r="EN34" s="713"/>
      <c r="EO34" s="713"/>
      <c r="EP34" s="713"/>
      <c r="EQ34" s="713"/>
      <c r="ER34" s="713"/>
      <c r="ES34" s="713"/>
      <c r="ET34" s="713"/>
      <c r="EU34" s="713"/>
      <c r="EV34" s="713"/>
      <c r="EW34" s="713"/>
      <c r="EX34" s="713"/>
      <c r="EY34" s="713"/>
      <c r="EZ34" s="713"/>
      <c r="FA34" s="713"/>
      <c r="FB34" s="713"/>
      <c r="FC34" s="713"/>
      <c r="FD34" s="713"/>
      <c r="FE34" s="713"/>
      <c r="FF34" s="713"/>
      <c r="FG34" s="713"/>
      <c r="FH34" s="713"/>
      <c r="FI34" s="713"/>
      <c r="FJ34" s="713"/>
      <c r="FK34" s="713"/>
      <c r="FL34" s="713"/>
      <c r="FM34" s="713"/>
      <c r="FN34" s="713"/>
      <c r="FO34" s="713"/>
      <c r="FP34" s="713"/>
      <c r="FQ34" s="713"/>
      <c r="FR34" s="713"/>
      <c r="FS34" s="713"/>
      <c r="FT34" s="713"/>
      <c r="FU34" s="713"/>
      <c r="FV34" s="713"/>
      <c r="FW34" s="713"/>
      <c r="FX34" s="713"/>
      <c r="FY34" s="713"/>
      <c r="FZ34" s="713"/>
      <c r="GA34" s="713"/>
      <c r="GB34" s="713"/>
      <c r="GC34" s="713"/>
      <c r="GD34" s="713"/>
      <c r="GE34" s="713"/>
      <c r="GF34" s="713"/>
      <c r="GG34" s="713"/>
      <c r="GH34" s="713"/>
      <c r="GI34" s="713"/>
      <c r="GJ34" s="713"/>
      <c r="GK34" s="713"/>
      <c r="GL34" s="713"/>
      <c r="GM34" s="713"/>
      <c r="GN34" s="713"/>
      <c r="GO34" s="713"/>
      <c r="GP34" s="713"/>
      <c r="GQ34" s="713"/>
      <c r="GR34" s="713"/>
      <c r="GS34" s="713"/>
      <c r="GT34" s="713"/>
      <c r="GU34" s="713"/>
      <c r="GV34" s="713"/>
      <c r="GW34" s="713"/>
      <c r="GX34" s="713"/>
      <c r="GY34" s="713"/>
      <c r="GZ34" s="713"/>
      <c r="HA34" s="713"/>
      <c r="HB34" s="713"/>
      <c r="HC34" s="713"/>
      <c r="HD34" s="713"/>
      <c r="HE34" s="713"/>
      <c r="HF34" s="713"/>
      <c r="HG34" s="713"/>
      <c r="HH34" s="713"/>
      <c r="HI34" s="713"/>
      <c r="HJ34" s="713"/>
      <c r="HK34" s="713"/>
      <c r="HL34" s="713"/>
      <c r="HM34" s="713"/>
      <c r="HN34" s="713"/>
      <c r="HO34" s="713"/>
      <c r="HP34" s="713"/>
      <c r="HQ34" s="713"/>
      <c r="HR34" s="713"/>
      <c r="HS34" s="713"/>
      <c r="HT34" s="713"/>
      <c r="HU34" s="713"/>
      <c r="HV34" s="713"/>
      <c r="HW34" s="713"/>
      <c r="HX34" s="713"/>
      <c r="HY34" s="713"/>
      <c r="HZ34" s="713"/>
      <c r="IA34" s="713"/>
      <c r="IB34" s="713"/>
      <c r="IC34" s="713"/>
      <c r="ID34" s="713"/>
      <c r="IE34" s="713"/>
      <c r="IF34" s="713"/>
      <c r="IG34" s="713"/>
      <c r="IH34" s="713"/>
      <c r="II34" s="713"/>
      <c r="IJ34" s="713"/>
      <c r="IK34" s="713"/>
      <c r="IL34" s="713"/>
      <c r="IM34" s="713"/>
      <c r="IN34" s="713"/>
      <c r="IO34" s="713"/>
      <c r="IP34" s="713"/>
      <c r="IQ34" s="713"/>
      <c r="IR34" s="713"/>
      <c r="IS34" s="713"/>
      <c r="IT34" s="713"/>
      <c r="IU34" s="713"/>
      <c r="IV34" s="713"/>
      <c r="IW34" s="713"/>
    </row>
    <row r="35" customFormat="false" ht="12" hidden="false" customHeight="true" outlineLevel="0" collapsed="false">
      <c r="A35" s="435" t="s">
        <v>634</v>
      </c>
      <c r="B35" s="566"/>
      <c r="C35" s="434"/>
      <c r="D35" s="886" t="n">
        <f aca="false">IF(AND('Project Assumptions'!$C$56="No",D27&lt;0),0,IF(AND('Project Assumptions'!$C$56="No",D27&gt;0),D27,IF(D27&lt;0,0,(D27+D32))))</f>
        <v>0</v>
      </c>
      <c r="E35" s="886" t="n">
        <f aca="false">IF(AND('Project Assumptions'!$C$56="No",E27&lt;0),0,IF(AND('Project Assumptions'!$C$56="No",E27&gt;0),E27,IF(E27&lt;0,0,(E27+E32))))</f>
        <v>0</v>
      </c>
      <c r="F35" s="886" t="n">
        <f aca="false">IF(AND('Project Assumptions'!$C$56="No",F27&lt;0),0,IF(AND('Project Assumptions'!$C$56="No",F27&gt;0),F27,IF(F27&lt;0,0,(F27+F32))))</f>
        <v>0</v>
      </c>
      <c r="G35" s="886" t="n">
        <f aca="false">IF(AND('Project Assumptions'!$C$56="No",G27&lt;0),0,IF(AND('Project Assumptions'!$C$56="No",G27&gt;0),G27,IF(G27&lt;0,0,(G27+G32))))</f>
        <v>0</v>
      </c>
      <c r="H35" s="886" t="n">
        <f aca="false">IF(AND('Project Assumptions'!$C$56="No",H27&lt;0),0,IF(AND('Project Assumptions'!$C$56="No",H27&gt;0),H27,IF(H27&lt;0,0,(H27+H32))))</f>
        <v>0</v>
      </c>
      <c r="I35" s="886" t="n">
        <f aca="false">IF(AND('Project Assumptions'!$C$56="No",I27&lt;0),0,IF(AND('Project Assumptions'!$C$56="No",I27&gt;0),I27,IF(I27&lt;0,0,(I27+I32))))</f>
        <v>143.643677853833</v>
      </c>
      <c r="J35" s="886" t="n">
        <f aca="false">IF(AND('Project Assumptions'!$C$56="No",J27&lt;0),0,IF(AND('Project Assumptions'!$C$56="No",J27&gt;0),J27,IF(J27&lt;0,0,(J27+J32))))</f>
        <v>715.665871098116</v>
      </c>
      <c r="K35" s="886" t="n">
        <f aca="false">IF(AND('Project Assumptions'!$C$56="No",K27&lt;0),0,IF(AND('Project Assumptions'!$C$56="No",K27&gt;0),K27,IF(K27&lt;0,0,(K27+K32))))</f>
        <v>752.217459894144</v>
      </c>
      <c r="L35" s="886" t="n">
        <f aca="false">IF(AND('Project Assumptions'!$C$56="No",L27&lt;0),0,IF(AND('Project Assumptions'!$C$56="No",L27&gt;0),L27,IF(L27&lt;0,0,(L27+L32))))</f>
        <v>821.223097911306</v>
      </c>
      <c r="M35" s="886" t="n">
        <f aca="false">IF(AND('Project Assumptions'!$C$56="No",M27&lt;0),0,IF(AND('Project Assumptions'!$C$56="No",M27&gt;0),M27,IF(M27&lt;0,0,(M27+M32))))</f>
        <v>870.465037772628</v>
      </c>
      <c r="N35" s="886" t="n">
        <f aca="false">IF(AND('Project Assumptions'!$C$56="No",N27&lt;0),0,IF(AND('Project Assumptions'!$C$56="No",N27&gt;0),N27,IF(N27&lt;0,0,(N27+N32))))</f>
        <v>964.027813079668</v>
      </c>
      <c r="O35" s="886" t="n">
        <f aca="false">IF(AND('Project Assumptions'!$C$56="No",O27&lt;0),0,IF(AND('Project Assumptions'!$C$56="No",O27&gt;0),O27,IF(O27&lt;0,0,(O27+O32))))</f>
        <v>949.168755115388</v>
      </c>
      <c r="P35" s="886" t="n">
        <f aca="false">IF(AND('Project Assumptions'!$C$56="No",P27&lt;0),0,IF(AND('Project Assumptions'!$C$56="No",P27&gt;0),P27,IF(P27&lt;0,0,(P27+P32))))</f>
        <v>1017.26768641676</v>
      </c>
      <c r="Q35" s="886" t="n">
        <f aca="false">IF(AND('Project Assumptions'!$C$56="No",Q27&lt;0),0,IF(AND('Project Assumptions'!$C$56="No",Q27&gt;0),Q27,IF(Q27&lt;0,0,(Q27+Q32))))</f>
        <v>1049.20695144527</v>
      </c>
      <c r="R35" s="886" t="n">
        <f aca="false">IF(AND('Project Assumptions'!$C$56="No",R27&lt;0),0,IF(AND('Project Assumptions'!$C$56="No",R27&gt;0),R27,IF(R27&lt;0,0,(R27+R32))))</f>
        <v>1081.941884103</v>
      </c>
      <c r="S35" s="886" t="n">
        <f aca="false">IF(AND('Project Assumptions'!$C$56="No",S27&lt;0),0,IF(AND('Project Assumptions'!$C$56="No",S27&gt;0),S27,IF(S27&lt;0,0,(S27+S32))))</f>
        <v>1334.39598770519</v>
      </c>
      <c r="T35" s="886" t="n">
        <f aca="false">IF(AND('Project Assumptions'!$C$56="No",T27&lt;0),0,IF(AND('Project Assumptions'!$C$56="No",T27&gt;0),T27,IF(T27&lt;0,0,(T27+T32))))</f>
        <v>1592.16156418995</v>
      </c>
      <c r="U35" s="886" t="n">
        <f aca="false">IF(AND('Project Assumptions'!$C$56="No",U27&lt;0),0,IF(AND('Project Assumptions'!$C$56="No",U27&gt;0),U27,IF(U27&lt;0,0,(U27+U32))))</f>
        <v>1641.80307144277</v>
      </c>
      <c r="V35" s="886" t="n">
        <f aca="false">IF(AND('Project Assumptions'!$C$56="No",V27&lt;0),0,IF(AND('Project Assumptions'!$C$56="No",V27&gt;0),V27,IF(V27&lt;0,0,(V27+V32))))</f>
        <v>1691.33235329355</v>
      </c>
      <c r="W35" s="886" t="n">
        <f aca="false">IF(AND('Project Assumptions'!$C$56="No",W27&lt;0),0,IF(AND('Project Assumptions'!$C$56="No",W27&gt;0),W27,IF(W27&lt;0,0,(W27+W32))))</f>
        <v>1742.66336849847</v>
      </c>
      <c r="X35" s="886" t="n">
        <f aca="false">IF(AND('Project Assumptions'!$C$56="No",X27&lt;0),0,IF(AND('Project Assumptions'!$C$56="No",X27&gt;0),X27,IF(X27&lt;0,0,(X27+X32))))</f>
        <v>1798.75491957637</v>
      </c>
      <c r="Y35" s="886" t="n">
        <f aca="false">IF(AND('Project Assumptions'!$C$56="No",Y27&lt;0),0,IF(AND('Project Assumptions'!$C$56="No",Y27&gt;0),Y27,IF(Y27&lt;0,0,(Y27+Y32))))</f>
        <v>0</v>
      </c>
      <c r="Z35" s="886" t="n">
        <f aca="false">IF(AND('Project Assumptions'!$C$56="No",Z27&lt;0),0,IF(AND('Project Assumptions'!$C$56="No",Z27&gt;0),Z27,IF(Z27&lt;0,0,(Z27+Z32))))</f>
        <v>0</v>
      </c>
      <c r="AA35" s="886" t="n">
        <f aca="false">IF(AND('Project Assumptions'!$C$56="No",AA27&lt;0),0,IF(AND('Project Assumptions'!$C$56="No",AA27&gt;0),AA27,IF(AA27&lt;0,0,(AA27+AA32))))</f>
        <v>0</v>
      </c>
      <c r="AB35" s="887" t="n">
        <f aca="false">IF(AND('Project Assumptions'!$C$56="No",AB27&lt;0),0,IF(AND('Project Assumptions'!$C$56="No",AB27&gt;0),AB27,IF(AB27&lt;0,0,(AB27+AB32))))</f>
        <v>0</v>
      </c>
      <c r="AC35" s="438"/>
      <c r="AD35" s="438"/>
      <c r="AE35" s="713"/>
      <c r="AF35" s="713"/>
      <c r="AG35" s="713"/>
      <c r="AH35" s="713"/>
      <c r="AI35" s="713"/>
      <c r="AJ35" s="713"/>
      <c r="AK35" s="713"/>
      <c r="AL35" s="713"/>
      <c r="AM35" s="713"/>
      <c r="AN35" s="713"/>
      <c r="AO35" s="713"/>
      <c r="AP35" s="713"/>
      <c r="AQ35" s="713"/>
      <c r="AR35" s="713"/>
      <c r="AS35" s="713"/>
      <c r="AT35" s="713"/>
      <c r="AU35" s="713"/>
      <c r="AV35" s="713"/>
      <c r="AW35" s="713"/>
      <c r="AX35" s="713"/>
      <c r="AY35" s="713"/>
      <c r="AZ35" s="713"/>
      <c r="BA35" s="713"/>
      <c r="BB35" s="713"/>
      <c r="BC35" s="713"/>
      <c r="BD35" s="713"/>
      <c r="BE35" s="713"/>
      <c r="BF35" s="713"/>
      <c r="BG35" s="713"/>
      <c r="BH35" s="713"/>
      <c r="BI35" s="713"/>
      <c r="BJ35" s="713"/>
      <c r="BK35" s="713"/>
      <c r="BL35" s="713"/>
      <c r="BM35" s="713"/>
      <c r="BN35" s="713"/>
      <c r="BO35" s="713"/>
      <c r="BP35" s="713"/>
      <c r="BQ35" s="713"/>
      <c r="BR35" s="713"/>
      <c r="BS35" s="713"/>
      <c r="BT35" s="713"/>
      <c r="BU35" s="713"/>
      <c r="BV35" s="713"/>
      <c r="BW35" s="713"/>
      <c r="BX35" s="713"/>
      <c r="BY35" s="713"/>
      <c r="BZ35" s="713"/>
      <c r="CA35" s="713"/>
      <c r="CB35" s="713"/>
      <c r="CC35" s="713"/>
      <c r="CD35" s="713"/>
      <c r="CE35" s="713"/>
      <c r="CF35" s="713"/>
      <c r="CG35" s="713"/>
      <c r="CH35" s="713"/>
      <c r="CI35" s="713"/>
      <c r="CJ35" s="713"/>
      <c r="CK35" s="713"/>
      <c r="CL35" s="713"/>
      <c r="CM35" s="713"/>
      <c r="CN35" s="713"/>
      <c r="CO35" s="713"/>
      <c r="CP35" s="713"/>
      <c r="CQ35" s="713"/>
      <c r="CR35" s="713"/>
      <c r="CS35" s="713"/>
      <c r="CT35" s="713"/>
      <c r="CU35" s="713"/>
      <c r="CV35" s="713"/>
      <c r="CW35" s="713"/>
      <c r="CX35" s="713"/>
      <c r="CY35" s="713"/>
      <c r="CZ35" s="713"/>
      <c r="DA35" s="713"/>
      <c r="DB35" s="713"/>
      <c r="DC35" s="713"/>
      <c r="DD35" s="713"/>
      <c r="DE35" s="713"/>
      <c r="DF35" s="713"/>
      <c r="DG35" s="713"/>
      <c r="DH35" s="713"/>
      <c r="DI35" s="713"/>
      <c r="DJ35" s="713"/>
      <c r="DK35" s="713"/>
      <c r="DL35" s="713"/>
      <c r="DM35" s="713"/>
      <c r="DN35" s="713"/>
      <c r="DO35" s="713"/>
      <c r="DP35" s="713"/>
      <c r="DQ35" s="713"/>
      <c r="DR35" s="713"/>
      <c r="DS35" s="713"/>
      <c r="DT35" s="713"/>
      <c r="DU35" s="713"/>
      <c r="DV35" s="713"/>
      <c r="DW35" s="713"/>
      <c r="DX35" s="713"/>
      <c r="DY35" s="713"/>
      <c r="DZ35" s="713"/>
      <c r="EA35" s="713"/>
      <c r="EB35" s="713"/>
      <c r="EC35" s="713"/>
      <c r="ED35" s="713"/>
      <c r="EE35" s="713"/>
      <c r="EF35" s="713"/>
      <c r="EG35" s="713"/>
      <c r="EH35" s="713"/>
      <c r="EI35" s="713"/>
      <c r="EJ35" s="713"/>
      <c r="EK35" s="713"/>
      <c r="EL35" s="713"/>
      <c r="EM35" s="713"/>
      <c r="EN35" s="713"/>
      <c r="EO35" s="713"/>
      <c r="EP35" s="713"/>
      <c r="EQ35" s="713"/>
      <c r="ER35" s="713"/>
      <c r="ES35" s="713"/>
      <c r="ET35" s="713"/>
      <c r="EU35" s="713"/>
      <c r="EV35" s="713"/>
      <c r="EW35" s="713"/>
      <c r="EX35" s="713"/>
      <c r="EY35" s="713"/>
      <c r="EZ35" s="713"/>
      <c r="FA35" s="713"/>
      <c r="FB35" s="713"/>
      <c r="FC35" s="713"/>
      <c r="FD35" s="713"/>
      <c r="FE35" s="713"/>
      <c r="FF35" s="713"/>
      <c r="FG35" s="713"/>
      <c r="FH35" s="713"/>
      <c r="FI35" s="713"/>
      <c r="FJ35" s="713"/>
      <c r="FK35" s="713"/>
      <c r="FL35" s="713"/>
      <c r="FM35" s="713"/>
      <c r="FN35" s="713"/>
      <c r="FO35" s="713"/>
      <c r="FP35" s="713"/>
      <c r="FQ35" s="713"/>
      <c r="FR35" s="713"/>
      <c r="FS35" s="713"/>
      <c r="FT35" s="713"/>
      <c r="FU35" s="713"/>
      <c r="FV35" s="713"/>
      <c r="FW35" s="713"/>
      <c r="FX35" s="713"/>
      <c r="FY35" s="713"/>
      <c r="FZ35" s="713"/>
      <c r="GA35" s="713"/>
      <c r="GB35" s="713"/>
      <c r="GC35" s="713"/>
      <c r="GD35" s="713"/>
      <c r="GE35" s="713"/>
      <c r="GF35" s="713"/>
      <c r="GG35" s="713"/>
      <c r="GH35" s="713"/>
      <c r="GI35" s="713"/>
      <c r="GJ35" s="713"/>
      <c r="GK35" s="713"/>
      <c r="GL35" s="713"/>
      <c r="GM35" s="713"/>
      <c r="GN35" s="713"/>
      <c r="GO35" s="713"/>
      <c r="GP35" s="713"/>
      <c r="GQ35" s="713"/>
      <c r="GR35" s="713"/>
      <c r="GS35" s="713"/>
      <c r="GT35" s="713"/>
      <c r="GU35" s="713"/>
      <c r="GV35" s="713"/>
      <c r="GW35" s="713"/>
      <c r="GX35" s="713"/>
      <c r="GY35" s="713"/>
      <c r="GZ35" s="713"/>
      <c r="HA35" s="713"/>
      <c r="HB35" s="713"/>
      <c r="HC35" s="713"/>
      <c r="HD35" s="713"/>
      <c r="HE35" s="713"/>
      <c r="HF35" s="713"/>
      <c r="HG35" s="713"/>
      <c r="HH35" s="713"/>
      <c r="HI35" s="713"/>
      <c r="HJ35" s="713"/>
      <c r="HK35" s="713"/>
      <c r="HL35" s="713"/>
      <c r="HM35" s="713"/>
      <c r="HN35" s="713"/>
      <c r="HO35" s="713"/>
      <c r="HP35" s="713"/>
      <c r="HQ35" s="713"/>
      <c r="HR35" s="713"/>
      <c r="HS35" s="713"/>
      <c r="HT35" s="713"/>
      <c r="HU35" s="713"/>
      <c r="HV35" s="713"/>
      <c r="HW35" s="713"/>
      <c r="HX35" s="713"/>
      <c r="HY35" s="713"/>
      <c r="HZ35" s="713"/>
      <c r="IA35" s="713"/>
      <c r="IB35" s="713"/>
      <c r="IC35" s="713"/>
      <c r="ID35" s="713"/>
      <c r="IE35" s="713"/>
      <c r="IF35" s="713"/>
      <c r="IG35" s="713"/>
      <c r="IH35" s="713"/>
      <c r="II35" s="713"/>
      <c r="IJ35" s="713"/>
      <c r="IK35" s="713"/>
      <c r="IL35" s="713"/>
      <c r="IM35" s="713"/>
      <c r="IN35" s="713"/>
      <c r="IO35" s="713"/>
      <c r="IP35" s="713"/>
      <c r="IQ35" s="713"/>
      <c r="IR35" s="713"/>
      <c r="IS35" s="713"/>
      <c r="IT35" s="713"/>
      <c r="IU35" s="713"/>
      <c r="IV35" s="713"/>
      <c r="IW35" s="713"/>
    </row>
    <row r="36" customFormat="false" ht="12" hidden="false" customHeight="true" outlineLevel="0" collapsed="false">
      <c r="A36" s="791" t="s">
        <v>635</v>
      </c>
      <c r="B36" s="385"/>
      <c r="C36" s="385"/>
      <c r="D36" s="875" t="n">
        <f aca="false">D15</f>
        <v>0</v>
      </c>
      <c r="E36" s="875" t="n">
        <f aca="false">E15</f>
        <v>0</v>
      </c>
      <c r="F36" s="875" t="n">
        <f aca="false">F15</f>
        <v>0</v>
      </c>
      <c r="G36" s="875" t="n">
        <f aca="false">G15</f>
        <v>0</v>
      </c>
      <c r="H36" s="875" t="n">
        <f aca="false">H15</f>
        <v>0</v>
      </c>
      <c r="I36" s="875" t="n">
        <f aca="false">I15</f>
        <v>0</v>
      </c>
      <c r="J36" s="875" t="n">
        <f aca="false">J15</f>
        <v>0</v>
      </c>
      <c r="K36" s="875" t="n">
        <f aca="false">K15</f>
        <v>0</v>
      </c>
      <c r="L36" s="875" t="n">
        <f aca="false">L15</f>
        <v>0</v>
      </c>
      <c r="M36" s="875" t="n">
        <f aca="false">M15</f>
        <v>0</v>
      </c>
      <c r="N36" s="875" t="n">
        <f aca="false">N15</f>
        <v>0</v>
      </c>
      <c r="O36" s="875" t="n">
        <f aca="false">O15</f>
        <v>0</v>
      </c>
      <c r="P36" s="875" t="n">
        <f aca="false">P15</f>
        <v>0</v>
      </c>
      <c r="Q36" s="875" t="n">
        <f aca="false">Q15</f>
        <v>0</v>
      </c>
      <c r="R36" s="875" t="n">
        <f aca="false">R15</f>
        <v>0</v>
      </c>
      <c r="S36" s="875" t="n">
        <f aca="false">S15</f>
        <v>0</v>
      </c>
      <c r="T36" s="875" t="n">
        <f aca="false">T15</f>
        <v>0</v>
      </c>
      <c r="U36" s="875" t="n">
        <f aca="false">U15</f>
        <v>0</v>
      </c>
      <c r="V36" s="875" t="n">
        <f aca="false">V15</f>
        <v>0</v>
      </c>
      <c r="W36" s="875" t="n">
        <f aca="false">W15</f>
        <v>0</v>
      </c>
      <c r="X36" s="875" t="n">
        <f aca="false">X15</f>
        <v>0</v>
      </c>
      <c r="Y36" s="875" t="n">
        <f aca="false">Y15</f>
        <v>0</v>
      </c>
      <c r="Z36" s="875" t="n">
        <f aca="false">Z15</f>
        <v>0</v>
      </c>
      <c r="AA36" s="875" t="n">
        <f aca="false">AA15</f>
        <v>0</v>
      </c>
      <c r="AB36" s="876" t="n">
        <f aca="false">AB15</f>
        <v>0</v>
      </c>
      <c r="AC36" s="385"/>
      <c r="AD36" s="385"/>
      <c r="AE36" s="865"/>
      <c r="AF36" s="865"/>
      <c r="AG36" s="865"/>
      <c r="AH36" s="865"/>
      <c r="AI36" s="865"/>
      <c r="AJ36" s="865"/>
      <c r="AK36" s="865"/>
      <c r="AL36" s="865"/>
      <c r="AM36" s="865"/>
      <c r="AN36" s="865"/>
      <c r="AO36" s="865"/>
      <c r="AP36" s="865"/>
      <c r="AQ36" s="865"/>
      <c r="AR36" s="865"/>
      <c r="AS36" s="865"/>
      <c r="AT36" s="865"/>
      <c r="AU36" s="865"/>
      <c r="AV36" s="865"/>
      <c r="AW36" s="865"/>
      <c r="AX36" s="865"/>
      <c r="AY36" s="865"/>
      <c r="AZ36" s="865"/>
      <c r="BA36" s="865"/>
      <c r="BB36" s="865"/>
      <c r="BC36" s="865"/>
      <c r="BD36" s="865"/>
      <c r="BE36" s="865"/>
      <c r="BF36" s="865"/>
      <c r="BG36" s="865"/>
      <c r="BH36" s="865"/>
      <c r="BI36" s="865"/>
      <c r="BJ36" s="865"/>
      <c r="BK36" s="865"/>
      <c r="BL36" s="865"/>
      <c r="BM36" s="865"/>
      <c r="BN36" s="865"/>
      <c r="BO36" s="865"/>
      <c r="BP36" s="865"/>
      <c r="BQ36" s="865"/>
      <c r="BR36" s="865"/>
      <c r="BS36" s="865"/>
      <c r="BT36" s="865"/>
      <c r="BU36" s="865"/>
      <c r="BV36" s="865"/>
      <c r="BW36" s="865"/>
      <c r="BX36" s="865"/>
      <c r="BY36" s="865"/>
      <c r="BZ36" s="865"/>
      <c r="CA36" s="865"/>
      <c r="CB36" s="865"/>
      <c r="CC36" s="865"/>
      <c r="CD36" s="865"/>
      <c r="CE36" s="865"/>
      <c r="CF36" s="865"/>
      <c r="CG36" s="865"/>
      <c r="CH36" s="865"/>
      <c r="CI36" s="865"/>
      <c r="CJ36" s="865"/>
      <c r="CK36" s="865"/>
      <c r="CL36" s="865"/>
      <c r="CM36" s="865"/>
      <c r="CN36" s="865"/>
      <c r="CO36" s="865"/>
      <c r="CP36" s="865"/>
      <c r="CQ36" s="865"/>
      <c r="CR36" s="865"/>
      <c r="CS36" s="865"/>
      <c r="CT36" s="865"/>
      <c r="CU36" s="865"/>
      <c r="CV36" s="865"/>
      <c r="CW36" s="865"/>
      <c r="CX36" s="865"/>
      <c r="CY36" s="865"/>
      <c r="CZ36" s="865"/>
      <c r="DA36" s="865"/>
      <c r="DB36" s="865"/>
      <c r="DC36" s="865"/>
      <c r="DD36" s="865"/>
      <c r="DE36" s="865"/>
      <c r="DF36" s="865"/>
      <c r="DG36" s="865"/>
      <c r="DH36" s="865"/>
      <c r="DI36" s="865"/>
      <c r="DJ36" s="865"/>
      <c r="DK36" s="865"/>
      <c r="DL36" s="865"/>
      <c r="DM36" s="865"/>
      <c r="DN36" s="865"/>
      <c r="DO36" s="865"/>
      <c r="DP36" s="865"/>
      <c r="DQ36" s="865"/>
      <c r="DR36" s="865"/>
      <c r="DS36" s="865"/>
      <c r="DT36" s="865"/>
      <c r="DU36" s="865"/>
      <c r="DV36" s="865"/>
      <c r="DW36" s="865"/>
      <c r="DX36" s="865"/>
      <c r="DY36" s="865"/>
      <c r="DZ36" s="865"/>
      <c r="EA36" s="865"/>
      <c r="EB36" s="865"/>
      <c r="EC36" s="865"/>
      <c r="ED36" s="865"/>
      <c r="EE36" s="865"/>
      <c r="EF36" s="865"/>
      <c r="EG36" s="865"/>
      <c r="EH36" s="865"/>
      <c r="EI36" s="865"/>
      <c r="EJ36" s="865"/>
      <c r="EK36" s="865"/>
      <c r="EL36" s="865"/>
      <c r="EM36" s="865"/>
      <c r="EN36" s="865"/>
      <c r="EO36" s="865"/>
      <c r="EP36" s="865"/>
      <c r="EQ36" s="865"/>
      <c r="ER36" s="865"/>
      <c r="ES36" s="865"/>
      <c r="ET36" s="865"/>
      <c r="EU36" s="865"/>
      <c r="EV36" s="865"/>
      <c r="EW36" s="865"/>
      <c r="EX36" s="865"/>
      <c r="EY36" s="865"/>
      <c r="EZ36" s="865"/>
      <c r="FA36" s="865"/>
      <c r="FB36" s="865"/>
      <c r="FC36" s="865"/>
      <c r="FD36" s="865"/>
      <c r="FE36" s="865"/>
      <c r="FF36" s="865"/>
      <c r="FG36" s="865"/>
      <c r="FH36" s="865"/>
      <c r="FI36" s="865"/>
      <c r="FJ36" s="865"/>
      <c r="FK36" s="865"/>
      <c r="FL36" s="865"/>
      <c r="FM36" s="865"/>
      <c r="FN36" s="865"/>
      <c r="FO36" s="865"/>
      <c r="FP36" s="865"/>
      <c r="FQ36" s="865"/>
      <c r="FR36" s="865"/>
      <c r="FS36" s="865"/>
      <c r="FT36" s="865"/>
      <c r="FU36" s="865"/>
      <c r="FV36" s="865"/>
      <c r="FW36" s="865"/>
      <c r="FX36" s="865"/>
      <c r="FY36" s="865"/>
      <c r="FZ36" s="865"/>
      <c r="GA36" s="865"/>
      <c r="GB36" s="865"/>
      <c r="GC36" s="865"/>
      <c r="GD36" s="865"/>
      <c r="GE36" s="865"/>
      <c r="GF36" s="865"/>
      <c r="GG36" s="865"/>
      <c r="GH36" s="865"/>
      <c r="GI36" s="865"/>
      <c r="GJ36" s="865"/>
      <c r="GK36" s="865"/>
      <c r="GL36" s="865"/>
      <c r="GM36" s="865"/>
      <c r="GN36" s="865"/>
      <c r="GO36" s="865"/>
      <c r="GP36" s="865"/>
      <c r="GQ36" s="865"/>
      <c r="GR36" s="865"/>
      <c r="GS36" s="865"/>
      <c r="GT36" s="865"/>
      <c r="GU36" s="865"/>
      <c r="GV36" s="865"/>
      <c r="GW36" s="865"/>
      <c r="GX36" s="865"/>
      <c r="GY36" s="865"/>
      <c r="GZ36" s="865"/>
      <c r="HA36" s="865"/>
      <c r="HB36" s="865"/>
      <c r="HC36" s="865"/>
      <c r="HD36" s="865"/>
      <c r="HE36" s="865"/>
      <c r="HF36" s="865"/>
      <c r="HG36" s="865"/>
      <c r="HH36" s="865"/>
      <c r="HI36" s="865"/>
      <c r="HJ36" s="865"/>
      <c r="HK36" s="865"/>
      <c r="HL36" s="865"/>
      <c r="HM36" s="865"/>
      <c r="HN36" s="865"/>
      <c r="HO36" s="865"/>
      <c r="HP36" s="865"/>
      <c r="HQ36" s="865"/>
      <c r="HR36" s="865"/>
      <c r="HS36" s="865"/>
      <c r="HT36" s="865"/>
      <c r="HU36" s="865"/>
      <c r="HV36" s="865"/>
      <c r="HW36" s="865"/>
      <c r="HX36" s="865"/>
      <c r="HY36" s="865"/>
      <c r="HZ36" s="865"/>
      <c r="IA36" s="865"/>
      <c r="IB36" s="865"/>
      <c r="IC36" s="865"/>
      <c r="ID36" s="865"/>
      <c r="IE36" s="865"/>
      <c r="IF36" s="865"/>
      <c r="IG36" s="865"/>
      <c r="IH36" s="865"/>
      <c r="II36" s="865"/>
      <c r="IJ36" s="865"/>
      <c r="IK36" s="865"/>
      <c r="IL36" s="865"/>
      <c r="IM36" s="865"/>
      <c r="IN36" s="865"/>
      <c r="IO36" s="865"/>
      <c r="IP36" s="865"/>
      <c r="IQ36" s="865"/>
      <c r="IR36" s="865"/>
      <c r="IS36" s="865"/>
      <c r="IT36" s="865"/>
      <c r="IU36" s="865"/>
      <c r="IV36" s="865"/>
      <c r="IW36" s="558"/>
    </row>
    <row r="37" customFormat="false" ht="12" hidden="false" customHeight="true" outlineLevel="0" collapsed="false">
      <c r="A37" s="888" t="s">
        <v>636</v>
      </c>
      <c r="B37" s="889"/>
      <c r="C37" s="889"/>
      <c r="D37" s="890" t="n">
        <f aca="false">SUM(D35:D36)</f>
        <v>0</v>
      </c>
      <c r="E37" s="890" t="n">
        <f aca="false">SUM(E35:E36)</f>
        <v>0</v>
      </c>
      <c r="F37" s="890" t="n">
        <f aca="false">SUM(F35:F36)</f>
        <v>0</v>
      </c>
      <c r="G37" s="890" t="n">
        <f aca="false">SUM(G35:G36)</f>
        <v>0</v>
      </c>
      <c r="H37" s="890" t="n">
        <f aca="false">SUM(H35:H36)</f>
        <v>0</v>
      </c>
      <c r="I37" s="890" t="n">
        <f aca="false">SUM(I35:I36)</f>
        <v>143.643677853833</v>
      </c>
      <c r="J37" s="890" t="n">
        <f aca="false">SUM(J35:J36)</f>
        <v>715.665871098116</v>
      </c>
      <c r="K37" s="890" t="n">
        <f aca="false">SUM(K35:K36)</f>
        <v>752.217459894144</v>
      </c>
      <c r="L37" s="890" t="n">
        <f aca="false">SUM(L35:L36)</f>
        <v>821.223097911306</v>
      </c>
      <c r="M37" s="890" t="n">
        <f aca="false">SUM(M35:M36)</f>
        <v>870.465037772628</v>
      </c>
      <c r="N37" s="890" t="n">
        <f aca="false">SUM(N35:N36)</f>
        <v>964.027813079668</v>
      </c>
      <c r="O37" s="890" t="n">
        <f aca="false">SUM(O35:O36)</f>
        <v>949.168755115388</v>
      </c>
      <c r="P37" s="890" t="n">
        <f aca="false">SUM(P35:P36)</f>
        <v>1017.26768641676</v>
      </c>
      <c r="Q37" s="890" t="n">
        <f aca="false">SUM(Q35:Q36)</f>
        <v>1049.20695144527</v>
      </c>
      <c r="R37" s="890" t="n">
        <f aca="false">SUM(R35:R36)</f>
        <v>1081.941884103</v>
      </c>
      <c r="S37" s="890" t="n">
        <f aca="false">SUM(S35:S36)</f>
        <v>1334.39598770519</v>
      </c>
      <c r="T37" s="890" t="n">
        <f aca="false">SUM(T35:T36)</f>
        <v>1592.16156418995</v>
      </c>
      <c r="U37" s="890" t="n">
        <f aca="false">SUM(U35:U36)</f>
        <v>1641.80307144277</v>
      </c>
      <c r="V37" s="890" t="n">
        <f aca="false">SUM(V35:V36)</f>
        <v>1691.33235329355</v>
      </c>
      <c r="W37" s="890" t="n">
        <f aca="false">SUM(W35:W36)</f>
        <v>1742.66336849847</v>
      </c>
      <c r="X37" s="890" t="n">
        <f aca="false">SUM(X35:X36)</f>
        <v>1798.75491957637</v>
      </c>
      <c r="Y37" s="890" t="n">
        <f aca="false">SUM(Y35:Y36)</f>
        <v>0</v>
      </c>
      <c r="Z37" s="890" t="n">
        <f aca="false">SUM(Z35:Z36)</f>
        <v>0</v>
      </c>
      <c r="AA37" s="890" t="n">
        <f aca="false">SUM(AA35:AA36)</f>
        <v>0</v>
      </c>
      <c r="AB37" s="891" t="n">
        <f aca="false">SUM(AB35:AB36)</f>
        <v>0</v>
      </c>
      <c r="AC37" s="385"/>
      <c r="AD37" s="385"/>
      <c r="AE37" s="865"/>
      <c r="AF37" s="865"/>
      <c r="AG37" s="865"/>
      <c r="AH37" s="865"/>
      <c r="AI37" s="865"/>
      <c r="AJ37" s="865"/>
      <c r="AK37" s="865"/>
      <c r="AL37" s="865"/>
      <c r="AM37" s="865"/>
      <c r="AN37" s="865"/>
      <c r="AO37" s="865"/>
      <c r="AP37" s="865"/>
      <c r="AQ37" s="865"/>
      <c r="AR37" s="865"/>
      <c r="AS37" s="865"/>
      <c r="AT37" s="865"/>
      <c r="AU37" s="865"/>
      <c r="AV37" s="865"/>
      <c r="AW37" s="865"/>
      <c r="AX37" s="865"/>
      <c r="AY37" s="865"/>
      <c r="AZ37" s="865"/>
      <c r="BA37" s="865"/>
      <c r="BB37" s="865"/>
      <c r="BC37" s="865"/>
      <c r="BD37" s="865"/>
      <c r="BE37" s="865"/>
      <c r="BF37" s="865"/>
      <c r="BG37" s="865"/>
      <c r="BH37" s="865"/>
      <c r="BI37" s="865"/>
      <c r="BJ37" s="865"/>
      <c r="BK37" s="865"/>
      <c r="BL37" s="865"/>
      <c r="BM37" s="865"/>
      <c r="BN37" s="865"/>
      <c r="BO37" s="865"/>
      <c r="BP37" s="865"/>
      <c r="BQ37" s="865"/>
      <c r="BR37" s="865"/>
      <c r="BS37" s="865"/>
      <c r="BT37" s="865"/>
      <c r="BU37" s="865"/>
      <c r="BV37" s="865"/>
      <c r="BW37" s="865"/>
      <c r="BX37" s="865"/>
      <c r="BY37" s="865"/>
      <c r="BZ37" s="865"/>
      <c r="CA37" s="865"/>
      <c r="CB37" s="865"/>
      <c r="CC37" s="865"/>
      <c r="CD37" s="865"/>
      <c r="CE37" s="865"/>
      <c r="CF37" s="865"/>
      <c r="CG37" s="865"/>
      <c r="CH37" s="865"/>
      <c r="CI37" s="865"/>
      <c r="CJ37" s="865"/>
      <c r="CK37" s="865"/>
      <c r="CL37" s="865"/>
      <c r="CM37" s="865"/>
      <c r="CN37" s="865"/>
      <c r="CO37" s="865"/>
      <c r="CP37" s="865"/>
      <c r="CQ37" s="865"/>
      <c r="CR37" s="865"/>
      <c r="CS37" s="865"/>
      <c r="CT37" s="865"/>
      <c r="CU37" s="865"/>
      <c r="CV37" s="865"/>
      <c r="CW37" s="865"/>
      <c r="CX37" s="865"/>
      <c r="CY37" s="865"/>
      <c r="CZ37" s="865"/>
      <c r="DA37" s="865"/>
      <c r="DB37" s="865"/>
      <c r="DC37" s="865"/>
      <c r="DD37" s="865"/>
      <c r="DE37" s="865"/>
      <c r="DF37" s="865"/>
      <c r="DG37" s="865"/>
      <c r="DH37" s="865"/>
      <c r="DI37" s="865"/>
      <c r="DJ37" s="865"/>
      <c r="DK37" s="865"/>
      <c r="DL37" s="865"/>
      <c r="DM37" s="865"/>
      <c r="DN37" s="865"/>
      <c r="DO37" s="865"/>
      <c r="DP37" s="865"/>
      <c r="DQ37" s="865"/>
      <c r="DR37" s="865"/>
      <c r="DS37" s="865"/>
      <c r="DT37" s="865"/>
      <c r="DU37" s="865"/>
      <c r="DV37" s="865"/>
      <c r="DW37" s="865"/>
      <c r="DX37" s="865"/>
      <c r="DY37" s="865"/>
      <c r="DZ37" s="865"/>
      <c r="EA37" s="865"/>
      <c r="EB37" s="865"/>
      <c r="EC37" s="865"/>
      <c r="ED37" s="865"/>
      <c r="EE37" s="865"/>
      <c r="EF37" s="865"/>
      <c r="EG37" s="865"/>
      <c r="EH37" s="865"/>
      <c r="EI37" s="865"/>
      <c r="EJ37" s="865"/>
      <c r="EK37" s="865"/>
      <c r="EL37" s="865"/>
      <c r="EM37" s="865"/>
      <c r="EN37" s="865"/>
      <c r="EO37" s="865"/>
      <c r="EP37" s="865"/>
      <c r="EQ37" s="865"/>
      <c r="ER37" s="865"/>
      <c r="ES37" s="865"/>
      <c r="ET37" s="865"/>
      <c r="EU37" s="865"/>
      <c r="EV37" s="865"/>
      <c r="EW37" s="865"/>
      <c r="EX37" s="865"/>
      <c r="EY37" s="865"/>
      <c r="EZ37" s="865"/>
      <c r="FA37" s="865"/>
      <c r="FB37" s="865"/>
      <c r="FC37" s="865"/>
      <c r="FD37" s="865"/>
      <c r="FE37" s="865"/>
      <c r="FF37" s="865"/>
      <c r="FG37" s="865"/>
      <c r="FH37" s="865"/>
      <c r="FI37" s="865"/>
      <c r="FJ37" s="865"/>
      <c r="FK37" s="865"/>
      <c r="FL37" s="865"/>
      <c r="FM37" s="865"/>
      <c r="FN37" s="865"/>
      <c r="FO37" s="865"/>
      <c r="FP37" s="865"/>
      <c r="FQ37" s="865"/>
      <c r="FR37" s="865"/>
      <c r="FS37" s="865"/>
      <c r="FT37" s="865"/>
      <c r="FU37" s="865"/>
      <c r="FV37" s="865"/>
      <c r="FW37" s="865"/>
      <c r="FX37" s="865"/>
      <c r="FY37" s="865"/>
      <c r="FZ37" s="865"/>
      <c r="GA37" s="865"/>
      <c r="GB37" s="865"/>
      <c r="GC37" s="865"/>
      <c r="GD37" s="865"/>
      <c r="GE37" s="865"/>
      <c r="GF37" s="865"/>
      <c r="GG37" s="865"/>
      <c r="GH37" s="865"/>
      <c r="GI37" s="865"/>
      <c r="GJ37" s="865"/>
      <c r="GK37" s="865"/>
      <c r="GL37" s="865"/>
      <c r="GM37" s="865"/>
      <c r="GN37" s="865"/>
      <c r="GO37" s="865"/>
      <c r="GP37" s="865"/>
      <c r="GQ37" s="865"/>
      <c r="GR37" s="865"/>
      <c r="GS37" s="865"/>
      <c r="GT37" s="865"/>
      <c r="GU37" s="865"/>
      <c r="GV37" s="865"/>
      <c r="GW37" s="865"/>
      <c r="GX37" s="865"/>
      <c r="GY37" s="865"/>
      <c r="GZ37" s="865"/>
      <c r="HA37" s="865"/>
      <c r="HB37" s="865"/>
      <c r="HC37" s="865"/>
      <c r="HD37" s="865"/>
      <c r="HE37" s="865"/>
      <c r="HF37" s="865"/>
      <c r="HG37" s="865"/>
      <c r="HH37" s="865"/>
      <c r="HI37" s="865"/>
      <c r="HJ37" s="865"/>
      <c r="HK37" s="865"/>
      <c r="HL37" s="865"/>
      <c r="HM37" s="865"/>
      <c r="HN37" s="865"/>
      <c r="HO37" s="865"/>
      <c r="HP37" s="865"/>
      <c r="HQ37" s="865"/>
      <c r="HR37" s="865"/>
      <c r="HS37" s="865"/>
      <c r="HT37" s="865"/>
      <c r="HU37" s="865"/>
      <c r="HV37" s="865"/>
      <c r="HW37" s="865"/>
      <c r="HX37" s="865"/>
      <c r="HY37" s="865"/>
      <c r="HZ37" s="865"/>
      <c r="IA37" s="865"/>
      <c r="IB37" s="865"/>
      <c r="IC37" s="865"/>
      <c r="ID37" s="865"/>
      <c r="IE37" s="865"/>
      <c r="IF37" s="865"/>
      <c r="IG37" s="865"/>
      <c r="IH37" s="865"/>
      <c r="II37" s="865"/>
      <c r="IJ37" s="865"/>
      <c r="IK37" s="865"/>
      <c r="IL37" s="865"/>
      <c r="IM37" s="865"/>
      <c r="IN37" s="865"/>
      <c r="IO37" s="865"/>
      <c r="IP37" s="865"/>
      <c r="IQ37" s="865"/>
      <c r="IR37" s="865"/>
      <c r="IS37" s="865"/>
      <c r="IT37" s="865"/>
      <c r="IU37" s="865"/>
      <c r="IV37" s="865"/>
      <c r="IW37" s="558"/>
    </row>
    <row r="38" customFormat="false" ht="12" hidden="false" customHeight="true" outlineLevel="0" collapsed="false">
      <c r="A38" s="892"/>
      <c r="B38" s="385"/>
      <c r="C38" s="385"/>
      <c r="D38" s="438"/>
      <c r="E38" s="438"/>
      <c r="F38" s="438"/>
      <c r="G38" s="438"/>
      <c r="H38" s="438"/>
      <c r="I38" s="438"/>
      <c r="J38" s="438"/>
      <c r="K38" s="438"/>
      <c r="L38" s="438"/>
      <c r="M38" s="438"/>
      <c r="N38" s="438"/>
      <c r="O38" s="438"/>
      <c r="P38" s="438"/>
      <c r="Q38" s="438"/>
      <c r="R38" s="438"/>
      <c r="S38" s="438"/>
      <c r="T38" s="438"/>
      <c r="U38" s="438"/>
      <c r="V38" s="438"/>
      <c r="W38" s="438"/>
      <c r="X38" s="438"/>
      <c r="Y38" s="438"/>
      <c r="Z38" s="438"/>
      <c r="AA38" s="438"/>
      <c r="AB38" s="438"/>
      <c r="AC38" s="385"/>
      <c r="AD38" s="385"/>
      <c r="AE38" s="865"/>
      <c r="AF38" s="865"/>
      <c r="AG38" s="865"/>
      <c r="AH38" s="865"/>
      <c r="AI38" s="865"/>
      <c r="AJ38" s="865"/>
      <c r="AK38" s="865"/>
      <c r="AL38" s="865"/>
      <c r="AM38" s="865"/>
      <c r="AN38" s="865"/>
      <c r="AO38" s="865"/>
      <c r="AP38" s="865"/>
      <c r="AQ38" s="865"/>
      <c r="AR38" s="865"/>
      <c r="AS38" s="865"/>
      <c r="AT38" s="865"/>
      <c r="AU38" s="865"/>
      <c r="AV38" s="865"/>
      <c r="AW38" s="865"/>
      <c r="AX38" s="865"/>
      <c r="AY38" s="865"/>
      <c r="AZ38" s="865"/>
      <c r="BA38" s="865"/>
      <c r="BB38" s="865"/>
      <c r="BC38" s="865"/>
      <c r="BD38" s="865"/>
      <c r="BE38" s="865"/>
      <c r="BF38" s="865"/>
      <c r="BG38" s="865"/>
      <c r="BH38" s="865"/>
      <c r="BI38" s="865"/>
      <c r="BJ38" s="865"/>
      <c r="BK38" s="865"/>
      <c r="BL38" s="865"/>
      <c r="BM38" s="865"/>
      <c r="BN38" s="865"/>
      <c r="BO38" s="865"/>
      <c r="BP38" s="865"/>
      <c r="BQ38" s="865"/>
      <c r="BR38" s="865"/>
      <c r="BS38" s="865"/>
      <c r="BT38" s="865"/>
      <c r="BU38" s="865"/>
      <c r="BV38" s="865"/>
      <c r="BW38" s="865"/>
      <c r="BX38" s="865"/>
      <c r="BY38" s="865"/>
      <c r="BZ38" s="865"/>
      <c r="CA38" s="865"/>
      <c r="CB38" s="865"/>
      <c r="CC38" s="865"/>
      <c r="CD38" s="865"/>
      <c r="CE38" s="865"/>
      <c r="CF38" s="865"/>
      <c r="CG38" s="865"/>
      <c r="CH38" s="865"/>
      <c r="CI38" s="865"/>
      <c r="CJ38" s="865"/>
      <c r="CK38" s="865"/>
      <c r="CL38" s="865"/>
      <c r="CM38" s="865"/>
      <c r="CN38" s="865"/>
      <c r="CO38" s="865"/>
      <c r="CP38" s="865"/>
      <c r="CQ38" s="865"/>
      <c r="CR38" s="865"/>
      <c r="CS38" s="865"/>
      <c r="CT38" s="865"/>
      <c r="CU38" s="865"/>
      <c r="CV38" s="865"/>
      <c r="CW38" s="865"/>
      <c r="CX38" s="865"/>
      <c r="CY38" s="865"/>
      <c r="CZ38" s="865"/>
      <c r="DA38" s="865"/>
      <c r="DB38" s="865"/>
      <c r="DC38" s="865"/>
      <c r="DD38" s="865"/>
      <c r="DE38" s="865"/>
      <c r="DF38" s="865"/>
      <c r="DG38" s="865"/>
      <c r="DH38" s="865"/>
      <c r="DI38" s="865"/>
      <c r="DJ38" s="865"/>
      <c r="DK38" s="865"/>
      <c r="DL38" s="865"/>
      <c r="DM38" s="865"/>
      <c r="DN38" s="865"/>
      <c r="DO38" s="865"/>
      <c r="DP38" s="865"/>
      <c r="DQ38" s="865"/>
      <c r="DR38" s="865"/>
      <c r="DS38" s="865"/>
      <c r="DT38" s="865"/>
      <c r="DU38" s="865"/>
      <c r="DV38" s="865"/>
      <c r="DW38" s="865"/>
      <c r="DX38" s="865"/>
      <c r="DY38" s="865"/>
      <c r="DZ38" s="865"/>
      <c r="EA38" s="865"/>
      <c r="EB38" s="865"/>
      <c r="EC38" s="865"/>
      <c r="ED38" s="865"/>
      <c r="EE38" s="865"/>
      <c r="EF38" s="865"/>
      <c r="EG38" s="865"/>
      <c r="EH38" s="865"/>
      <c r="EI38" s="865"/>
      <c r="EJ38" s="865"/>
      <c r="EK38" s="865"/>
      <c r="EL38" s="865"/>
      <c r="EM38" s="865"/>
      <c r="EN38" s="865"/>
      <c r="EO38" s="865"/>
      <c r="EP38" s="865"/>
      <c r="EQ38" s="865"/>
      <c r="ER38" s="865"/>
      <c r="ES38" s="865"/>
      <c r="ET38" s="865"/>
      <c r="EU38" s="865"/>
      <c r="EV38" s="865"/>
      <c r="EW38" s="865"/>
      <c r="EX38" s="865"/>
      <c r="EY38" s="865"/>
      <c r="EZ38" s="865"/>
      <c r="FA38" s="865"/>
      <c r="FB38" s="865"/>
      <c r="FC38" s="865"/>
      <c r="FD38" s="865"/>
      <c r="FE38" s="865"/>
      <c r="FF38" s="865"/>
      <c r="FG38" s="865"/>
      <c r="FH38" s="865"/>
      <c r="FI38" s="865"/>
      <c r="FJ38" s="865"/>
      <c r="FK38" s="865"/>
      <c r="FL38" s="865"/>
      <c r="FM38" s="865"/>
      <c r="FN38" s="865"/>
      <c r="FO38" s="865"/>
      <c r="FP38" s="865"/>
      <c r="FQ38" s="865"/>
      <c r="FR38" s="865"/>
      <c r="FS38" s="865"/>
      <c r="FT38" s="865"/>
      <c r="FU38" s="865"/>
      <c r="FV38" s="865"/>
      <c r="FW38" s="865"/>
      <c r="FX38" s="865"/>
      <c r="FY38" s="865"/>
      <c r="FZ38" s="865"/>
      <c r="GA38" s="865"/>
      <c r="GB38" s="865"/>
      <c r="GC38" s="865"/>
      <c r="GD38" s="865"/>
      <c r="GE38" s="865"/>
      <c r="GF38" s="865"/>
      <c r="GG38" s="865"/>
      <c r="GH38" s="865"/>
      <c r="GI38" s="865"/>
      <c r="GJ38" s="865"/>
      <c r="GK38" s="865"/>
      <c r="GL38" s="865"/>
      <c r="GM38" s="865"/>
      <c r="GN38" s="865"/>
      <c r="GO38" s="865"/>
      <c r="GP38" s="865"/>
      <c r="GQ38" s="865"/>
      <c r="GR38" s="865"/>
      <c r="GS38" s="865"/>
      <c r="GT38" s="865"/>
      <c r="GU38" s="865"/>
      <c r="GV38" s="865"/>
      <c r="GW38" s="865"/>
      <c r="GX38" s="865"/>
      <c r="GY38" s="865"/>
      <c r="GZ38" s="865"/>
      <c r="HA38" s="865"/>
      <c r="HB38" s="865"/>
      <c r="HC38" s="865"/>
      <c r="HD38" s="865"/>
      <c r="HE38" s="865"/>
      <c r="HF38" s="865"/>
      <c r="HG38" s="865"/>
      <c r="HH38" s="865"/>
      <c r="HI38" s="865"/>
      <c r="HJ38" s="865"/>
      <c r="HK38" s="865"/>
      <c r="HL38" s="865"/>
      <c r="HM38" s="865"/>
      <c r="HN38" s="865"/>
      <c r="HO38" s="865"/>
      <c r="HP38" s="865"/>
      <c r="HQ38" s="865"/>
      <c r="HR38" s="865"/>
      <c r="HS38" s="865"/>
      <c r="HT38" s="865"/>
      <c r="HU38" s="865"/>
      <c r="HV38" s="865"/>
      <c r="HW38" s="865"/>
      <c r="HX38" s="865"/>
      <c r="HY38" s="865"/>
      <c r="HZ38" s="865"/>
      <c r="IA38" s="865"/>
      <c r="IB38" s="865"/>
      <c r="IC38" s="865"/>
      <c r="ID38" s="865"/>
      <c r="IE38" s="865"/>
      <c r="IF38" s="865"/>
      <c r="IG38" s="865"/>
      <c r="IH38" s="865"/>
      <c r="II38" s="865"/>
      <c r="IJ38" s="865"/>
      <c r="IK38" s="865"/>
      <c r="IL38" s="865"/>
      <c r="IM38" s="865"/>
      <c r="IN38" s="865"/>
      <c r="IO38" s="865"/>
      <c r="IP38" s="865"/>
      <c r="IQ38" s="865"/>
      <c r="IR38" s="865"/>
      <c r="IS38" s="865"/>
      <c r="IT38" s="865"/>
      <c r="IU38" s="865"/>
      <c r="IV38" s="865"/>
      <c r="IW38" s="558"/>
    </row>
    <row r="39" customFormat="false" ht="12" hidden="false" customHeight="true" outlineLevel="0" collapsed="false">
      <c r="A39" s="893" t="s">
        <v>637</v>
      </c>
      <c r="B39" s="380"/>
      <c r="C39" s="380"/>
      <c r="D39" s="380"/>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540"/>
      <c r="AC39" s="385"/>
      <c r="AD39" s="385"/>
    </row>
    <row r="40" customFormat="false" ht="12" hidden="false" customHeight="true" outlineLevel="0" collapsed="false">
      <c r="A40" s="863"/>
      <c r="B40" s="385"/>
      <c r="C40" s="385"/>
      <c r="D40" s="385"/>
      <c r="E40" s="385"/>
      <c r="F40" s="385"/>
      <c r="G40" s="385"/>
      <c r="H40" s="385"/>
      <c r="I40" s="385"/>
      <c r="J40" s="385"/>
      <c r="K40" s="385"/>
      <c r="L40" s="385"/>
      <c r="M40" s="385"/>
      <c r="N40" s="385"/>
      <c r="O40" s="385"/>
      <c r="P40" s="385"/>
      <c r="Q40" s="385"/>
      <c r="R40" s="385"/>
      <c r="S40" s="385"/>
      <c r="T40" s="385"/>
      <c r="U40" s="385"/>
      <c r="V40" s="385"/>
      <c r="W40" s="385"/>
      <c r="X40" s="385"/>
      <c r="Y40" s="385"/>
      <c r="Z40" s="385"/>
      <c r="AA40" s="385"/>
      <c r="AB40" s="416"/>
      <c r="AC40" s="385"/>
      <c r="AD40" s="385"/>
    </row>
    <row r="41" customFormat="false" ht="12" hidden="false" customHeight="true" outlineLevel="0" collapsed="false">
      <c r="A41" s="791" t="s">
        <v>620</v>
      </c>
      <c r="B41" s="385"/>
      <c r="C41" s="789"/>
      <c r="D41" s="894" t="n">
        <f aca="false">D18</f>
        <v>-3124.19495534436</v>
      </c>
      <c r="E41" s="894" t="n">
        <f aca="false">E18</f>
        <v>5454.8448235857</v>
      </c>
      <c r="F41" s="894" t="n">
        <f aca="false">F18</f>
        <v>5980.49699906176</v>
      </c>
      <c r="G41" s="894" t="n">
        <f aca="false">G18</f>
        <v>6385.41455898719</v>
      </c>
      <c r="H41" s="894" t="n">
        <f aca="false">H18</f>
        <v>12664.4646715886</v>
      </c>
      <c r="I41" s="894" t="n">
        <f aca="false">I18</f>
        <v>17719.0321535978</v>
      </c>
      <c r="J41" s="894" t="n">
        <f aca="false">J18</f>
        <v>18758.5697579623</v>
      </c>
      <c r="K41" s="894" t="n">
        <f aca="false">K18</f>
        <v>19494.6958522829</v>
      </c>
      <c r="L41" s="894" t="n">
        <f aca="false">L18</f>
        <v>20860.1142942261</v>
      </c>
      <c r="M41" s="894" t="n">
        <f aca="false">M18</f>
        <v>21859.6474098526</v>
      </c>
      <c r="N41" s="894" t="n">
        <f aca="false">N18</f>
        <v>23716.2085975934</v>
      </c>
      <c r="O41" s="894" t="n">
        <f aca="false">O18</f>
        <v>23433.7217567078</v>
      </c>
      <c r="P41" s="894" t="n">
        <f aca="false">P18</f>
        <v>24781.0060643353</v>
      </c>
      <c r="Q41" s="894" t="n">
        <f aca="false">Q18</f>
        <v>25434.4856833054</v>
      </c>
      <c r="R41" s="894" t="n">
        <f aca="false">R18</f>
        <v>26074.4900180599</v>
      </c>
      <c r="S41" s="894" t="n">
        <f aca="false">S18</f>
        <v>26699.9481621037</v>
      </c>
      <c r="T41" s="894" t="n">
        <f aca="false">T18</f>
        <v>27343.4357637991</v>
      </c>
      <c r="U41" s="894" t="n">
        <f aca="false">U18</f>
        <v>28247.7659088554</v>
      </c>
      <c r="V41" s="894" t="n">
        <f aca="false">V18</f>
        <v>29238.351545871</v>
      </c>
      <c r="W41" s="894" t="n">
        <f aca="false">W18</f>
        <v>30264.9718499694</v>
      </c>
      <c r="X41" s="894" t="n">
        <f aca="false">X18</f>
        <v>31350.5487048607</v>
      </c>
      <c r="Y41" s="894" t="n">
        <f aca="false">Y18</f>
        <v>0</v>
      </c>
      <c r="Z41" s="894" t="n">
        <f aca="false">Z18</f>
        <v>0</v>
      </c>
      <c r="AA41" s="894" t="n">
        <f aca="false">AA18</f>
        <v>0</v>
      </c>
      <c r="AB41" s="895" t="n">
        <f aca="false">AB18</f>
        <v>0</v>
      </c>
      <c r="AC41" s="894"/>
      <c r="AD41" s="894"/>
    </row>
    <row r="42" customFormat="false" ht="12" hidden="false" customHeight="true" outlineLevel="0" collapsed="false">
      <c r="A42" s="791" t="s">
        <v>623</v>
      </c>
      <c r="B42" s="385"/>
      <c r="C42" s="789"/>
      <c r="D42" s="896" t="n">
        <f aca="false">D21</f>
        <v>2151.86013333333</v>
      </c>
      <c r="E42" s="896" t="n">
        <f aca="false">E21</f>
        <v>5201.96432</v>
      </c>
      <c r="F42" s="896" t="n">
        <f aca="false">F21</f>
        <v>5254.46432</v>
      </c>
      <c r="G42" s="896" t="n">
        <f aca="false">G21</f>
        <v>5254.46432</v>
      </c>
      <c r="H42" s="896" t="n">
        <f aca="false">H21</f>
        <v>5254.46432</v>
      </c>
      <c r="I42" s="896" t="n">
        <f aca="false">I21</f>
        <v>5002.78982</v>
      </c>
      <c r="J42" s="896" t="n">
        <f aca="false">J21</f>
        <v>4650.44552</v>
      </c>
      <c r="K42" s="896" t="n">
        <f aca="false">K21</f>
        <v>4650.44552</v>
      </c>
      <c r="L42" s="896" t="n">
        <f aca="false">L21</f>
        <v>4650.44552</v>
      </c>
      <c r="M42" s="896" t="n">
        <f aca="false">M21</f>
        <v>4650.44552</v>
      </c>
      <c r="N42" s="896" t="n">
        <f aca="false">N21</f>
        <v>4650.44552</v>
      </c>
      <c r="O42" s="896" t="n">
        <f aca="false">O21</f>
        <v>4650.44552</v>
      </c>
      <c r="P42" s="896" t="n">
        <f aca="false">P21</f>
        <v>4650.44552</v>
      </c>
      <c r="Q42" s="896" t="n">
        <f aca="false">Q21</f>
        <v>4650.44552</v>
      </c>
      <c r="R42" s="896" t="n">
        <f aca="false">R21</f>
        <v>4650.44552</v>
      </c>
      <c r="S42" s="896" t="n">
        <f aca="false">S21</f>
        <v>4650.44552</v>
      </c>
      <c r="T42" s="896" t="n">
        <f aca="false">T21</f>
        <v>4650.44552</v>
      </c>
      <c r="U42" s="896" t="n">
        <f aca="false">U21</f>
        <v>4650.44552</v>
      </c>
      <c r="V42" s="896" t="n">
        <f aca="false">V21</f>
        <v>4650.44552</v>
      </c>
      <c r="W42" s="896" t="n">
        <f aca="false">W21</f>
        <v>4650.44552</v>
      </c>
      <c r="X42" s="896" t="n">
        <f aca="false">X21</f>
        <v>4624.54968666667</v>
      </c>
      <c r="Y42" s="896" t="n">
        <f aca="false">Y21</f>
        <v>0</v>
      </c>
      <c r="Z42" s="896" t="n">
        <f aca="false">Z21</f>
        <v>0</v>
      </c>
      <c r="AA42" s="896" t="n">
        <f aca="false">AA21</f>
        <v>0</v>
      </c>
      <c r="AB42" s="897" t="n">
        <f aca="false">AB21</f>
        <v>0</v>
      </c>
      <c r="AC42" s="792"/>
      <c r="AD42" s="792"/>
    </row>
    <row r="43" customFormat="false" ht="12" hidden="false" customHeight="true" outlineLevel="0" collapsed="false">
      <c r="A43" s="833"/>
      <c r="B43" s="557"/>
      <c r="C43" s="557"/>
      <c r="D43" s="557" t="n">
        <f aca="false">SUM(D41:D42)</f>
        <v>-972.334822011031</v>
      </c>
      <c r="E43" s="557" t="n">
        <f aca="false">SUM(E41:E42)</f>
        <v>10656.8091435857</v>
      </c>
      <c r="F43" s="557" t="n">
        <f aca="false">SUM(F41:F42)</f>
        <v>11234.9613190618</v>
      </c>
      <c r="G43" s="557" t="n">
        <f aca="false">SUM(G41:G42)</f>
        <v>11639.8788789872</v>
      </c>
      <c r="H43" s="557" t="n">
        <f aca="false">SUM(H41:H42)</f>
        <v>17918.9289915886</v>
      </c>
      <c r="I43" s="557" t="n">
        <f aca="false">SUM(I41:I42)</f>
        <v>22721.8219735978</v>
      </c>
      <c r="J43" s="557" t="n">
        <f aca="false">SUM(J41:J42)</f>
        <v>23409.0152779623</v>
      </c>
      <c r="K43" s="557" t="n">
        <f aca="false">SUM(K41:K42)</f>
        <v>24145.1413722829</v>
      </c>
      <c r="L43" s="557" t="n">
        <f aca="false">SUM(L41:L42)</f>
        <v>25510.5598142261</v>
      </c>
      <c r="M43" s="557" t="n">
        <f aca="false">SUM(M41:M42)</f>
        <v>26510.0929298526</v>
      </c>
      <c r="N43" s="557" t="n">
        <f aca="false">SUM(N41:N42)</f>
        <v>28366.6541175934</v>
      </c>
      <c r="O43" s="557" t="n">
        <f aca="false">SUM(O41:O42)</f>
        <v>28084.1672767078</v>
      </c>
      <c r="P43" s="557" t="n">
        <f aca="false">SUM(P41:P42)</f>
        <v>29431.4515843353</v>
      </c>
      <c r="Q43" s="557" t="n">
        <f aca="false">SUM(Q41:Q42)</f>
        <v>30084.9312033054</v>
      </c>
      <c r="R43" s="557" t="n">
        <f aca="false">SUM(R41:R42)</f>
        <v>30724.9355380599</v>
      </c>
      <c r="S43" s="557" t="n">
        <f aca="false">SUM(S41:S42)</f>
        <v>31350.3936821037</v>
      </c>
      <c r="T43" s="557" t="n">
        <f aca="false">SUM(T41:T42)</f>
        <v>31993.8812837991</v>
      </c>
      <c r="U43" s="557" t="n">
        <f aca="false">SUM(U41:U42)</f>
        <v>32898.2114288554</v>
      </c>
      <c r="V43" s="557" t="n">
        <f aca="false">SUM(V41:V42)</f>
        <v>33888.797065871</v>
      </c>
      <c r="W43" s="557" t="n">
        <f aca="false">SUM(W41:W42)</f>
        <v>34915.4173699694</v>
      </c>
      <c r="X43" s="557" t="n">
        <f aca="false">SUM(X41:X42)</f>
        <v>35975.0983915274</v>
      </c>
      <c r="Y43" s="557" t="n">
        <f aca="false">SUM(Y41:Y42)</f>
        <v>0</v>
      </c>
      <c r="Z43" s="557" t="n">
        <f aca="false">SUM(Z41:Z42)</f>
        <v>0</v>
      </c>
      <c r="AA43" s="557" t="n">
        <f aca="false">SUM(AA41:AA42)</f>
        <v>0</v>
      </c>
      <c r="AB43" s="795" t="n">
        <f aca="false">SUM(AB41:AB42)</f>
        <v>0</v>
      </c>
      <c r="AC43" s="557"/>
      <c r="AD43" s="557"/>
      <c r="AE43" s="558"/>
      <c r="AF43" s="558"/>
      <c r="AG43" s="558"/>
      <c r="AH43" s="558"/>
      <c r="AI43" s="558"/>
      <c r="AJ43" s="558"/>
      <c r="AK43" s="558"/>
      <c r="AL43" s="558"/>
      <c r="AM43" s="558"/>
      <c r="AN43" s="558"/>
      <c r="AO43" s="558"/>
      <c r="AP43" s="558"/>
      <c r="AQ43" s="558"/>
      <c r="AR43" s="558"/>
      <c r="AS43" s="558"/>
      <c r="AT43" s="558"/>
      <c r="AU43" s="558"/>
      <c r="AV43" s="558"/>
      <c r="AW43" s="558"/>
      <c r="AX43" s="558"/>
      <c r="AY43" s="558"/>
      <c r="AZ43" s="558"/>
      <c r="BA43" s="558"/>
      <c r="BB43" s="558"/>
      <c r="BC43" s="558"/>
      <c r="BD43" s="558"/>
      <c r="BE43" s="558"/>
      <c r="BF43" s="558"/>
      <c r="BG43" s="558"/>
      <c r="BH43" s="558"/>
      <c r="BI43" s="558"/>
      <c r="BJ43" s="558"/>
      <c r="BK43" s="558"/>
      <c r="BL43" s="558"/>
      <c r="BM43" s="558"/>
      <c r="BN43" s="558"/>
      <c r="BO43" s="558"/>
      <c r="BP43" s="558"/>
      <c r="BQ43" s="558"/>
      <c r="BR43" s="558"/>
      <c r="BS43" s="558"/>
      <c r="BT43" s="558"/>
      <c r="BU43" s="558"/>
      <c r="BV43" s="558"/>
      <c r="BW43" s="558"/>
      <c r="BX43" s="558"/>
      <c r="BY43" s="558"/>
      <c r="BZ43" s="558"/>
      <c r="CA43" s="558"/>
      <c r="CB43" s="558"/>
      <c r="CC43" s="558"/>
      <c r="CD43" s="558"/>
      <c r="CE43" s="558"/>
      <c r="CF43" s="558"/>
      <c r="CG43" s="558"/>
      <c r="CH43" s="558"/>
      <c r="CI43" s="558"/>
      <c r="CJ43" s="558"/>
      <c r="CK43" s="558"/>
      <c r="CL43" s="558"/>
      <c r="CM43" s="558"/>
      <c r="CN43" s="558"/>
      <c r="CO43" s="558"/>
      <c r="CP43" s="558"/>
      <c r="CQ43" s="558"/>
      <c r="CR43" s="558"/>
      <c r="CS43" s="558"/>
      <c r="CT43" s="558"/>
      <c r="CU43" s="558"/>
      <c r="CV43" s="558"/>
      <c r="CW43" s="558"/>
      <c r="CX43" s="558"/>
      <c r="CY43" s="558"/>
      <c r="CZ43" s="558"/>
      <c r="DA43" s="558"/>
      <c r="DB43" s="558"/>
      <c r="DC43" s="558"/>
      <c r="DD43" s="558"/>
      <c r="DE43" s="558"/>
      <c r="DF43" s="558"/>
      <c r="DG43" s="558"/>
      <c r="DH43" s="558"/>
      <c r="DI43" s="558"/>
      <c r="DJ43" s="558"/>
      <c r="DK43" s="558"/>
      <c r="DL43" s="558"/>
      <c r="DM43" s="558"/>
      <c r="DN43" s="558"/>
      <c r="DO43" s="558"/>
      <c r="DP43" s="558"/>
      <c r="DQ43" s="558"/>
      <c r="DR43" s="558"/>
      <c r="DS43" s="558"/>
      <c r="DT43" s="558"/>
      <c r="DU43" s="558"/>
      <c r="DV43" s="558"/>
      <c r="DW43" s="558"/>
      <c r="DX43" s="558"/>
      <c r="DY43" s="558"/>
      <c r="DZ43" s="558"/>
      <c r="EA43" s="558"/>
      <c r="EB43" s="558"/>
      <c r="EC43" s="558"/>
      <c r="ED43" s="558"/>
      <c r="EE43" s="558"/>
      <c r="EF43" s="558"/>
      <c r="EG43" s="558"/>
      <c r="EH43" s="558"/>
      <c r="EI43" s="558"/>
      <c r="EJ43" s="558"/>
      <c r="EK43" s="558"/>
      <c r="EL43" s="558"/>
      <c r="EM43" s="558"/>
      <c r="EN43" s="558"/>
      <c r="EO43" s="558"/>
      <c r="EP43" s="558"/>
      <c r="EQ43" s="558"/>
      <c r="ER43" s="558"/>
      <c r="ES43" s="558"/>
      <c r="ET43" s="558"/>
      <c r="EU43" s="558"/>
      <c r="EV43" s="558"/>
      <c r="EW43" s="558"/>
      <c r="EX43" s="558"/>
      <c r="EY43" s="558"/>
      <c r="EZ43" s="558"/>
      <c r="FA43" s="558"/>
      <c r="FB43" s="558"/>
      <c r="FC43" s="558"/>
      <c r="FD43" s="558"/>
      <c r="FE43" s="558"/>
      <c r="FF43" s="558"/>
      <c r="FG43" s="558"/>
      <c r="FH43" s="558"/>
      <c r="FI43" s="558"/>
      <c r="FJ43" s="558"/>
      <c r="FK43" s="558"/>
      <c r="FL43" s="558"/>
      <c r="FM43" s="558"/>
      <c r="FN43" s="558"/>
      <c r="FO43" s="558"/>
      <c r="FP43" s="558"/>
      <c r="FQ43" s="558"/>
      <c r="FR43" s="558"/>
      <c r="FS43" s="558"/>
      <c r="FT43" s="558"/>
      <c r="FU43" s="558"/>
      <c r="FV43" s="558"/>
      <c r="FW43" s="558"/>
      <c r="FX43" s="558"/>
      <c r="FY43" s="558"/>
      <c r="FZ43" s="558"/>
      <c r="GA43" s="558"/>
      <c r="GB43" s="558"/>
      <c r="GC43" s="558"/>
      <c r="GD43" s="558"/>
      <c r="GE43" s="558"/>
      <c r="GF43" s="558"/>
      <c r="GG43" s="558"/>
      <c r="GH43" s="558"/>
      <c r="GI43" s="558"/>
      <c r="GJ43" s="558"/>
      <c r="GK43" s="558"/>
      <c r="GL43" s="558"/>
      <c r="GM43" s="558"/>
      <c r="GN43" s="558"/>
      <c r="GO43" s="558"/>
      <c r="GP43" s="558"/>
      <c r="GQ43" s="558"/>
      <c r="GR43" s="558"/>
      <c r="GS43" s="558"/>
      <c r="GT43" s="558"/>
      <c r="GU43" s="558"/>
      <c r="GV43" s="558"/>
      <c r="GW43" s="558"/>
      <c r="GX43" s="558"/>
      <c r="GY43" s="558"/>
      <c r="GZ43" s="558"/>
      <c r="HA43" s="558"/>
      <c r="HB43" s="558"/>
      <c r="HC43" s="558"/>
      <c r="HD43" s="558"/>
      <c r="HE43" s="558"/>
      <c r="HF43" s="558"/>
      <c r="HG43" s="558"/>
      <c r="HH43" s="558"/>
      <c r="HI43" s="558"/>
      <c r="HJ43" s="558"/>
      <c r="HK43" s="558"/>
      <c r="HL43" s="558"/>
      <c r="HM43" s="558"/>
      <c r="HN43" s="558"/>
      <c r="HO43" s="558"/>
      <c r="HP43" s="558"/>
      <c r="HQ43" s="558"/>
      <c r="HR43" s="558"/>
      <c r="HS43" s="558"/>
      <c r="HT43" s="558"/>
      <c r="HU43" s="558"/>
      <c r="HV43" s="558"/>
      <c r="HW43" s="558"/>
      <c r="HX43" s="558"/>
      <c r="HY43" s="558"/>
      <c r="HZ43" s="558"/>
      <c r="IA43" s="558"/>
      <c r="IB43" s="558"/>
      <c r="IC43" s="558"/>
      <c r="ID43" s="558"/>
      <c r="IE43" s="558"/>
      <c r="IF43" s="558"/>
      <c r="IG43" s="558"/>
      <c r="IH43" s="558"/>
      <c r="II43" s="558"/>
      <c r="IJ43" s="558"/>
      <c r="IK43" s="558"/>
      <c r="IL43" s="558"/>
      <c r="IM43" s="558"/>
      <c r="IN43" s="558"/>
      <c r="IO43" s="558"/>
      <c r="IP43" s="558"/>
      <c r="IQ43" s="558"/>
      <c r="IR43" s="558"/>
      <c r="IS43" s="558"/>
      <c r="IT43" s="558"/>
      <c r="IU43" s="558"/>
      <c r="IV43" s="558"/>
      <c r="IW43" s="558"/>
    </row>
    <row r="44" customFormat="false" ht="12" hidden="false" customHeight="true" outlineLevel="0" collapsed="false">
      <c r="A44" s="791" t="s">
        <v>638</v>
      </c>
      <c r="B44" s="557"/>
      <c r="C44" s="557"/>
      <c r="D44" s="557" t="n">
        <f aca="false">IF(D3&lt;='Project Assumptions'!$I$16,Depreciation!D16*-1,0)</f>
        <v>-7774.72953333333</v>
      </c>
      <c r="E44" s="557" t="n">
        <f aca="false">IF(E3&lt;='Project Assumptions'!$I$16,Depreciation!E16*-1,0)</f>
        <v>-15060.77128</v>
      </c>
      <c r="F44" s="557" t="n">
        <f aca="false">IF(F3&lt;='Project Assumptions'!$I$16,Depreciation!F16*-1,0)</f>
        <v>-13771.311032</v>
      </c>
      <c r="G44" s="557" t="n">
        <f aca="false">IF(G3&lt;='Project Assumptions'!$I$16,Depreciation!G16*-1,0)</f>
        <v>-12468.293968</v>
      </c>
      <c r="H44" s="557" t="n">
        <f aca="false">IF(H3&lt;='Project Assumptions'!$I$16,Depreciation!H16*-1,0)</f>
        <v>-11288.2314512</v>
      </c>
      <c r="I44" s="557" t="n">
        <f aca="false">IF(I3&lt;='Project Assumptions'!$I$16,Depreciation!I16*-1,0)</f>
        <v>-9963.8546632</v>
      </c>
      <c r="J44" s="557" t="n">
        <f aca="false">IF(J3&lt;='Project Assumptions'!$I$16,Depreciation!J16*-1,0)</f>
        <v>-9095.697856</v>
      </c>
      <c r="K44" s="557" t="n">
        <f aca="false">IF(K3&lt;='Project Assumptions'!$I$16,Depreciation!K16*-1,0)</f>
        <v>-9100.7921744</v>
      </c>
      <c r="L44" s="557" t="n">
        <f aca="false">IF(L3&lt;='Project Assumptions'!$I$16,Depreciation!L16*-1,0)</f>
        <v>-9086.097856</v>
      </c>
      <c r="M44" s="557" t="n">
        <f aca="false">IF(M3&lt;='Project Assumptions'!$I$16,Depreciation!M16*-1,0)</f>
        <v>-9100.7921744</v>
      </c>
      <c r="N44" s="557" t="n">
        <f aca="false">IF(N3&lt;='Project Assumptions'!$I$16,Depreciation!N16*-1,0)</f>
        <v>-9086.097856</v>
      </c>
      <c r="O44" s="557" t="n">
        <f aca="false">IF(O3&lt;='Project Assumptions'!$I$16,Depreciation!O16*-1,0)</f>
        <v>-9100.7921744</v>
      </c>
      <c r="P44" s="557" t="n">
        <f aca="false">IF(P3&lt;='Project Assumptions'!$I$16,Depreciation!P16*-1,0)</f>
        <v>-9086.097856</v>
      </c>
      <c r="Q44" s="557" t="n">
        <f aca="false">IF(Q3&lt;='Project Assumptions'!$I$16,Depreciation!Q16*-1,0)</f>
        <v>-9100.7921744</v>
      </c>
      <c r="R44" s="557" t="n">
        <f aca="false">IF(R3&lt;='Project Assumptions'!$I$16,Depreciation!R16*-1,0)</f>
        <v>-9086.097856</v>
      </c>
      <c r="S44" s="557" t="n">
        <f aca="false">IF(S3&lt;='Project Assumptions'!$I$16,Depreciation!S16*-1,0)</f>
        <v>-4662.473928</v>
      </c>
      <c r="T44" s="557" t="n">
        <f aca="false">IF(T3&lt;='Project Assumptions'!$I$16,Depreciation!T16*-1,0)</f>
        <v>-150.65</v>
      </c>
      <c r="U44" s="557" t="n">
        <f aca="false">IF(U3&lt;='Project Assumptions'!$I$16,Depreciation!U16*-1,0)</f>
        <v>-62.15</v>
      </c>
      <c r="V44" s="557" t="n">
        <f aca="false">IF(V3&lt;='Project Assumptions'!$I$16,Depreciation!V16*-1,0)</f>
        <v>-62.15</v>
      </c>
      <c r="W44" s="557" t="n">
        <f aca="false">IF(W3&lt;='Project Assumptions'!$I$16,Depreciation!W16*-1,0)</f>
        <v>-62.15</v>
      </c>
      <c r="X44" s="557" t="n">
        <f aca="false">IF(X3&lt;='Project Assumptions'!$I$16,Depreciation!X16*-1,0)</f>
        <v>0</v>
      </c>
      <c r="Y44" s="557" t="n">
        <f aca="false">IF(Y3&lt;='Project Assumptions'!$I$16,Depreciation!Y16*-1,0)</f>
        <v>0</v>
      </c>
      <c r="Z44" s="557" t="n">
        <f aca="false">IF(Z3&lt;='Project Assumptions'!$I$16,Depreciation!Z16*-1,0)</f>
        <v>0</v>
      </c>
      <c r="AA44" s="557" t="n">
        <f aca="false">IF(AA3&lt;='Project Assumptions'!$I$16,Depreciation!AA16*-1,0)</f>
        <v>0</v>
      </c>
      <c r="AB44" s="795" t="n">
        <f aca="false">IF(AB3&lt;='Project Assumptions'!$I$16,Depreciation!AB16*-1,0)</f>
        <v>0</v>
      </c>
      <c r="AC44" s="557"/>
      <c r="AD44" s="557"/>
      <c r="AE44" s="558"/>
      <c r="AF44" s="558"/>
      <c r="AG44" s="558"/>
      <c r="AH44" s="558"/>
      <c r="AI44" s="558"/>
      <c r="AJ44" s="558"/>
      <c r="AK44" s="558"/>
      <c r="AL44" s="558"/>
      <c r="AM44" s="558"/>
      <c r="AN44" s="558"/>
      <c r="AO44" s="558"/>
      <c r="AP44" s="558"/>
      <c r="AQ44" s="558"/>
      <c r="AR44" s="558"/>
      <c r="AS44" s="558"/>
      <c r="AT44" s="558"/>
      <c r="AU44" s="558"/>
      <c r="AV44" s="558"/>
      <c r="AW44" s="558"/>
      <c r="AX44" s="558"/>
      <c r="AY44" s="558"/>
      <c r="AZ44" s="558"/>
      <c r="BA44" s="558"/>
      <c r="BB44" s="558"/>
      <c r="BC44" s="558"/>
      <c r="BD44" s="558"/>
      <c r="BE44" s="558"/>
      <c r="BF44" s="558"/>
      <c r="BG44" s="558"/>
      <c r="BH44" s="558"/>
      <c r="BI44" s="558"/>
      <c r="BJ44" s="558"/>
      <c r="BK44" s="558"/>
      <c r="BL44" s="558"/>
      <c r="BM44" s="558"/>
      <c r="BN44" s="558"/>
      <c r="BO44" s="558"/>
      <c r="BP44" s="558"/>
      <c r="BQ44" s="558"/>
      <c r="BR44" s="558"/>
      <c r="BS44" s="558"/>
      <c r="BT44" s="558"/>
      <c r="BU44" s="558"/>
      <c r="BV44" s="558"/>
      <c r="BW44" s="558"/>
      <c r="BX44" s="558"/>
      <c r="BY44" s="558"/>
      <c r="BZ44" s="558"/>
      <c r="CA44" s="558"/>
      <c r="CB44" s="558"/>
      <c r="CC44" s="558"/>
      <c r="CD44" s="558"/>
      <c r="CE44" s="558"/>
      <c r="CF44" s="558"/>
      <c r="CG44" s="558"/>
      <c r="CH44" s="558"/>
      <c r="CI44" s="558"/>
      <c r="CJ44" s="558"/>
      <c r="CK44" s="558"/>
      <c r="CL44" s="558"/>
      <c r="CM44" s="558"/>
      <c r="CN44" s="558"/>
      <c r="CO44" s="558"/>
      <c r="CP44" s="558"/>
      <c r="CQ44" s="558"/>
      <c r="CR44" s="558"/>
      <c r="CS44" s="558"/>
      <c r="CT44" s="558"/>
      <c r="CU44" s="558"/>
      <c r="CV44" s="558"/>
      <c r="CW44" s="558"/>
      <c r="CX44" s="558"/>
      <c r="CY44" s="558"/>
      <c r="CZ44" s="558"/>
      <c r="DA44" s="558"/>
      <c r="DB44" s="558"/>
      <c r="DC44" s="558"/>
      <c r="DD44" s="558"/>
      <c r="DE44" s="558"/>
      <c r="DF44" s="558"/>
      <c r="DG44" s="558"/>
      <c r="DH44" s="558"/>
      <c r="DI44" s="558"/>
      <c r="DJ44" s="558"/>
      <c r="DK44" s="558"/>
      <c r="DL44" s="558"/>
      <c r="DM44" s="558"/>
      <c r="DN44" s="558"/>
      <c r="DO44" s="558"/>
      <c r="DP44" s="558"/>
      <c r="DQ44" s="558"/>
      <c r="DR44" s="558"/>
      <c r="DS44" s="558"/>
      <c r="DT44" s="558"/>
      <c r="DU44" s="558"/>
      <c r="DV44" s="558"/>
      <c r="DW44" s="558"/>
      <c r="DX44" s="558"/>
      <c r="DY44" s="558"/>
      <c r="DZ44" s="558"/>
      <c r="EA44" s="558"/>
      <c r="EB44" s="558"/>
      <c r="EC44" s="558"/>
      <c r="ED44" s="558"/>
      <c r="EE44" s="558"/>
      <c r="EF44" s="558"/>
      <c r="EG44" s="558"/>
      <c r="EH44" s="558"/>
      <c r="EI44" s="558"/>
      <c r="EJ44" s="558"/>
      <c r="EK44" s="558"/>
      <c r="EL44" s="558"/>
      <c r="EM44" s="558"/>
      <c r="EN44" s="558"/>
      <c r="EO44" s="558"/>
      <c r="EP44" s="558"/>
      <c r="EQ44" s="558"/>
      <c r="ER44" s="558"/>
      <c r="ES44" s="558"/>
      <c r="ET44" s="558"/>
      <c r="EU44" s="558"/>
      <c r="EV44" s="558"/>
      <c r="EW44" s="558"/>
      <c r="EX44" s="558"/>
      <c r="EY44" s="558"/>
      <c r="EZ44" s="558"/>
      <c r="FA44" s="558"/>
      <c r="FB44" s="558"/>
      <c r="FC44" s="558"/>
      <c r="FD44" s="558"/>
      <c r="FE44" s="558"/>
      <c r="FF44" s="558"/>
      <c r="FG44" s="558"/>
      <c r="FH44" s="558"/>
      <c r="FI44" s="558"/>
      <c r="FJ44" s="558"/>
      <c r="FK44" s="558"/>
      <c r="FL44" s="558"/>
      <c r="FM44" s="558"/>
      <c r="FN44" s="558"/>
      <c r="FO44" s="558"/>
      <c r="FP44" s="558"/>
      <c r="FQ44" s="558"/>
      <c r="FR44" s="558"/>
      <c r="FS44" s="558"/>
      <c r="FT44" s="558"/>
      <c r="FU44" s="558"/>
      <c r="FV44" s="558"/>
      <c r="FW44" s="558"/>
      <c r="FX44" s="558"/>
      <c r="FY44" s="558"/>
      <c r="FZ44" s="558"/>
      <c r="GA44" s="558"/>
      <c r="GB44" s="558"/>
      <c r="GC44" s="558"/>
      <c r="GD44" s="558"/>
      <c r="GE44" s="558"/>
      <c r="GF44" s="558"/>
      <c r="GG44" s="558"/>
      <c r="GH44" s="558"/>
      <c r="GI44" s="558"/>
      <c r="GJ44" s="558"/>
      <c r="GK44" s="558"/>
      <c r="GL44" s="558"/>
      <c r="GM44" s="558"/>
      <c r="GN44" s="558"/>
      <c r="GO44" s="558"/>
      <c r="GP44" s="558"/>
      <c r="GQ44" s="558"/>
      <c r="GR44" s="558"/>
      <c r="GS44" s="558"/>
      <c r="GT44" s="558"/>
      <c r="GU44" s="558"/>
      <c r="GV44" s="558"/>
      <c r="GW44" s="558"/>
      <c r="GX44" s="558"/>
      <c r="GY44" s="558"/>
      <c r="GZ44" s="558"/>
      <c r="HA44" s="558"/>
      <c r="HB44" s="558"/>
      <c r="HC44" s="558"/>
      <c r="HD44" s="558"/>
      <c r="HE44" s="558"/>
      <c r="HF44" s="558"/>
      <c r="HG44" s="558"/>
      <c r="HH44" s="558"/>
      <c r="HI44" s="558"/>
      <c r="HJ44" s="558"/>
      <c r="HK44" s="558"/>
      <c r="HL44" s="558"/>
      <c r="HM44" s="558"/>
      <c r="HN44" s="558"/>
      <c r="HO44" s="558"/>
      <c r="HP44" s="558"/>
      <c r="HQ44" s="558"/>
      <c r="HR44" s="558"/>
      <c r="HS44" s="558"/>
      <c r="HT44" s="558"/>
      <c r="HU44" s="558"/>
      <c r="HV44" s="558"/>
      <c r="HW44" s="558"/>
      <c r="HX44" s="558"/>
      <c r="HY44" s="558"/>
      <c r="HZ44" s="558"/>
      <c r="IA44" s="558"/>
      <c r="IB44" s="558"/>
      <c r="IC44" s="558"/>
      <c r="ID44" s="558"/>
      <c r="IE44" s="558"/>
      <c r="IF44" s="558"/>
      <c r="IG44" s="558"/>
      <c r="IH44" s="558"/>
      <c r="II44" s="558"/>
      <c r="IJ44" s="558"/>
      <c r="IK44" s="558"/>
      <c r="IL44" s="558"/>
      <c r="IM44" s="558"/>
      <c r="IN44" s="558"/>
      <c r="IO44" s="558"/>
      <c r="IP44" s="558"/>
      <c r="IQ44" s="558"/>
      <c r="IR44" s="558"/>
      <c r="IS44" s="558"/>
      <c r="IT44" s="558"/>
      <c r="IU44" s="558"/>
      <c r="IV44" s="558"/>
      <c r="IW44" s="558"/>
    </row>
    <row r="45" customFormat="false" ht="12" hidden="false" customHeight="true" outlineLevel="0" collapsed="false">
      <c r="A45" s="791" t="s">
        <v>639</v>
      </c>
      <c r="B45" s="557"/>
      <c r="C45" s="557"/>
      <c r="D45" s="896" t="n">
        <f aca="false">IF(D37&gt;0,-D37,0)</f>
        <v>0</v>
      </c>
      <c r="E45" s="896" t="n">
        <f aca="false">IF(E37&gt;0,-E37,0)</f>
        <v>0</v>
      </c>
      <c r="F45" s="896" t="n">
        <f aca="false">IF(F37&gt;0,-F37,0)</f>
        <v>0</v>
      </c>
      <c r="G45" s="896" t="n">
        <f aca="false">IF(G37&gt;0,-G37,0)</f>
        <v>0</v>
      </c>
      <c r="H45" s="896" t="n">
        <f aca="false">IF(H37&gt;0,-H37,0)</f>
        <v>0</v>
      </c>
      <c r="I45" s="896" t="n">
        <f aca="false">IF(I37&gt;0,-I37,0)</f>
        <v>-143.643677853833</v>
      </c>
      <c r="J45" s="896" t="n">
        <f aca="false">IF(J37&gt;0,-J37,0)</f>
        <v>-715.665871098116</v>
      </c>
      <c r="K45" s="896" t="n">
        <f aca="false">IF(K37&gt;0,-K37,0)</f>
        <v>-752.217459894144</v>
      </c>
      <c r="L45" s="896" t="n">
        <f aca="false">IF(L37&gt;0,-L37,0)</f>
        <v>-821.223097911306</v>
      </c>
      <c r="M45" s="896" t="n">
        <f aca="false">IF(M37&gt;0,-M37,0)</f>
        <v>-870.465037772628</v>
      </c>
      <c r="N45" s="896" t="n">
        <f aca="false">IF(N37&gt;0,-N37,0)</f>
        <v>-964.027813079668</v>
      </c>
      <c r="O45" s="896" t="n">
        <f aca="false">IF(O37&gt;0,-O37,0)</f>
        <v>-949.168755115388</v>
      </c>
      <c r="P45" s="896" t="n">
        <f aca="false">IF(P37&gt;0,-P37,0)</f>
        <v>-1017.26768641676</v>
      </c>
      <c r="Q45" s="896" t="n">
        <f aca="false">IF(Q37&gt;0,-Q37,0)</f>
        <v>-1049.20695144527</v>
      </c>
      <c r="R45" s="896" t="n">
        <f aca="false">IF(R37&gt;0,-R37,0)</f>
        <v>-1081.941884103</v>
      </c>
      <c r="S45" s="896" t="n">
        <f aca="false">IF(S37&gt;0,-S37,0)</f>
        <v>-1334.39598770519</v>
      </c>
      <c r="T45" s="896" t="n">
        <f aca="false">IF(T37&gt;0,-T37,0)</f>
        <v>-1592.16156418995</v>
      </c>
      <c r="U45" s="896" t="n">
        <f aca="false">IF(U37&gt;0,-U37,0)</f>
        <v>-1641.80307144277</v>
      </c>
      <c r="V45" s="896" t="n">
        <f aca="false">IF(V37&gt;0,-V37,0)</f>
        <v>-1691.33235329355</v>
      </c>
      <c r="W45" s="896" t="n">
        <f aca="false">IF(W37&gt;0,-W37,0)</f>
        <v>-1742.66336849847</v>
      </c>
      <c r="X45" s="896" t="n">
        <f aca="false">IF(X37&gt;0,-X37,0)</f>
        <v>-1798.75491957637</v>
      </c>
      <c r="Y45" s="896" t="n">
        <f aca="false">IF(Y37&gt;0,-Y37,0)</f>
        <v>0</v>
      </c>
      <c r="Z45" s="896" t="n">
        <f aca="false">IF(Z37&gt;0,-Z37,0)</f>
        <v>0</v>
      </c>
      <c r="AA45" s="896" t="n">
        <f aca="false">IF(AA37&gt;0,-AA37,0)</f>
        <v>0</v>
      </c>
      <c r="AB45" s="897" t="n">
        <f aca="false">IF(AB37&gt;0,-AB37,0)</f>
        <v>0</v>
      </c>
      <c r="AC45" s="557"/>
      <c r="AD45" s="557"/>
      <c r="AE45" s="558"/>
      <c r="AF45" s="558"/>
      <c r="AG45" s="558"/>
      <c r="AH45" s="558"/>
      <c r="AI45" s="558"/>
      <c r="AJ45" s="558"/>
      <c r="AK45" s="558"/>
      <c r="AL45" s="558"/>
      <c r="AM45" s="558"/>
      <c r="AN45" s="558"/>
      <c r="AO45" s="558"/>
      <c r="AP45" s="558"/>
      <c r="AQ45" s="558"/>
      <c r="AR45" s="558"/>
      <c r="AS45" s="558"/>
      <c r="AT45" s="558"/>
      <c r="AU45" s="558"/>
      <c r="AV45" s="558"/>
      <c r="AW45" s="558"/>
      <c r="AX45" s="558"/>
      <c r="AY45" s="558"/>
      <c r="AZ45" s="558"/>
      <c r="BA45" s="558"/>
      <c r="BB45" s="558"/>
      <c r="BC45" s="558"/>
      <c r="BD45" s="558"/>
      <c r="BE45" s="558"/>
      <c r="BF45" s="558"/>
      <c r="BG45" s="558"/>
      <c r="BH45" s="558"/>
      <c r="BI45" s="558"/>
      <c r="BJ45" s="558"/>
      <c r="BK45" s="558"/>
      <c r="BL45" s="558"/>
      <c r="BM45" s="558"/>
      <c r="BN45" s="558"/>
      <c r="BO45" s="558"/>
      <c r="BP45" s="558"/>
      <c r="BQ45" s="558"/>
      <c r="BR45" s="558"/>
      <c r="BS45" s="558"/>
      <c r="BT45" s="558"/>
      <c r="BU45" s="558"/>
      <c r="BV45" s="558"/>
      <c r="BW45" s="558"/>
      <c r="BX45" s="558"/>
      <c r="BY45" s="558"/>
      <c r="BZ45" s="558"/>
      <c r="CA45" s="558"/>
      <c r="CB45" s="558"/>
      <c r="CC45" s="558"/>
      <c r="CD45" s="558"/>
      <c r="CE45" s="558"/>
      <c r="CF45" s="558"/>
      <c r="CG45" s="558"/>
      <c r="CH45" s="558"/>
      <c r="CI45" s="558"/>
      <c r="CJ45" s="558"/>
      <c r="CK45" s="558"/>
      <c r="CL45" s="558"/>
      <c r="CM45" s="558"/>
      <c r="CN45" s="558"/>
      <c r="CO45" s="558"/>
      <c r="CP45" s="558"/>
      <c r="CQ45" s="558"/>
      <c r="CR45" s="558"/>
      <c r="CS45" s="558"/>
      <c r="CT45" s="558"/>
      <c r="CU45" s="558"/>
      <c r="CV45" s="558"/>
      <c r="CW45" s="558"/>
      <c r="CX45" s="558"/>
      <c r="CY45" s="558"/>
      <c r="CZ45" s="558"/>
      <c r="DA45" s="558"/>
      <c r="DB45" s="558"/>
      <c r="DC45" s="558"/>
      <c r="DD45" s="558"/>
      <c r="DE45" s="558"/>
      <c r="DF45" s="558"/>
      <c r="DG45" s="558"/>
      <c r="DH45" s="558"/>
      <c r="DI45" s="558"/>
      <c r="DJ45" s="558"/>
      <c r="DK45" s="558"/>
      <c r="DL45" s="558"/>
      <c r="DM45" s="558"/>
      <c r="DN45" s="558"/>
      <c r="DO45" s="558"/>
      <c r="DP45" s="558"/>
      <c r="DQ45" s="558"/>
      <c r="DR45" s="558"/>
      <c r="DS45" s="558"/>
      <c r="DT45" s="558"/>
      <c r="DU45" s="558"/>
      <c r="DV45" s="558"/>
      <c r="DW45" s="558"/>
      <c r="DX45" s="558"/>
      <c r="DY45" s="558"/>
      <c r="DZ45" s="558"/>
      <c r="EA45" s="558"/>
      <c r="EB45" s="558"/>
      <c r="EC45" s="558"/>
      <c r="ED45" s="558"/>
      <c r="EE45" s="558"/>
      <c r="EF45" s="558"/>
      <c r="EG45" s="558"/>
      <c r="EH45" s="558"/>
      <c r="EI45" s="558"/>
      <c r="EJ45" s="558"/>
      <c r="EK45" s="558"/>
      <c r="EL45" s="558"/>
      <c r="EM45" s="558"/>
      <c r="EN45" s="558"/>
      <c r="EO45" s="558"/>
      <c r="EP45" s="558"/>
      <c r="EQ45" s="558"/>
      <c r="ER45" s="558"/>
      <c r="ES45" s="558"/>
      <c r="ET45" s="558"/>
      <c r="EU45" s="558"/>
      <c r="EV45" s="558"/>
      <c r="EW45" s="558"/>
      <c r="EX45" s="558"/>
      <c r="EY45" s="558"/>
      <c r="EZ45" s="558"/>
      <c r="FA45" s="558"/>
      <c r="FB45" s="558"/>
      <c r="FC45" s="558"/>
      <c r="FD45" s="558"/>
      <c r="FE45" s="558"/>
      <c r="FF45" s="558"/>
      <c r="FG45" s="558"/>
      <c r="FH45" s="558"/>
      <c r="FI45" s="558"/>
      <c r="FJ45" s="558"/>
      <c r="FK45" s="558"/>
      <c r="FL45" s="558"/>
      <c r="FM45" s="558"/>
      <c r="FN45" s="558"/>
      <c r="FO45" s="558"/>
      <c r="FP45" s="558"/>
      <c r="FQ45" s="558"/>
      <c r="FR45" s="558"/>
      <c r="FS45" s="558"/>
      <c r="FT45" s="558"/>
      <c r="FU45" s="558"/>
      <c r="FV45" s="558"/>
      <c r="FW45" s="558"/>
      <c r="FX45" s="558"/>
      <c r="FY45" s="558"/>
      <c r="FZ45" s="558"/>
      <c r="GA45" s="558"/>
      <c r="GB45" s="558"/>
      <c r="GC45" s="558"/>
      <c r="GD45" s="558"/>
      <c r="GE45" s="558"/>
      <c r="GF45" s="558"/>
      <c r="GG45" s="558"/>
      <c r="GH45" s="558"/>
      <c r="GI45" s="558"/>
      <c r="GJ45" s="558"/>
      <c r="GK45" s="558"/>
      <c r="GL45" s="558"/>
      <c r="GM45" s="558"/>
      <c r="GN45" s="558"/>
      <c r="GO45" s="558"/>
      <c r="GP45" s="558"/>
      <c r="GQ45" s="558"/>
      <c r="GR45" s="558"/>
      <c r="GS45" s="558"/>
      <c r="GT45" s="558"/>
      <c r="GU45" s="558"/>
      <c r="GV45" s="558"/>
      <c r="GW45" s="558"/>
      <c r="GX45" s="558"/>
      <c r="GY45" s="558"/>
      <c r="GZ45" s="558"/>
      <c r="HA45" s="558"/>
      <c r="HB45" s="558"/>
      <c r="HC45" s="558"/>
      <c r="HD45" s="558"/>
      <c r="HE45" s="558"/>
      <c r="HF45" s="558"/>
      <c r="HG45" s="558"/>
      <c r="HH45" s="558"/>
      <c r="HI45" s="558"/>
      <c r="HJ45" s="558"/>
      <c r="HK45" s="558"/>
      <c r="HL45" s="558"/>
      <c r="HM45" s="558"/>
      <c r="HN45" s="558"/>
      <c r="HO45" s="558"/>
      <c r="HP45" s="558"/>
      <c r="HQ45" s="558"/>
      <c r="HR45" s="558"/>
      <c r="HS45" s="558"/>
      <c r="HT45" s="558"/>
      <c r="HU45" s="558"/>
      <c r="HV45" s="558"/>
      <c r="HW45" s="558"/>
      <c r="HX45" s="558"/>
      <c r="HY45" s="558"/>
      <c r="HZ45" s="558"/>
      <c r="IA45" s="558"/>
      <c r="IB45" s="558"/>
      <c r="IC45" s="558"/>
      <c r="ID45" s="558"/>
      <c r="IE45" s="558"/>
      <c r="IF45" s="558"/>
      <c r="IG45" s="558"/>
      <c r="IH45" s="558"/>
      <c r="II45" s="558"/>
      <c r="IJ45" s="558"/>
      <c r="IK45" s="558"/>
      <c r="IL45" s="558"/>
      <c r="IM45" s="558"/>
      <c r="IN45" s="558"/>
      <c r="IO45" s="558"/>
      <c r="IP45" s="558"/>
      <c r="IQ45" s="558"/>
      <c r="IR45" s="558"/>
      <c r="IS45" s="558"/>
      <c r="IT45" s="558"/>
      <c r="IU45" s="558"/>
      <c r="IV45" s="558"/>
      <c r="IW45" s="558"/>
    </row>
    <row r="46" customFormat="false" ht="12" hidden="false" customHeight="true" outlineLevel="0" collapsed="false">
      <c r="A46" s="787" t="s">
        <v>626</v>
      </c>
      <c r="B46" s="886"/>
      <c r="C46" s="886"/>
      <c r="D46" s="898" t="n">
        <f aca="false">SUM(D43:D45)</f>
        <v>-8747.06435534436</v>
      </c>
      <c r="E46" s="898" t="n">
        <f aca="false">SUM(E43:E45)</f>
        <v>-4403.9621364143</v>
      </c>
      <c r="F46" s="898" t="n">
        <f aca="false">SUM(F43:F45)</f>
        <v>-2536.34971293824</v>
      </c>
      <c r="G46" s="898" t="n">
        <f aca="false">SUM(G43:G45)</f>
        <v>-828.415089012813</v>
      </c>
      <c r="H46" s="898" t="n">
        <f aca="false">SUM(H43:H45)</f>
        <v>6630.69754038863</v>
      </c>
      <c r="I46" s="898" t="n">
        <f aca="false">SUM(I43:I45)</f>
        <v>12614.3236325439</v>
      </c>
      <c r="J46" s="898" t="n">
        <f aca="false">SUM(J43:J45)</f>
        <v>13597.6515508642</v>
      </c>
      <c r="K46" s="898" t="n">
        <f aca="false">SUM(K43:K45)</f>
        <v>14292.1317379887</v>
      </c>
      <c r="L46" s="898" t="n">
        <f aca="false">SUM(L43:L45)</f>
        <v>15603.2388603148</v>
      </c>
      <c r="M46" s="898" t="n">
        <f aca="false">SUM(M43:M45)</f>
        <v>16538.8357176799</v>
      </c>
      <c r="N46" s="898" t="n">
        <f aca="false">SUM(N43:N45)</f>
        <v>18316.5284485137</v>
      </c>
      <c r="O46" s="898" t="n">
        <f aca="false">SUM(O43:O45)</f>
        <v>18034.2063471924</v>
      </c>
      <c r="P46" s="898" t="n">
        <f aca="false">SUM(P43:P45)</f>
        <v>19328.0860419185</v>
      </c>
      <c r="Q46" s="898" t="n">
        <f aca="false">SUM(Q43:Q45)</f>
        <v>19934.9320774602</v>
      </c>
      <c r="R46" s="898" t="n">
        <f aca="false">SUM(R43:R45)</f>
        <v>20556.8957979569</v>
      </c>
      <c r="S46" s="898" t="n">
        <f aca="false">SUM(S43:S45)</f>
        <v>25353.5237663985</v>
      </c>
      <c r="T46" s="898" t="n">
        <f aca="false">SUM(T43:T45)</f>
        <v>30251.0697196091</v>
      </c>
      <c r="U46" s="898" t="n">
        <f aca="false">SUM(U43:U45)</f>
        <v>31194.2583574126</v>
      </c>
      <c r="V46" s="898" t="n">
        <f aca="false">SUM(V43:V45)</f>
        <v>32135.3147125774</v>
      </c>
      <c r="W46" s="898" t="n">
        <f aca="false">SUM(W43:W45)</f>
        <v>33110.6040014709</v>
      </c>
      <c r="X46" s="898" t="n">
        <f aca="false">SUM(X43:X45)</f>
        <v>34176.343471951</v>
      </c>
      <c r="Y46" s="898" t="n">
        <f aca="false">SUM(Y43:Y45)</f>
        <v>0</v>
      </c>
      <c r="Z46" s="898" t="n">
        <f aca="false">SUM(Z43:Z45)</f>
        <v>0</v>
      </c>
      <c r="AA46" s="898" t="n">
        <f aca="false">SUM(AA43:AA45)</f>
        <v>0</v>
      </c>
      <c r="AB46" s="899" t="n">
        <f aca="false">SUM(AB43:AB45)</f>
        <v>0</v>
      </c>
      <c r="AC46" s="557"/>
      <c r="AD46" s="557"/>
      <c r="AE46" s="558"/>
      <c r="AF46" s="558"/>
      <c r="AG46" s="558"/>
      <c r="AH46" s="558"/>
      <c r="AI46" s="558"/>
      <c r="AJ46" s="558"/>
      <c r="AK46" s="558"/>
      <c r="AL46" s="558"/>
      <c r="AM46" s="558"/>
      <c r="AN46" s="558"/>
      <c r="AO46" s="558"/>
      <c r="AP46" s="558"/>
      <c r="AQ46" s="558"/>
      <c r="AR46" s="558"/>
      <c r="AS46" s="558"/>
      <c r="AT46" s="558"/>
      <c r="AU46" s="558"/>
      <c r="AV46" s="558"/>
      <c r="AW46" s="558"/>
      <c r="AX46" s="558"/>
      <c r="AY46" s="558"/>
      <c r="AZ46" s="558"/>
      <c r="BA46" s="558"/>
      <c r="BB46" s="558"/>
      <c r="BC46" s="558"/>
      <c r="BD46" s="558"/>
      <c r="BE46" s="558"/>
      <c r="BF46" s="558"/>
      <c r="BG46" s="558"/>
      <c r="BH46" s="558"/>
      <c r="BI46" s="558"/>
      <c r="BJ46" s="558"/>
      <c r="BK46" s="558"/>
      <c r="BL46" s="558"/>
      <c r="BM46" s="558"/>
      <c r="BN46" s="558"/>
      <c r="BO46" s="558"/>
      <c r="BP46" s="558"/>
      <c r="BQ46" s="558"/>
      <c r="BR46" s="558"/>
      <c r="BS46" s="558"/>
      <c r="BT46" s="558"/>
      <c r="BU46" s="558"/>
      <c r="BV46" s="558"/>
      <c r="BW46" s="558"/>
      <c r="BX46" s="558"/>
      <c r="BY46" s="558"/>
      <c r="BZ46" s="558"/>
      <c r="CA46" s="558"/>
      <c r="CB46" s="558"/>
      <c r="CC46" s="558"/>
      <c r="CD46" s="558"/>
      <c r="CE46" s="558"/>
      <c r="CF46" s="558"/>
      <c r="CG46" s="558"/>
      <c r="CH46" s="558"/>
      <c r="CI46" s="558"/>
      <c r="CJ46" s="558"/>
      <c r="CK46" s="558"/>
      <c r="CL46" s="558"/>
      <c r="CM46" s="558"/>
      <c r="CN46" s="558"/>
      <c r="CO46" s="558"/>
      <c r="CP46" s="558"/>
      <c r="CQ46" s="558"/>
      <c r="CR46" s="558"/>
      <c r="CS46" s="558"/>
      <c r="CT46" s="558"/>
      <c r="CU46" s="558"/>
      <c r="CV46" s="558"/>
      <c r="CW46" s="558"/>
      <c r="CX46" s="558"/>
      <c r="CY46" s="558"/>
      <c r="CZ46" s="558"/>
      <c r="DA46" s="558"/>
      <c r="DB46" s="558"/>
      <c r="DC46" s="558"/>
      <c r="DD46" s="558"/>
      <c r="DE46" s="558"/>
      <c r="DF46" s="558"/>
      <c r="DG46" s="558"/>
      <c r="DH46" s="558"/>
      <c r="DI46" s="558"/>
      <c r="DJ46" s="558"/>
      <c r="DK46" s="558"/>
      <c r="DL46" s="558"/>
      <c r="DM46" s="558"/>
      <c r="DN46" s="558"/>
      <c r="DO46" s="558"/>
      <c r="DP46" s="558"/>
      <c r="DQ46" s="558"/>
      <c r="DR46" s="558"/>
      <c r="DS46" s="558"/>
      <c r="DT46" s="558"/>
      <c r="DU46" s="558"/>
      <c r="DV46" s="558"/>
      <c r="DW46" s="558"/>
      <c r="DX46" s="558"/>
      <c r="DY46" s="558"/>
      <c r="DZ46" s="558"/>
      <c r="EA46" s="558"/>
      <c r="EB46" s="558"/>
      <c r="EC46" s="558"/>
      <c r="ED46" s="558"/>
      <c r="EE46" s="558"/>
      <c r="EF46" s="558"/>
      <c r="EG46" s="558"/>
      <c r="EH46" s="558"/>
      <c r="EI46" s="558"/>
      <c r="EJ46" s="558"/>
      <c r="EK46" s="558"/>
      <c r="EL46" s="558"/>
      <c r="EM46" s="558"/>
      <c r="EN46" s="558"/>
      <c r="EO46" s="558"/>
      <c r="EP46" s="558"/>
      <c r="EQ46" s="558"/>
      <c r="ER46" s="558"/>
      <c r="ES46" s="558"/>
      <c r="ET46" s="558"/>
      <c r="EU46" s="558"/>
      <c r="EV46" s="558"/>
      <c r="EW46" s="558"/>
      <c r="EX46" s="558"/>
      <c r="EY46" s="558"/>
      <c r="EZ46" s="558"/>
      <c r="FA46" s="558"/>
      <c r="FB46" s="558"/>
      <c r="FC46" s="558"/>
      <c r="FD46" s="558"/>
      <c r="FE46" s="558"/>
      <c r="FF46" s="558"/>
      <c r="FG46" s="558"/>
      <c r="FH46" s="558"/>
      <c r="FI46" s="558"/>
      <c r="FJ46" s="558"/>
      <c r="FK46" s="558"/>
      <c r="FL46" s="558"/>
      <c r="FM46" s="558"/>
      <c r="FN46" s="558"/>
      <c r="FO46" s="558"/>
      <c r="FP46" s="558"/>
      <c r="FQ46" s="558"/>
      <c r="FR46" s="558"/>
      <c r="FS46" s="558"/>
      <c r="FT46" s="558"/>
      <c r="FU46" s="558"/>
      <c r="FV46" s="558"/>
      <c r="FW46" s="558"/>
      <c r="FX46" s="558"/>
      <c r="FY46" s="558"/>
      <c r="FZ46" s="558"/>
      <c r="GA46" s="558"/>
      <c r="GB46" s="558"/>
      <c r="GC46" s="558"/>
      <c r="GD46" s="558"/>
      <c r="GE46" s="558"/>
      <c r="GF46" s="558"/>
      <c r="GG46" s="558"/>
      <c r="GH46" s="558"/>
      <c r="GI46" s="558"/>
      <c r="GJ46" s="558"/>
      <c r="GK46" s="558"/>
      <c r="GL46" s="558"/>
      <c r="GM46" s="558"/>
      <c r="GN46" s="558"/>
      <c r="GO46" s="558"/>
      <c r="GP46" s="558"/>
      <c r="GQ46" s="558"/>
      <c r="GR46" s="558"/>
      <c r="GS46" s="558"/>
      <c r="GT46" s="558"/>
      <c r="GU46" s="558"/>
      <c r="GV46" s="558"/>
      <c r="GW46" s="558"/>
      <c r="GX46" s="558"/>
      <c r="GY46" s="558"/>
      <c r="GZ46" s="558"/>
      <c r="HA46" s="558"/>
      <c r="HB46" s="558"/>
      <c r="HC46" s="558"/>
      <c r="HD46" s="558"/>
      <c r="HE46" s="558"/>
      <c r="HF46" s="558"/>
      <c r="HG46" s="558"/>
      <c r="HH46" s="558"/>
      <c r="HI46" s="558"/>
      <c r="HJ46" s="558"/>
      <c r="HK46" s="558"/>
      <c r="HL46" s="558"/>
      <c r="HM46" s="558"/>
      <c r="HN46" s="558"/>
      <c r="HO46" s="558"/>
      <c r="HP46" s="558"/>
      <c r="HQ46" s="558"/>
      <c r="HR46" s="558"/>
      <c r="HS46" s="558"/>
      <c r="HT46" s="558"/>
      <c r="HU46" s="558"/>
      <c r="HV46" s="558"/>
      <c r="HW46" s="558"/>
      <c r="HX46" s="558"/>
      <c r="HY46" s="558"/>
      <c r="HZ46" s="558"/>
      <c r="IA46" s="558"/>
      <c r="IB46" s="558"/>
      <c r="IC46" s="558"/>
      <c r="ID46" s="558"/>
      <c r="IE46" s="558"/>
      <c r="IF46" s="558"/>
      <c r="IG46" s="558"/>
      <c r="IH46" s="558"/>
      <c r="II46" s="558"/>
      <c r="IJ46" s="558"/>
      <c r="IK46" s="558"/>
      <c r="IL46" s="558"/>
      <c r="IM46" s="558"/>
      <c r="IN46" s="558"/>
      <c r="IO46" s="558"/>
      <c r="IP46" s="558"/>
      <c r="IQ46" s="558"/>
      <c r="IR46" s="558"/>
      <c r="IS46" s="558"/>
      <c r="IT46" s="558"/>
      <c r="IU46" s="558"/>
      <c r="IV46" s="558"/>
      <c r="IW46" s="558"/>
    </row>
    <row r="47" customFormat="false" ht="12" hidden="false" customHeight="true" outlineLevel="0" collapsed="false">
      <c r="A47" s="791"/>
      <c r="B47" s="557"/>
      <c r="C47" s="557"/>
      <c r="D47" s="896"/>
      <c r="E47" s="896"/>
      <c r="F47" s="896"/>
      <c r="G47" s="896"/>
      <c r="H47" s="896"/>
      <c r="I47" s="896"/>
      <c r="J47" s="896"/>
      <c r="K47" s="896"/>
      <c r="L47" s="896"/>
      <c r="M47" s="896"/>
      <c r="N47" s="896"/>
      <c r="O47" s="896"/>
      <c r="P47" s="896"/>
      <c r="Q47" s="896"/>
      <c r="R47" s="896"/>
      <c r="S47" s="896"/>
      <c r="T47" s="896"/>
      <c r="U47" s="896"/>
      <c r="V47" s="896"/>
      <c r="W47" s="896"/>
      <c r="X47" s="896"/>
      <c r="Y47" s="896"/>
      <c r="Z47" s="896"/>
      <c r="AA47" s="896"/>
      <c r="AB47" s="897"/>
      <c r="AC47" s="557"/>
      <c r="AD47" s="557"/>
      <c r="AE47" s="558"/>
      <c r="AF47" s="558"/>
      <c r="AG47" s="558"/>
      <c r="AH47" s="558"/>
      <c r="AI47" s="558"/>
      <c r="AJ47" s="558"/>
      <c r="AK47" s="558"/>
      <c r="AL47" s="558"/>
      <c r="AM47" s="558"/>
      <c r="AN47" s="558"/>
      <c r="AO47" s="558"/>
      <c r="AP47" s="558"/>
      <c r="AQ47" s="558"/>
      <c r="AR47" s="558"/>
      <c r="AS47" s="558"/>
      <c r="AT47" s="558"/>
      <c r="AU47" s="558"/>
      <c r="AV47" s="558"/>
      <c r="AW47" s="558"/>
      <c r="AX47" s="558"/>
      <c r="AY47" s="558"/>
      <c r="AZ47" s="558"/>
      <c r="BA47" s="558"/>
      <c r="BB47" s="558"/>
      <c r="BC47" s="558"/>
      <c r="BD47" s="558"/>
      <c r="BE47" s="558"/>
      <c r="BF47" s="558"/>
      <c r="BG47" s="558"/>
      <c r="BH47" s="558"/>
      <c r="BI47" s="558"/>
      <c r="BJ47" s="558"/>
      <c r="BK47" s="558"/>
      <c r="BL47" s="558"/>
      <c r="BM47" s="558"/>
      <c r="BN47" s="558"/>
      <c r="BO47" s="558"/>
      <c r="BP47" s="558"/>
      <c r="BQ47" s="558"/>
      <c r="BR47" s="558"/>
      <c r="BS47" s="558"/>
      <c r="BT47" s="558"/>
      <c r="BU47" s="558"/>
      <c r="BV47" s="558"/>
      <c r="BW47" s="558"/>
      <c r="BX47" s="558"/>
      <c r="BY47" s="558"/>
      <c r="BZ47" s="558"/>
      <c r="CA47" s="558"/>
      <c r="CB47" s="558"/>
      <c r="CC47" s="558"/>
      <c r="CD47" s="558"/>
      <c r="CE47" s="558"/>
      <c r="CF47" s="558"/>
      <c r="CG47" s="558"/>
      <c r="CH47" s="558"/>
      <c r="CI47" s="558"/>
      <c r="CJ47" s="558"/>
      <c r="CK47" s="558"/>
      <c r="CL47" s="558"/>
      <c r="CM47" s="558"/>
      <c r="CN47" s="558"/>
      <c r="CO47" s="558"/>
      <c r="CP47" s="558"/>
      <c r="CQ47" s="558"/>
      <c r="CR47" s="558"/>
      <c r="CS47" s="558"/>
      <c r="CT47" s="558"/>
      <c r="CU47" s="558"/>
      <c r="CV47" s="558"/>
      <c r="CW47" s="558"/>
      <c r="CX47" s="558"/>
      <c r="CY47" s="558"/>
      <c r="CZ47" s="558"/>
      <c r="DA47" s="558"/>
      <c r="DB47" s="558"/>
      <c r="DC47" s="558"/>
      <c r="DD47" s="558"/>
      <c r="DE47" s="558"/>
      <c r="DF47" s="558"/>
      <c r="DG47" s="558"/>
      <c r="DH47" s="558"/>
      <c r="DI47" s="558"/>
      <c r="DJ47" s="558"/>
      <c r="DK47" s="558"/>
      <c r="DL47" s="558"/>
      <c r="DM47" s="558"/>
      <c r="DN47" s="558"/>
      <c r="DO47" s="558"/>
      <c r="DP47" s="558"/>
      <c r="DQ47" s="558"/>
      <c r="DR47" s="558"/>
      <c r="DS47" s="558"/>
      <c r="DT47" s="558"/>
      <c r="DU47" s="558"/>
      <c r="DV47" s="558"/>
      <c r="DW47" s="558"/>
      <c r="DX47" s="558"/>
      <c r="DY47" s="558"/>
      <c r="DZ47" s="558"/>
      <c r="EA47" s="558"/>
      <c r="EB47" s="558"/>
      <c r="EC47" s="558"/>
      <c r="ED47" s="558"/>
      <c r="EE47" s="558"/>
      <c r="EF47" s="558"/>
      <c r="EG47" s="558"/>
      <c r="EH47" s="558"/>
      <c r="EI47" s="558"/>
      <c r="EJ47" s="558"/>
      <c r="EK47" s="558"/>
      <c r="EL47" s="558"/>
      <c r="EM47" s="558"/>
      <c r="EN47" s="558"/>
      <c r="EO47" s="558"/>
      <c r="EP47" s="558"/>
      <c r="EQ47" s="558"/>
      <c r="ER47" s="558"/>
      <c r="ES47" s="558"/>
      <c r="ET47" s="558"/>
      <c r="EU47" s="558"/>
      <c r="EV47" s="558"/>
      <c r="EW47" s="558"/>
      <c r="EX47" s="558"/>
      <c r="EY47" s="558"/>
      <c r="EZ47" s="558"/>
      <c r="FA47" s="558"/>
      <c r="FB47" s="558"/>
      <c r="FC47" s="558"/>
      <c r="FD47" s="558"/>
      <c r="FE47" s="558"/>
      <c r="FF47" s="558"/>
      <c r="FG47" s="558"/>
      <c r="FH47" s="558"/>
      <c r="FI47" s="558"/>
      <c r="FJ47" s="558"/>
      <c r="FK47" s="558"/>
      <c r="FL47" s="558"/>
      <c r="FM47" s="558"/>
      <c r="FN47" s="558"/>
      <c r="FO47" s="558"/>
      <c r="FP47" s="558"/>
      <c r="FQ47" s="558"/>
      <c r="FR47" s="558"/>
      <c r="FS47" s="558"/>
      <c r="FT47" s="558"/>
      <c r="FU47" s="558"/>
      <c r="FV47" s="558"/>
      <c r="FW47" s="558"/>
      <c r="FX47" s="558"/>
      <c r="FY47" s="558"/>
      <c r="FZ47" s="558"/>
      <c r="GA47" s="558"/>
      <c r="GB47" s="558"/>
      <c r="GC47" s="558"/>
      <c r="GD47" s="558"/>
      <c r="GE47" s="558"/>
      <c r="GF47" s="558"/>
      <c r="GG47" s="558"/>
      <c r="GH47" s="558"/>
      <c r="GI47" s="558"/>
      <c r="GJ47" s="558"/>
      <c r="GK47" s="558"/>
      <c r="GL47" s="558"/>
      <c r="GM47" s="558"/>
      <c r="GN47" s="558"/>
      <c r="GO47" s="558"/>
      <c r="GP47" s="558"/>
      <c r="GQ47" s="558"/>
      <c r="GR47" s="558"/>
      <c r="GS47" s="558"/>
      <c r="GT47" s="558"/>
      <c r="GU47" s="558"/>
      <c r="GV47" s="558"/>
      <c r="GW47" s="558"/>
      <c r="GX47" s="558"/>
      <c r="GY47" s="558"/>
      <c r="GZ47" s="558"/>
      <c r="HA47" s="558"/>
      <c r="HB47" s="558"/>
      <c r="HC47" s="558"/>
      <c r="HD47" s="558"/>
      <c r="HE47" s="558"/>
      <c r="HF47" s="558"/>
      <c r="HG47" s="558"/>
      <c r="HH47" s="558"/>
      <c r="HI47" s="558"/>
      <c r="HJ47" s="558"/>
      <c r="HK47" s="558"/>
      <c r="HL47" s="558"/>
      <c r="HM47" s="558"/>
      <c r="HN47" s="558"/>
      <c r="HO47" s="558"/>
      <c r="HP47" s="558"/>
      <c r="HQ47" s="558"/>
      <c r="HR47" s="558"/>
      <c r="HS47" s="558"/>
      <c r="HT47" s="558"/>
      <c r="HU47" s="558"/>
      <c r="HV47" s="558"/>
      <c r="HW47" s="558"/>
      <c r="HX47" s="558"/>
      <c r="HY47" s="558"/>
      <c r="HZ47" s="558"/>
      <c r="IA47" s="558"/>
      <c r="IB47" s="558"/>
      <c r="IC47" s="558"/>
      <c r="ID47" s="558"/>
      <c r="IE47" s="558"/>
      <c r="IF47" s="558"/>
      <c r="IG47" s="558"/>
      <c r="IH47" s="558"/>
      <c r="II47" s="558"/>
      <c r="IJ47" s="558"/>
      <c r="IK47" s="558"/>
      <c r="IL47" s="558"/>
      <c r="IM47" s="558"/>
      <c r="IN47" s="558"/>
      <c r="IO47" s="558"/>
      <c r="IP47" s="558"/>
      <c r="IQ47" s="558"/>
      <c r="IR47" s="558"/>
      <c r="IS47" s="558"/>
      <c r="IT47" s="558"/>
      <c r="IU47" s="558"/>
      <c r="IV47" s="558"/>
      <c r="IW47" s="558"/>
    </row>
    <row r="48" customFormat="false" ht="12" hidden="false" customHeight="true" outlineLevel="0" collapsed="false">
      <c r="A48" s="791" t="s">
        <v>640</v>
      </c>
      <c r="B48" s="385"/>
      <c r="C48" s="900"/>
      <c r="D48" s="408" t="n">
        <f aca="false">IF(D3&gt;ProjectLife,0,'Project Assumptions'!$N$63)</f>
        <v>0.35</v>
      </c>
      <c r="E48" s="408" t="n">
        <f aca="false">IF(E3&gt;ProjectLife,0,'Project Assumptions'!$N$63)</f>
        <v>0.35</v>
      </c>
      <c r="F48" s="408" t="n">
        <f aca="false">IF(F3&gt;ProjectLife,0,'Project Assumptions'!$N$63)</f>
        <v>0.35</v>
      </c>
      <c r="G48" s="408" t="n">
        <f aca="false">IF(G3&gt;ProjectLife,0,'Project Assumptions'!$N$63)</f>
        <v>0.35</v>
      </c>
      <c r="H48" s="408" t="n">
        <f aca="false">IF(H3&gt;ProjectLife,0,'Project Assumptions'!$N$63)</f>
        <v>0.35</v>
      </c>
      <c r="I48" s="408" t="n">
        <f aca="false">IF(I3&gt;ProjectLife,0,'Project Assumptions'!$N$63)</f>
        <v>0.35</v>
      </c>
      <c r="J48" s="408" t="n">
        <f aca="false">IF(J3&gt;ProjectLife,0,'Project Assumptions'!$N$63)</f>
        <v>0.35</v>
      </c>
      <c r="K48" s="408" t="n">
        <f aca="false">IF(K3&gt;ProjectLife,0,'Project Assumptions'!$N$63)</f>
        <v>0.35</v>
      </c>
      <c r="L48" s="408" t="n">
        <f aca="false">IF(L3&gt;ProjectLife,0,'Project Assumptions'!$N$63)</f>
        <v>0.35</v>
      </c>
      <c r="M48" s="408" t="n">
        <f aca="false">IF(M3&gt;ProjectLife,0,'Project Assumptions'!$N$63)</f>
        <v>0.35</v>
      </c>
      <c r="N48" s="408" t="n">
        <f aca="false">IF(N3&gt;ProjectLife,0,'Project Assumptions'!$N$63)</f>
        <v>0.35</v>
      </c>
      <c r="O48" s="408" t="n">
        <f aca="false">IF(O3&gt;ProjectLife,0,'Project Assumptions'!$N$63)</f>
        <v>0.35</v>
      </c>
      <c r="P48" s="408" t="n">
        <f aca="false">IF(P3&gt;ProjectLife,0,'Project Assumptions'!$N$63)</f>
        <v>0.35</v>
      </c>
      <c r="Q48" s="408" t="n">
        <f aca="false">IF(Q3&gt;ProjectLife,0,'Project Assumptions'!$N$63)</f>
        <v>0.35</v>
      </c>
      <c r="R48" s="408" t="n">
        <f aca="false">IF(R3&gt;ProjectLife,0,'Project Assumptions'!$N$63)</f>
        <v>0.35</v>
      </c>
      <c r="S48" s="408" t="n">
        <f aca="false">IF(S3&gt;ProjectLife,0,'Project Assumptions'!$N$63)</f>
        <v>0.35</v>
      </c>
      <c r="T48" s="408" t="n">
        <f aca="false">IF(T3&gt;ProjectLife,0,'Project Assumptions'!$N$63)</f>
        <v>0.35</v>
      </c>
      <c r="U48" s="408" t="n">
        <f aca="false">IF(U3&gt;ProjectLife,0,'Project Assumptions'!$N$63)</f>
        <v>0.35</v>
      </c>
      <c r="V48" s="408" t="n">
        <f aca="false">IF(V3&gt;ProjectLife,0,'Project Assumptions'!$N$63)</f>
        <v>0.35</v>
      </c>
      <c r="W48" s="408" t="n">
        <f aca="false">IF(W3&gt;ProjectLife,0,'Project Assumptions'!$N$63)</f>
        <v>0.35</v>
      </c>
      <c r="X48" s="408" t="n">
        <f aca="false">IF(X3&gt;ProjectLife,0,'Project Assumptions'!$N$63)</f>
        <v>0</v>
      </c>
      <c r="Y48" s="408" t="n">
        <f aca="false">IF(Y3&gt;ProjectLife,0,'Project Assumptions'!$N$63)</f>
        <v>0</v>
      </c>
      <c r="Z48" s="408" t="n">
        <f aca="false">IF(Z3&gt;ProjectLife,0,'Project Assumptions'!$N$63)</f>
        <v>0</v>
      </c>
      <c r="AA48" s="408" t="n">
        <f aca="false">IF(AA3&gt;ProjectLife,0,'Project Assumptions'!$N$63)</f>
        <v>0</v>
      </c>
      <c r="AB48" s="901" t="n">
        <f aca="false">IF(AB3&gt;ProjectLife,0,'Project Assumptions'!$N$63)</f>
        <v>0</v>
      </c>
      <c r="AC48" s="385"/>
      <c r="AD48" s="385"/>
    </row>
    <row r="49" customFormat="false" ht="12" hidden="false" customHeight="true" outlineLevel="0" collapsed="false">
      <c r="A49" s="791" t="s">
        <v>641</v>
      </c>
      <c r="B49" s="557"/>
      <c r="C49" s="557"/>
      <c r="D49" s="557" t="n">
        <f aca="false">D46*'Project Assumptions'!$N$63</f>
        <v>-3061.47252437053</v>
      </c>
      <c r="E49" s="557" t="n">
        <f aca="false">E46*'Project Assumptions'!$N$63</f>
        <v>-1541.38674774501</v>
      </c>
      <c r="F49" s="557" t="n">
        <f aca="false">F46*'Project Assumptions'!$N$63</f>
        <v>-887.722399528384</v>
      </c>
      <c r="G49" s="557" t="n">
        <f aca="false">G46*'Project Assumptions'!$N$63</f>
        <v>-289.945281154485</v>
      </c>
      <c r="H49" s="557" t="n">
        <f aca="false">H46*'Project Assumptions'!$N$63</f>
        <v>2320.74413913602</v>
      </c>
      <c r="I49" s="557" t="n">
        <f aca="false">I46*'Project Assumptions'!$N$63</f>
        <v>4415.01327139037</v>
      </c>
      <c r="J49" s="557" t="n">
        <f aca="false">J46*'Project Assumptions'!$N$63</f>
        <v>4759.17804280247</v>
      </c>
      <c r="K49" s="557" t="n">
        <f aca="false">K46*'Project Assumptions'!$N$63</f>
        <v>5002.24610829606</v>
      </c>
      <c r="L49" s="557" t="n">
        <f aca="false">L46*'Project Assumptions'!$N$63</f>
        <v>5461.13360111019</v>
      </c>
      <c r="M49" s="557" t="n">
        <f aca="false">M46*'Project Assumptions'!$N$63</f>
        <v>5788.59250118797</v>
      </c>
      <c r="N49" s="557" t="n">
        <f aca="false">N46*'Project Assumptions'!$N$63</f>
        <v>6410.78495697979</v>
      </c>
      <c r="O49" s="557" t="n">
        <f aca="false">O46*'Project Assumptions'!$N$63</f>
        <v>6311.97222151733</v>
      </c>
      <c r="P49" s="557" t="n">
        <f aca="false">P46*'Project Assumptions'!$N$63</f>
        <v>6764.83011467148</v>
      </c>
      <c r="Q49" s="557" t="n">
        <f aca="false">Q46*'Project Assumptions'!$N$63</f>
        <v>6977.22622711106</v>
      </c>
      <c r="R49" s="557" t="n">
        <f aca="false">R46*'Project Assumptions'!$N$63</f>
        <v>7194.91352928492</v>
      </c>
      <c r="S49" s="557" t="n">
        <f aca="false">S46*'Project Assumptions'!$N$63</f>
        <v>8873.73331823948</v>
      </c>
      <c r="T49" s="557" t="n">
        <f aca="false">T46*'Project Assumptions'!$N$63</f>
        <v>10587.8744018632</v>
      </c>
      <c r="U49" s="557" t="n">
        <f aca="false">U46*'Project Assumptions'!$N$63</f>
        <v>10917.9904250944</v>
      </c>
      <c r="V49" s="557" t="n">
        <f aca="false">V46*'Project Assumptions'!$N$63</f>
        <v>11247.3601494021</v>
      </c>
      <c r="W49" s="557" t="n">
        <f aca="false">W46*'Project Assumptions'!$N$63</f>
        <v>11588.7114005148</v>
      </c>
      <c r="X49" s="557" t="n">
        <f aca="false">X46*'Project Assumptions'!$N$63</f>
        <v>11961.7202151829</v>
      </c>
      <c r="Y49" s="557" t="n">
        <f aca="false">Y46*'Project Assumptions'!$N$63</f>
        <v>0</v>
      </c>
      <c r="Z49" s="557" t="n">
        <f aca="false">Z46*'Project Assumptions'!$N$63</f>
        <v>0</v>
      </c>
      <c r="AA49" s="557" t="n">
        <f aca="false">AA46*'Project Assumptions'!$N$63</f>
        <v>0</v>
      </c>
      <c r="AB49" s="795" t="n">
        <f aca="false">AB46*'Project Assumptions'!$N$63</f>
        <v>0</v>
      </c>
      <c r="AC49" s="557"/>
      <c r="AD49" s="557"/>
      <c r="AE49" s="558"/>
      <c r="AF49" s="558"/>
      <c r="AG49" s="558"/>
      <c r="AH49" s="558"/>
      <c r="AI49" s="558"/>
      <c r="AJ49" s="558"/>
      <c r="AK49" s="558"/>
      <c r="AL49" s="558"/>
      <c r="AM49" s="558"/>
      <c r="AN49" s="558"/>
      <c r="AO49" s="558"/>
      <c r="AP49" s="558"/>
      <c r="AQ49" s="558"/>
      <c r="AR49" s="558"/>
      <c r="AS49" s="558"/>
      <c r="AT49" s="558"/>
      <c r="AU49" s="558"/>
      <c r="AV49" s="558"/>
      <c r="AW49" s="558"/>
      <c r="AX49" s="558"/>
      <c r="AY49" s="558"/>
      <c r="AZ49" s="558"/>
      <c r="BA49" s="558"/>
      <c r="BB49" s="558"/>
      <c r="BC49" s="558"/>
      <c r="BD49" s="558"/>
      <c r="BE49" s="558"/>
      <c r="BF49" s="558"/>
      <c r="BG49" s="558"/>
      <c r="BH49" s="558"/>
      <c r="BI49" s="558"/>
      <c r="BJ49" s="558"/>
      <c r="BK49" s="558"/>
      <c r="BL49" s="558"/>
      <c r="BM49" s="558"/>
      <c r="BN49" s="558"/>
      <c r="BO49" s="558"/>
      <c r="BP49" s="558"/>
      <c r="BQ49" s="558"/>
      <c r="BR49" s="558"/>
      <c r="BS49" s="558"/>
      <c r="BT49" s="558"/>
      <c r="BU49" s="558"/>
      <c r="BV49" s="558"/>
      <c r="BW49" s="558"/>
      <c r="BX49" s="558"/>
      <c r="BY49" s="558"/>
      <c r="BZ49" s="558"/>
      <c r="CA49" s="558"/>
      <c r="CB49" s="558"/>
      <c r="CC49" s="558"/>
      <c r="CD49" s="558"/>
      <c r="CE49" s="558"/>
      <c r="CF49" s="558"/>
      <c r="CG49" s="558"/>
      <c r="CH49" s="558"/>
      <c r="CI49" s="558"/>
      <c r="CJ49" s="558"/>
      <c r="CK49" s="558"/>
      <c r="CL49" s="558"/>
      <c r="CM49" s="558"/>
      <c r="CN49" s="558"/>
      <c r="CO49" s="558"/>
      <c r="CP49" s="558"/>
      <c r="CQ49" s="558"/>
      <c r="CR49" s="558"/>
      <c r="CS49" s="558"/>
      <c r="CT49" s="558"/>
      <c r="CU49" s="558"/>
      <c r="CV49" s="558"/>
      <c r="CW49" s="558"/>
      <c r="CX49" s="558"/>
      <c r="CY49" s="558"/>
      <c r="CZ49" s="558"/>
      <c r="DA49" s="558"/>
      <c r="DB49" s="558"/>
      <c r="DC49" s="558"/>
      <c r="DD49" s="558"/>
      <c r="DE49" s="558"/>
      <c r="DF49" s="558"/>
      <c r="DG49" s="558"/>
      <c r="DH49" s="558"/>
      <c r="DI49" s="558"/>
      <c r="DJ49" s="558"/>
      <c r="DK49" s="558"/>
      <c r="DL49" s="558"/>
      <c r="DM49" s="558"/>
      <c r="DN49" s="558"/>
      <c r="DO49" s="558"/>
      <c r="DP49" s="558"/>
      <c r="DQ49" s="558"/>
      <c r="DR49" s="558"/>
      <c r="DS49" s="558"/>
      <c r="DT49" s="558"/>
      <c r="DU49" s="558"/>
      <c r="DV49" s="558"/>
      <c r="DW49" s="558"/>
      <c r="DX49" s="558"/>
      <c r="DY49" s="558"/>
      <c r="DZ49" s="558"/>
      <c r="EA49" s="558"/>
      <c r="EB49" s="558"/>
      <c r="EC49" s="558"/>
      <c r="ED49" s="558"/>
      <c r="EE49" s="558"/>
      <c r="EF49" s="558"/>
      <c r="EG49" s="558"/>
      <c r="EH49" s="558"/>
      <c r="EI49" s="558"/>
      <c r="EJ49" s="558"/>
      <c r="EK49" s="558"/>
      <c r="EL49" s="558"/>
      <c r="EM49" s="558"/>
      <c r="EN49" s="558"/>
      <c r="EO49" s="558"/>
      <c r="EP49" s="558"/>
      <c r="EQ49" s="558"/>
      <c r="ER49" s="558"/>
      <c r="ES49" s="558"/>
      <c r="ET49" s="558"/>
      <c r="EU49" s="558"/>
      <c r="EV49" s="558"/>
      <c r="EW49" s="558"/>
      <c r="EX49" s="558"/>
      <c r="EY49" s="558"/>
      <c r="EZ49" s="558"/>
      <c r="FA49" s="558"/>
      <c r="FB49" s="558"/>
      <c r="FC49" s="558"/>
      <c r="FD49" s="558"/>
      <c r="FE49" s="558"/>
      <c r="FF49" s="558"/>
      <c r="FG49" s="558"/>
      <c r="FH49" s="558"/>
      <c r="FI49" s="558"/>
      <c r="FJ49" s="558"/>
      <c r="FK49" s="558"/>
      <c r="FL49" s="558"/>
      <c r="FM49" s="558"/>
      <c r="FN49" s="558"/>
      <c r="FO49" s="558"/>
      <c r="FP49" s="558"/>
      <c r="FQ49" s="558"/>
      <c r="FR49" s="558"/>
      <c r="FS49" s="558"/>
      <c r="FT49" s="558"/>
      <c r="FU49" s="558"/>
      <c r="FV49" s="558"/>
      <c r="FW49" s="558"/>
      <c r="FX49" s="558"/>
      <c r="FY49" s="558"/>
      <c r="FZ49" s="558"/>
      <c r="GA49" s="558"/>
      <c r="GB49" s="558"/>
      <c r="GC49" s="558"/>
      <c r="GD49" s="558"/>
      <c r="GE49" s="558"/>
      <c r="GF49" s="558"/>
      <c r="GG49" s="558"/>
      <c r="GH49" s="558"/>
      <c r="GI49" s="558"/>
      <c r="GJ49" s="558"/>
      <c r="GK49" s="558"/>
      <c r="GL49" s="558"/>
      <c r="GM49" s="558"/>
      <c r="GN49" s="558"/>
      <c r="GO49" s="558"/>
      <c r="GP49" s="558"/>
      <c r="GQ49" s="558"/>
      <c r="GR49" s="558"/>
      <c r="GS49" s="558"/>
      <c r="GT49" s="558"/>
      <c r="GU49" s="558"/>
      <c r="GV49" s="558"/>
      <c r="GW49" s="558"/>
      <c r="GX49" s="558"/>
      <c r="GY49" s="558"/>
      <c r="GZ49" s="558"/>
      <c r="HA49" s="558"/>
      <c r="HB49" s="558"/>
      <c r="HC49" s="558"/>
      <c r="HD49" s="558"/>
      <c r="HE49" s="558"/>
      <c r="HF49" s="558"/>
      <c r="HG49" s="558"/>
      <c r="HH49" s="558"/>
      <c r="HI49" s="558"/>
      <c r="HJ49" s="558"/>
      <c r="HK49" s="558"/>
      <c r="HL49" s="558"/>
      <c r="HM49" s="558"/>
      <c r="HN49" s="558"/>
      <c r="HO49" s="558"/>
      <c r="HP49" s="558"/>
      <c r="HQ49" s="558"/>
      <c r="HR49" s="558"/>
      <c r="HS49" s="558"/>
      <c r="HT49" s="558"/>
      <c r="HU49" s="558"/>
      <c r="HV49" s="558"/>
      <c r="HW49" s="558"/>
      <c r="HX49" s="558"/>
      <c r="HY49" s="558"/>
      <c r="HZ49" s="558"/>
      <c r="IA49" s="558"/>
      <c r="IB49" s="558"/>
      <c r="IC49" s="558"/>
      <c r="ID49" s="558"/>
      <c r="IE49" s="558"/>
      <c r="IF49" s="558"/>
      <c r="IG49" s="558"/>
      <c r="IH49" s="558"/>
      <c r="II49" s="558"/>
      <c r="IJ49" s="558"/>
      <c r="IK49" s="558"/>
      <c r="IL49" s="558"/>
      <c r="IM49" s="558"/>
      <c r="IN49" s="558"/>
      <c r="IO49" s="558"/>
      <c r="IP49" s="558"/>
      <c r="IQ49" s="558"/>
      <c r="IR49" s="558"/>
      <c r="IS49" s="558"/>
      <c r="IT49" s="558"/>
      <c r="IU49" s="558"/>
      <c r="IV49" s="558"/>
      <c r="IW49" s="558"/>
    </row>
    <row r="50" customFormat="false" ht="11.25" hidden="false" customHeight="false" outlineLevel="0" collapsed="false">
      <c r="A50" s="412"/>
      <c r="B50" s="385"/>
      <c r="C50" s="385"/>
      <c r="D50" s="385"/>
      <c r="E50" s="385"/>
      <c r="F50" s="385"/>
      <c r="G50" s="385"/>
      <c r="H50" s="385"/>
      <c r="I50" s="385"/>
      <c r="J50" s="385"/>
      <c r="K50" s="385"/>
      <c r="L50" s="385"/>
      <c r="M50" s="385"/>
      <c r="N50" s="385"/>
      <c r="O50" s="385"/>
      <c r="P50" s="385"/>
      <c r="Q50" s="385"/>
      <c r="R50" s="385"/>
      <c r="S50" s="385"/>
      <c r="T50" s="385"/>
      <c r="U50" s="385"/>
      <c r="V50" s="385"/>
      <c r="W50" s="385"/>
      <c r="X50" s="385"/>
      <c r="Y50" s="385"/>
      <c r="Z50" s="385"/>
      <c r="AA50" s="385"/>
      <c r="AB50" s="416"/>
      <c r="AC50" s="385"/>
      <c r="AD50" s="385"/>
    </row>
    <row r="51" customFormat="false" ht="11.25" hidden="false" customHeight="false" outlineLevel="0" collapsed="false">
      <c r="A51" s="412" t="s">
        <v>642</v>
      </c>
      <c r="B51" s="566"/>
      <c r="C51" s="385"/>
      <c r="D51" s="557" t="n">
        <f aca="false">IF(D3&gt;'Project Assumptions'!$I$16,0,IF(C51-C52+IF(D49&lt;0,-1*D49,0)&gt;0,C51-C52+IF(D49&lt;0,-1*D49,0),0))</f>
        <v>3061.47252437053</v>
      </c>
      <c r="E51" s="557" t="n">
        <f aca="false">IF(E3&gt;'Project Assumptions'!$I$16,0,IF(D51-D52+IF(E49&lt;0,-1*E49,0)&gt;0,D51-D52+IF(E49&lt;0,-1*E49,0),0))</f>
        <v>4602.85927211553</v>
      </c>
      <c r="F51" s="557" t="n">
        <f aca="false">IF(F3&gt;'Project Assumptions'!$I$16,0,IF(E51-E52+IF(F49&lt;0,-1*F49,0)&gt;0,E51-E52+IF(F49&lt;0,-1*F49,0),0))</f>
        <v>5490.58167164392</v>
      </c>
      <c r="G51" s="557" t="n">
        <f aca="false">IF(G3&gt;'Project Assumptions'!$I$16,0,IF(F51-F52+IF(G49&lt;0,-1*G49,0)&gt;0,F51-F52+IF(G49&lt;0,-1*G49,0),0))</f>
        <v>5780.5269527984</v>
      </c>
      <c r="H51" s="557" t="n">
        <f aca="false">IF(H3&gt;'Project Assumptions'!$I$16,0,IF(G51-G52+IF(H49&lt;0,-1*H49,0)&gt;0,G51-G52+IF(H49&lt;0,-1*H49,0),0))</f>
        <v>5780.5269527984</v>
      </c>
      <c r="I51" s="557" t="n">
        <f aca="false">IF(I3&gt;'Project Assumptions'!$I$16,0,IF(H51-H52+IF(I49&lt;0,-1*I49,0)&gt;0,H51-H52+IF(I49&lt;0,-1*I49,0),0))</f>
        <v>3459.78281366238</v>
      </c>
      <c r="J51" s="557" t="n">
        <f aca="false">IF(J3&gt;'Project Assumptions'!$I$16,0,IF(I51-I52+IF(J49&lt;0,-1*J49,0)&gt;0,I51-I52+IF(J49&lt;0,-1*J49,0),0))</f>
        <v>0</v>
      </c>
      <c r="K51" s="557" t="n">
        <f aca="false">IF(K3&gt;'Project Assumptions'!$I$16,0,IF(J51-J52+IF(K49&lt;0,-1*K49,0)&gt;0,J51-J52+IF(K49&lt;0,-1*K49,0),0))</f>
        <v>0</v>
      </c>
      <c r="L51" s="557" t="n">
        <f aca="false">IF(L3&gt;'Project Assumptions'!$I$16,0,IF(K51-K52+IF(L49&lt;0,-1*L49,0)&gt;0,K51-K52+IF(L49&lt;0,-1*L49,0),0))</f>
        <v>0</v>
      </c>
      <c r="M51" s="557" t="n">
        <f aca="false">IF(M3&gt;'Project Assumptions'!$I$16,0,IF(L51-L52+IF(M49&lt;0,-1*M49,0)&gt;0,L51-L52+IF(M49&lt;0,-1*M49,0),0))</f>
        <v>0</v>
      </c>
      <c r="N51" s="557" t="n">
        <f aca="false">IF(N3&gt;'Project Assumptions'!$I$16,0,IF(M51-M52+IF(N49&lt;0,-1*N49,0)&gt;0,M51-M52+IF(N49&lt;0,-1*N49,0),0))</f>
        <v>0</v>
      </c>
      <c r="O51" s="557" t="n">
        <f aca="false">IF(O3&gt;'Project Assumptions'!$I$16,0,IF(N51-N52+IF(O49&lt;0,-1*O49,0)&gt;0,N51-N52+IF(O49&lt;0,-1*O49,0),0))</f>
        <v>0</v>
      </c>
      <c r="P51" s="557" t="n">
        <f aca="false">IF(P3&gt;'Project Assumptions'!$I$16,0,IF(O51-O52+IF(P49&lt;0,-1*P49,0)&gt;0,O51-O52+IF(P49&lt;0,-1*P49,0),0))</f>
        <v>0</v>
      </c>
      <c r="Q51" s="557" t="n">
        <f aca="false">IF(Q3&gt;'Project Assumptions'!$I$16,0,IF(P51-P52+IF(Q49&lt;0,-1*Q49,0)&gt;0,P51-P52+IF(Q49&lt;0,-1*Q49,0),0))</f>
        <v>0</v>
      </c>
      <c r="R51" s="557" t="n">
        <f aca="false">IF(R3&gt;'Project Assumptions'!$I$16,0,IF(Q51-Q52+IF(R49&lt;0,-1*R49,0)&gt;0,Q51-Q52+IF(R49&lt;0,-1*R49,0),0))</f>
        <v>0</v>
      </c>
      <c r="S51" s="557" t="n">
        <f aca="false">IF(S3&gt;'Project Assumptions'!$I$16,0,IF(R51-R52+IF(S49&lt;0,-1*S49,0)&gt;0,R51-R52+IF(S49&lt;0,-1*S49,0),0))</f>
        <v>0</v>
      </c>
      <c r="T51" s="557" t="n">
        <f aca="false">IF(T3&gt;'Project Assumptions'!$I$16,0,IF(S51-S52+IF(T49&lt;0,-1*T49,0)&gt;0,S51-S52+IF(T49&lt;0,-1*T49,0),0))</f>
        <v>0</v>
      </c>
      <c r="U51" s="557" t="n">
        <f aca="false">IF(U3&gt;'Project Assumptions'!$I$16,0,IF(T51-T52+IF(U49&lt;0,-1*U49,0)&gt;0,T51-T52+IF(U49&lt;0,-1*U49,0),0))</f>
        <v>0</v>
      </c>
      <c r="V51" s="557" t="n">
        <f aca="false">IF(V3&gt;'Project Assumptions'!$I$16,0,IF(U51-U52+IF(V49&lt;0,-1*V49,0)&gt;0,U51-U52+IF(V49&lt;0,-1*V49,0),0))</f>
        <v>0</v>
      </c>
      <c r="W51" s="557" t="n">
        <f aca="false">IF(W3&gt;'Project Assumptions'!$I$16,0,IF(V51-V52+IF(W49&lt;0,-1*W49,0)&gt;0,V51-V52+IF(W49&lt;0,-1*W49,0),0))</f>
        <v>0</v>
      </c>
      <c r="X51" s="557" t="n">
        <f aca="false">IF(X3&gt;'Project Assumptions'!$I$16,0,IF(W51-W52+IF(X49&lt;0,-1*X49,0)&gt;0,W51-W52+IF(X49&lt;0,-1*X49,0),0))</f>
        <v>0</v>
      </c>
      <c r="Y51" s="557" t="n">
        <f aca="false">IF(Y3&gt;'Project Assumptions'!$I$16,0,IF(X51-X52+IF(Y49&lt;0,-1*Y49,0)&gt;0,X51-X52+IF(Y49&lt;0,-1*Y49,0),0))</f>
        <v>0</v>
      </c>
      <c r="Z51" s="557" t="n">
        <f aca="false">IF(Z3&gt;'Project Assumptions'!$I$16,0,IF(Y51-Y52+IF(Z49&lt;0,-1*Z49,0)&gt;0,Y51-Y52+IF(Z49&lt;0,-1*Z49,0),0))</f>
        <v>0</v>
      </c>
      <c r="AA51" s="557" t="n">
        <f aca="false">IF(AA3&gt;'Project Assumptions'!$I$16,0,IF(Z51-Z52+IF(AA49&lt;0,-1*AA49,0)&gt;0,Z51-Z52+IF(AA49&lt;0,-1*AA49,0),0))</f>
        <v>0</v>
      </c>
      <c r="AB51" s="795" t="n">
        <f aca="false">IF(AB3&gt;'Project Assumptions'!$I$16,0,IF(AA51-AA52+IF(AB49&lt;0,-1*AB49,0)&gt;0,AA51-AA52+IF(AB49&lt;0,-1*AB49,0),0))</f>
        <v>0</v>
      </c>
      <c r="AC51" s="385"/>
      <c r="AD51" s="385"/>
      <c r="AE51" s="548"/>
      <c r="AF51" s="548"/>
      <c r="AG51" s="548"/>
      <c r="AH51" s="548"/>
      <c r="AI51" s="548"/>
      <c r="AJ51" s="548"/>
      <c r="AK51" s="548"/>
      <c r="AL51" s="548"/>
      <c r="AM51" s="548"/>
      <c r="AN51" s="548"/>
      <c r="AO51" s="548"/>
      <c r="AP51" s="548"/>
      <c r="AQ51" s="548"/>
      <c r="AR51" s="548"/>
      <c r="AS51" s="548"/>
      <c r="AT51" s="548"/>
      <c r="AU51" s="548"/>
      <c r="AV51" s="548"/>
      <c r="AW51" s="548"/>
      <c r="AX51" s="548"/>
      <c r="AY51" s="548"/>
      <c r="AZ51" s="548"/>
      <c r="BA51" s="548"/>
      <c r="BB51" s="548"/>
      <c r="BC51" s="548"/>
      <c r="BD51" s="548"/>
      <c r="BE51" s="548"/>
      <c r="BF51" s="548"/>
      <c r="BG51" s="548"/>
      <c r="BH51" s="548"/>
      <c r="BI51" s="548"/>
      <c r="BJ51" s="548"/>
      <c r="BK51" s="548"/>
      <c r="BL51" s="548"/>
      <c r="BM51" s="548"/>
      <c r="BN51" s="548"/>
      <c r="BO51" s="548"/>
      <c r="BP51" s="548"/>
      <c r="BQ51" s="548"/>
      <c r="BR51" s="548"/>
      <c r="BS51" s="548"/>
      <c r="BT51" s="548"/>
      <c r="BU51" s="548"/>
      <c r="BV51" s="548"/>
      <c r="BW51" s="548"/>
      <c r="BX51" s="548"/>
      <c r="BY51" s="548"/>
      <c r="BZ51" s="548"/>
      <c r="CA51" s="548"/>
      <c r="CB51" s="548"/>
      <c r="CC51" s="548"/>
      <c r="CD51" s="548"/>
      <c r="CE51" s="548"/>
      <c r="CF51" s="548"/>
      <c r="CG51" s="548"/>
      <c r="CH51" s="548"/>
      <c r="CI51" s="548"/>
      <c r="CJ51" s="548"/>
      <c r="CK51" s="548"/>
      <c r="CL51" s="548"/>
      <c r="CM51" s="548"/>
      <c r="CN51" s="548"/>
      <c r="CO51" s="548"/>
      <c r="CP51" s="548"/>
      <c r="CQ51" s="548"/>
      <c r="CR51" s="548"/>
      <c r="CS51" s="548"/>
      <c r="CT51" s="548"/>
      <c r="CU51" s="548"/>
      <c r="CV51" s="548"/>
      <c r="CW51" s="548"/>
      <c r="CX51" s="548"/>
      <c r="CY51" s="548"/>
      <c r="CZ51" s="548"/>
      <c r="DA51" s="548"/>
      <c r="DB51" s="548"/>
      <c r="DC51" s="548"/>
      <c r="DD51" s="548"/>
      <c r="DE51" s="548"/>
      <c r="DF51" s="548"/>
      <c r="DG51" s="548"/>
      <c r="DH51" s="548"/>
      <c r="DI51" s="548"/>
      <c r="DJ51" s="548"/>
      <c r="DK51" s="548"/>
      <c r="DL51" s="548"/>
      <c r="DM51" s="548"/>
      <c r="DN51" s="548"/>
      <c r="DO51" s="548"/>
      <c r="DP51" s="548"/>
      <c r="DQ51" s="548"/>
      <c r="DR51" s="548"/>
      <c r="DS51" s="548"/>
      <c r="DT51" s="548"/>
      <c r="DU51" s="548"/>
      <c r="DV51" s="548"/>
      <c r="DW51" s="548"/>
      <c r="DX51" s="548"/>
      <c r="DY51" s="548"/>
      <c r="DZ51" s="548"/>
      <c r="EA51" s="548"/>
      <c r="EB51" s="548"/>
      <c r="EC51" s="548"/>
      <c r="ED51" s="548"/>
      <c r="EE51" s="548"/>
      <c r="EF51" s="548"/>
      <c r="EG51" s="548"/>
      <c r="EH51" s="548"/>
      <c r="EI51" s="548"/>
      <c r="EJ51" s="548"/>
      <c r="EK51" s="548"/>
      <c r="EL51" s="548"/>
      <c r="EM51" s="548"/>
      <c r="EN51" s="548"/>
      <c r="EO51" s="548"/>
      <c r="EP51" s="548"/>
      <c r="EQ51" s="548"/>
      <c r="ER51" s="548"/>
      <c r="ES51" s="548"/>
      <c r="ET51" s="548"/>
      <c r="EU51" s="548"/>
      <c r="EV51" s="548"/>
      <c r="EW51" s="548"/>
      <c r="EX51" s="548"/>
      <c r="EY51" s="548"/>
      <c r="EZ51" s="548"/>
      <c r="FA51" s="548"/>
      <c r="FB51" s="548"/>
      <c r="FC51" s="548"/>
      <c r="FD51" s="548"/>
      <c r="FE51" s="548"/>
      <c r="FF51" s="548"/>
      <c r="FG51" s="548"/>
      <c r="FH51" s="548"/>
      <c r="FI51" s="548"/>
      <c r="FJ51" s="548"/>
      <c r="FK51" s="548"/>
      <c r="FL51" s="548"/>
      <c r="FM51" s="548"/>
      <c r="FN51" s="548"/>
      <c r="FO51" s="548"/>
      <c r="FP51" s="548"/>
      <c r="FQ51" s="548"/>
      <c r="FR51" s="548"/>
      <c r="FS51" s="548"/>
      <c r="FT51" s="548"/>
      <c r="FU51" s="548"/>
      <c r="FV51" s="548"/>
      <c r="FW51" s="548"/>
      <c r="FX51" s="548"/>
      <c r="FY51" s="548"/>
      <c r="FZ51" s="548"/>
      <c r="GA51" s="548"/>
      <c r="GB51" s="548"/>
      <c r="GC51" s="548"/>
      <c r="GD51" s="548"/>
      <c r="GE51" s="548"/>
      <c r="GF51" s="548"/>
      <c r="GG51" s="548"/>
      <c r="GH51" s="548"/>
      <c r="GI51" s="548"/>
      <c r="GJ51" s="548"/>
      <c r="GK51" s="548"/>
      <c r="GL51" s="548"/>
      <c r="GM51" s="548"/>
      <c r="GN51" s="548"/>
      <c r="GO51" s="548"/>
      <c r="GP51" s="548"/>
      <c r="GQ51" s="548"/>
      <c r="GR51" s="548"/>
      <c r="GS51" s="548"/>
      <c r="GT51" s="548"/>
      <c r="GU51" s="548"/>
      <c r="GV51" s="548"/>
      <c r="GW51" s="548"/>
      <c r="GX51" s="548"/>
      <c r="GY51" s="548"/>
      <c r="GZ51" s="548"/>
      <c r="HA51" s="548"/>
      <c r="HB51" s="548"/>
      <c r="HC51" s="548"/>
      <c r="HD51" s="548"/>
      <c r="HE51" s="548"/>
      <c r="HF51" s="548"/>
      <c r="HG51" s="548"/>
      <c r="HH51" s="548"/>
      <c r="HI51" s="548"/>
      <c r="HJ51" s="548"/>
      <c r="HK51" s="548"/>
      <c r="HL51" s="548"/>
      <c r="HM51" s="548"/>
      <c r="HN51" s="548"/>
      <c r="HO51" s="548"/>
      <c r="HP51" s="548"/>
      <c r="HQ51" s="548"/>
      <c r="HR51" s="548"/>
      <c r="HS51" s="548"/>
      <c r="HT51" s="548"/>
      <c r="HU51" s="548"/>
      <c r="HV51" s="548"/>
      <c r="HW51" s="548"/>
      <c r="HX51" s="548"/>
      <c r="HY51" s="548"/>
      <c r="HZ51" s="548"/>
      <c r="IA51" s="548"/>
      <c r="IB51" s="548"/>
      <c r="IC51" s="548"/>
      <c r="ID51" s="548"/>
      <c r="IE51" s="548"/>
      <c r="IF51" s="548"/>
      <c r="IG51" s="548"/>
      <c r="IH51" s="548"/>
      <c r="II51" s="548"/>
      <c r="IJ51" s="548"/>
      <c r="IK51" s="548"/>
      <c r="IL51" s="548"/>
      <c r="IM51" s="548"/>
      <c r="IN51" s="548"/>
      <c r="IO51" s="548"/>
      <c r="IP51" s="548"/>
      <c r="IQ51" s="548"/>
      <c r="IR51" s="548"/>
      <c r="IS51" s="548"/>
      <c r="IT51" s="548"/>
      <c r="IU51" s="548"/>
      <c r="IV51" s="548"/>
      <c r="IW51" s="548"/>
    </row>
    <row r="52" customFormat="false" ht="11.25" hidden="false" customHeight="false" outlineLevel="0" collapsed="false">
      <c r="A52" s="412" t="s">
        <v>632</v>
      </c>
      <c r="B52" s="566"/>
      <c r="C52" s="385"/>
      <c r="D52" s="557" t="n">
        <f aca="false">IF('Project Assumptions'!$C$55="No",0,IF(D3&lt;='Project Assumptions'!$C$57,IF(D49&lt;0,0,IF(D51&gt;D49,D49,D51)),0))</f>
        <v>0</v>
      </c>
      <c r="E52" s="557" t="n">
        <f aca="false">IF('Project Assumptions'!$C$55="No",0,IF(E3&lt;='Project Assumptions'!$C$57,IF(E49&lt;0,0,IF(E51&gt;E49,E49,E51)),0))</f>
        <v>0</v>
      </c>
      <c r="F52" s="557" t="n">
        <f aca="false">IF('Project Assumptions'!$C$55="No",0,IF(F3&lt;='Project Assumptions'!$C$57,IF(F49&lt;0,0,IF(F51&gt;F49,F49,F51)),0))</f>
        <v>0</v>
      </c>
      <c r="G52" s="557" t="n">
        <f aca="false">IF('Project Assumptions'!$C$55="No",0,IF(G3&lt;='Project Assumptions'!$C$57,IF(G49&lt;0,0,IF(G51&gt;G49,G49,G51)),0))</f>
        <v>0</v>
      </c>
      <c r="H52" s="557" t="n">
        <f aca="false">IF('Project Assumptions'!$C$55="No",0,IF(H3&lt;='Project Assumptions'!$C$57,IF(H49&lt;0,0,IF(H51&gt;H49,H49,H51)),0))</f>
        <v>2320.74413913602</v>
      </c>
      <c r="I52" s="557" t="n">
        <f aca="false">IF('Project Assumptions'!$C$55="No",0,IF(I3&lt;='Project Assumptions'!$C$57,IF(I49&lt;0,0,IF(I51&gt;I49,I49,I51)),0))</f>
        <v>3459.78281366238</v>
      </c>
      <c r="J52" s="557" t="n">
        <f aca="false">IF('Project Assumptions'!$C$55="No",0,IF(J3&lt;='Project Assumptions'!$C$57,IF(J49&lt;0,0,IF(J51&gt;J49,J49,J51)),0))</f>
        <v>0</v>
      </c>
      <c r="K52" s="557" t="n">
        <f aca="false">IF('Project Assumptions'!$C$55="No",0,IF(K3&lt;='Project Assumptions'!$C$57,IF(K49&lt;0,0,IF(K51&gt;K49,K49,K51)),0))</f>
        <v>0</v>
      </c>
      <c r="L52" s="557" t="n">
        <f aca="false">IF('Project Assumptions'!$C$55="No",0,IF(L3&lt;='Project Assumptions'!$C$57,IF(L49&lt;0,0,IF(L51&gt;L49,L49,L51)),0))</f>
        <v>0</v>
      </c>
      <c r="M52" s="557" t="n">
        <f aca="false">IF('Project Assumptions'!$C$55="No",0,IF(M3&lt;='Project Assumptions'!$C$57,IF(M49&lt;0,0,IF(M51&gt;M49,M49,M51)),0))</f>
        <v>0</v>
      </c>
      <c r="N52" s="557" t="n">
        <f aca="false">IF('Project Assumptions'!$C$55="No",0,IF(N3&lt;='Project Assumptions'!$C$57,IF(N49&lt;0,0,IF(N51&gt;N49,N49,N51)),0))</f>
        <v>0</v>
      </c>
      <c r="O52" s="557" t="n">
        <f aca="false">IF('Project Assumptions'!$C$55="No",0,IF(O3&lt;='Project Assumptions'!$C$57,IF(O49&lt;0,0,IF(O51&gt;O49,O49,O51)),0))</f>
        <v>0</v>
      </c>
      <c r="P52" s="557" t="n">
        <f aca="false">IF('Project Assumptions'!$C$55="No",0,IF(P3&lt;='Project Assumptions'!$C$57,IF(P49&lt;0,0,IF(P51&gt;P49,P49,P51)),0))</f>
        <v>0</v>
      </c>
      <c r="Q52" s="557" t="n">
        <f aca="false">IF('Project Assumptions'!$C$55="No",0,IF(Q3&lt;='Project Assumptions'!$C$57,IF(Q49&lt;0,0,IF(Q51&gt;Q49,Q49,Q51)),0))</f>
        <v>0</v>
      </c>
      <c r="R52" s="557" t="n">
        <f aca="false">IF('Project Assumptions'!$C$55="No",0,IF(R3&lt;='Project Assumptions'!$C$57,IF(R49&lt;0,0,IF(R51&gt;R49,R49,R51)),0))</f>
        <v>0</v>
      </c>
      <c r="S52" s="557" t="n">
        <f aca="false">IF('Project Assumptions'!$C$55="No",0,IF(S3&lt;='Project Assumptions'!$C$57,IF(S49&lt;0,0,IF(S51&gt;S49,S49,S51)),0))</f>
        <v>0</v>
      </c>
      <c r="T52" s="557" t="n">
        <f aca="false">IF('Project Assumptions'!$C$55="No",0,IF(T3&lt;='Project Assumptions'!$C$57,IF(T49&lt;0,0,IF(T51&gt;T49,T49,T51)),0))</f>
        <v>0</v>
      </c>
      <c r="U52" s="557" t="n">
        <f aca="false">IF('Project Assumptions'!$C$55="No",0,IF(U3&lt;='Project Assumptions'!$C$57,IF(U49&lt;0,0,IF(U51&gt;U49,U49,U51)),0))</f>
        <v>0</v>
      </c>
      <c r="V52" s="557" t="n">
        <f aca="false">IF('Project Assumptions'!$C$55="No",0,IF(V3&lt;='Project Assumptions'!$C$57,IF(V49&lt;0,0,IF(V51&gt;V49,V49,V51)),0))</f>
        <v>0</v>
      </c>
      <c r="W52" s="557" t="n">
        <f aca="false">IF('Project Assumptions'!$C$55="No",0,IF(W3&lt;='Project Assumptions'!$C$57,IF(W49&lt;0,0,IF(W51&gt;W49,W49,W51)),0))</f>
        <v>0</v>
      </c>
      <c r="X52" s="557" t="n">
        <f aca="false">IF('Project Assumptions'!$C$55="No",0,IF(X3&lt;='Project Assumptions'!$C$57,IF(X49&lt;0,0,IF(X51&gt;X49,X49,X51)),0))</f>
        <v>0</v>
      </c>
      <c r="Y52" s="557" t="n">
        <f aca="false">IF('Project Assumptions'!$C$55="No",0,IF(Y3&lt;='Project Assumptions'!$C$57,IF(Y49&lt;0,0,IF(Y51&gt;Y49,Y49,Y51)),0))</f>
        <v>0</v>
      </c>
      <c r="Z52" s="557" t="n">
        <f aca="false">IF('Project Assumptions'!$C$55="No",0,IF(Z3&lt;='Project Assumptions'!$C$57,IF(Z49&lt;0,0,IF(Z51&gt;Z49,Z49,Z51)),0))</f>
        <v>0</v>
      </c>
      <c r="AA52" s="557" t="n">
        <f aca="false">IF('Project Assumptions'!$C$55="No",0,IF(AA3&lt;='Project Assumptions'!$C$57,IF(AA49&lt;0,0,IF(AA51&gt;AA49,AA49,AA51)),0))</f>
        <v>0</v>
      </c>
      <c r="AB52" s="795" t="n">
        <f aca="false">IF('Project Assumptions'!$C$55="No",0,IF(AB3&lt;='Project Assumptions'!$C$57,IF(AB49&lt;0,0,IF(AB51&gt;AB49,AB49,AB51)),0))</f>
        <v>0</v>
      </c>
      <c r="AE52" s="548"/>
      <c r="AF52" s="548"/>
      <c r="AG52" s="548"/>
      <c r="AH52" s="548"/>
      <c r="AI52" s="548"/>
      <c r="AJ52" s="548"/>
      <c r="AK52" s="548"/>
      <c r="AL52" s="548"/>
      <c r="AM52" s="548"/>
      <c r="AN52" s="548"/>
      <c r="AO52" s="548"/>
      <c r="AP52" s="548"/>
      <c r="AQ52" s="548"/>
      <c r="AR52" s="548"/>
      <c r="AS52" s="548"/>
      <c r="AT52" s="548"/>
      <c r="AU52" s="548"/>
      <c r="AV52" s="548"/>
      <c r="AW52" s="548"/>
      <c r="AX52" s="548"/>
      <c r="AY52" s="548"/>
      <c r="AZ52" s="548"/>
      <c r="BA52" s="548"/>
      <c r="BB52" s="548"/>
      <c r="BC52" s="548"/>
      <c r="BD52" s="548"/>
      <c r="BE52" s="548"/>
      <c r="BF52" s="548"/>
      <c r="BG52" s="548"/>
      <c r="BH52" s="548"/>
      <c r="BI52" s="548"/>
      <c r="BJ52" s="548"/>
      <c r="BK52" s="548"/>
      <c r="BL52" s="548"/>
      <c r="BM52" s="548"/>
      <c r="BN52" s="548"/>
      <c r="BO52" s="548"/>
      <c r="BP52" s="548"/>
      <c r="BQ52" s="548"/>
      <c r="BR52" s="548"/>
      <c r="BS52" s="548"/>
      <c r="BT52" s="548"/>
      <c r="BU52" s="548"/>
      <c r="BV52" s="548"/>
      <c r="BW52" s="548"/>
      <c r="BX52" s="548"/>
      <c r="BY52" s="548"/>
      <c r="BZ52" s="548"/>
      <c r="CA52" s="548"/>
      <c r="CB52" s="548"/>
      <c r="CC52" s="548"/>
      <c r="CD52" s="548"/>
      <c r="CE52" s="548"/>
      <c r="CF52" s="548"/>
      <c r="CG52" s="548"/>
      <c r="CH52" s="548"/>
      <c r="CI52" s="548"/>
      <c r="CJ52" s="548"/>
      <c r="CK52" s="548"/>
      <c r="CL52" s="548"/>
      <c r="CM52" s="548"/>
      <c r="CN52" s="548"/>
      <c r="CO52" s="548"/>
      <c r="CP52" s="548"/>
      <c r="CQ52" s="548"/>
      <c r="CR52" s="548"/>
      <c r="CS52" s="548"/>
      <c r="CT52" s="548"/>
      <c r="CU52" s="548"/>
      <c r="CV52" s="548"/>
      <c r="CW52" s="548"/>
      <c r="CX52" s="548"/>
      <c r="CY52" s="548"/>
      <c r="CZ52" s="548"/>
      <c r="DA52" s="548"/>
      <c r="DB52" s="548"/>
      <c r="DC52" s="548"/>
      <c r="DD52" s="548"/>
      <c r="DE52" s="548"/>
      <c r="DF52" s="548"/>
      <c r="DG52" s="548"/>
      <c r="DH52" s="548"/>
      <c r="DI52" s="548"/>
      <c r="DJ52" s="548"/>
      <c r="DK52" s="548"/>
      <c r="DL52" s="548"/>
      <c r="DM52" s="548"/>
      <c r="DN52" s="548"/>
      <c r="DO52" s="548"/>
      <c r="DP52" s="548"/>
      <c r="DQ52" s="548"/>
      <c r="DR52" s="548"/>
      <c r="DS52" s="548"/>
      <c r="DT52" s="548"/>
      <c r="DU52" s="548"/>
      <c r="DV52" s="548"/>
      <c r="DW52" s="548"/>
      <c r="DX52" s="548"/>
      <c r="DY52" s="548"/>
      <c r="DZ52" s="548"/>
      <c r="EA52" s="548"/>
      <c r="EB52" s="548"/>
      <c r="EC52" s="548"/>
      <c r="ED52" s="548"/>
      <c r="EE52" s="548"/>
      <c r="EF52" s="548"/>
      <c r="EG52" s="548"/>
      <c r="EH52" s="548"/>
      <c r="EI52" s="548"/>
      <c r="EJ52" s="548"/>
      <c r="EK52" s="548"/>
      <c r="EL52" s="548"/>
      <c r="EM52" s="548"/>
      <c r="EN52" s="548"/>
      <c r="EO52" s="548"/>
      <c r="EP52" s="548"/>
      <c r="EQ52" s="548"/>
      <c r="ER52" s="548"/>
      <c r="ES52" s="548"/>
      <c r="ET52" s="548"/>
      <c r="EU52" s="548"/>
      <c r="EV52" s="548"/>
      <c r="EW52" s="548"/>
      <c r="EX52" s="548"/>
      <c r="EY52" s="548"/>
      <c r="EZ52" s="548"/>
      <c r="FA52" s="548"/>
      <c r="FB52" s="548"/>
      <c r="FC52" s="548"/>
      <c r="FD52" s="548"/>
      <c r="FE52" s="548"/>
      <c r="FF52" s="548"/>
      <c r="FG52" s="548"/>
      <c r="FH52" s="548"/>
      <c r="FI52" s="548"/>
      <c r="FJ52" s="548"/>
      <c r="FK52" s="548"/>
      <c r="FL52" s="548"/>
      <c r="FM52" s="548"/>
      <c r="FN52" s="548"/>
      <c r="FO52" s="548"/>
      <c r="FP52" s="548"/>
      <c r="FQ52" s="548"/>
      <c r="FR52" s="548"/>
      <c r="FS52" s="548"/>
      <c r="FT52" s="548"/>
      <c r="FU52" s="548"/>
      <c r="FV52" s="548"/>
      <c r="FW52" s="548"/>
      <c r="FX52" s="548"/>
      <c r="FY52" s="548"/>
      <c r="FZ52" s="548"/>
      <c r="GA52" s="548"/>
      <c r="GB52" s="548"/>
      <c r="GC52" s="548"/>
      <c r="GD52" s="548"/>
      <c r="GE52" s="548"/>
      <c r="GF52" s="548"/>
      <c r="GG52" s="548"/>
      <c r="GH52" s="548"/>
      <c r="GI52" s="548"/>
      <c r="GJ52" s="548"/>
      <c r="GK52" s="548"/>
      <c r="GL52" s="548"/>
      <c r="GM52" s="548"/>
      <c r="GN52" s="548"/>
      <c r="GO52" s="548"/>
      <c r="GP52" s="548"/>
      <c r="GQ52" s="548"/>
      <c r="GR52" s="548"/>
      <c r="GS52" s="548"/>
      <c r="GT52" s="548"/>
      <c r="GU52" s="548"/>
      <c r="GV52" s="548"/>
      <c r="GW52" s="548"/>
      <c r="GX52" s="548"/>
      <c r="GY52" s="548"/>
      <c r="GZ52" s="548"/>
      <c r="HA52" s="548"/>
      <c r="HB52" s="548"/>
      <c r="HC52" s="548"/>
      <c r="HD52" s="548"/>
      <c r="HE52" s="548"/>
      <c r="HF52" s="548"/>
      <c r="HG52" s="548"/>
      <c r="HH52" s="548"/>
      <c r="HI52" s="548"/>
      <c r="HJ52" s="548"/>
      <c r="HK52" s="548"/>
      <c r="HL52" s="548"/>
      <c r="HM52" s="548"/>
      <c r="HN52" s="548"/>
      <c r="HO52" s="548"/>
      <c r="HP52" s="548"/>
      <c r="HQ52" s="548"/>
      <c r="HR52" s="548"/>
      <c r="HS52" s="548"/>
      <c r="HT52" s="548"/>
      <c r="HU52" s="548"/>
      <c r="HV52" s="548"/>
      <c r="HW52" s="548"/>
      <c r="HX52" s="548"/>
      <c r="HY52" s="548"/>
      <c r="HZ52" s="548"/>
      <c r="IA52" s="548"/>
      <c r="IB52" s="548"/>
      <c r="IC52" s="548"/>
      <c r="ID52" s="548"/>
      <c r="IE52" s="548"/>
      <c r="IF52" s="548"/>
      <c r="IG52" s="548"/>
      <c r="IH52" s="548"/>
      <c r="II52" s="548"/>
      <c r="IJ52" s="548"/>
      <c r="IK52" s="548"/>
      <c r="IL52" s="548"/>
      <c r="IM52" s="548"/>
      <c r="IN52" s="548"/>
      <c r="IO52" s="548"/>
      <c r="IP52" s="548"/>
      <c r="IQ52" s="548"/>
      <c r="IR52" s="548"/>
      <c r="IS52" s="548"/>
      <c r="IT52" s="548"/>
      <c r="IU52" s="548"/>
      <c r="IV52" s="548"/>
      <c r="IW52" s="548"/>
    </row>
    <row r="53" customFormat="false" ht="11.25" hidden="false" customHeight="false" outlineLevel="0" collapsed="false">
      <c r="A53" s="412"/>
      <c r="B53" s="566"/>
      <c r="C53" s="385"/>
      <c r="D53" s="557"/>
      <c r="E53" s="557"/>
      <c r="F53" s="557"/>
      <c r="G53" s="557"/>
      <c r="H53" s="557"/>
      <c r="I53" s="557"/>
      <c r="J53" s="557"/>
      <c r="K53" s="557"/>
      <c r="L53" s="557"/>
      <c r="M53" s="557"/>
      <c r="N53" s="557"/>
      <c r="O53" s="557"/>
      <c r="P53" s="557"/>
      <c r="Q53" s="557"/>
      <c r="R53" s="557"/>
      <c r="S53" s="557"/>
      <c r="T53" s="557"/>
      <c r="U53" s="557"/>
      <c r="V53" s="557"/>
      <c r="W53" s="557"/>
      <c r="X53" s="557"/>
      <c r="Y53" s="557"/>
      <c r="Z53" s="557"/>
      <c r="AA53" s="557"/>
      <c r="AB53" s="795"/>
      <c r="AE53" s="548"/>
      <c r="AF53" s="548"/>
      <c r="AG53" s="548"/>
      <c r="AH53" s="548"/>
      <c r="AI53" s="548"/>
      <c r="AJ53" s="548"/>
      <c r="AK53" s="548"/>
      <c r="AL53" s="548"/>
      <c r="AM53" s="548"/>
      <c r="AN53" s="548"/>
      <c r="AO53" s="548"/>
      <c r="AP53" s="548"/>
      <c r="AQ53" s="548"/>
      <c r="AR53" s="548"/>
      <c r="AS53" s="548"/>
      <c r="AT53" s="548"/>
      <c r="AU53" s="548"/>
      <c r="AV53" s="548"/>
      <c r="AW53" s="548"/>
      <c r="AX53" s="548"/>
      <c r="AY53" s="548"/>
      <c r="AZ53" s="548"/>
      <c r="BA53" s="548"/>
      <c r="BB53" s="548"/>
      <c r="BC53" s="548"/>
      <c r="BD53" s="548"/>
      <c r="BE53" s="548"/>
      <c r="BF53" s="548"/>
      <c r="BG53" s="548"/>
      <c r="BH53" s="548"/>
      <c r="BI53" s="548"/>
      <c r="BJ53" s="548"/>
      <c r="BK53" s="548"/>
      <c r="BL53" s="548"/>
      <c r="BM53" s="548"/>
      <c r="BN53" s="548"/>
      <c r="BO53" s="548"/>
      <c r="BP53" s="548"/>
      <c r="BQ53" s="548"/>
      <c r="BR53" s="548"/>
      <c r="BS53" s="548"/>
      <c r="BT53" s="548"/>
      <c r="BU53" s="548"/>
      <c r="BV53" s="548"/>
      <c r="BW53" s="548"/>
      <c r="BX53" s="548"/>
      <c r="BY53" s="548"/>
      <c r="BZ53" s="548"/>
      <c r="CA53" s="548"/>
      <c r="CB53" s="548"/>
      <c r="CC53" s="548"/>
      <c r="CD53" s="548"/>
      <c r="CE53" s="548"/>
      <c r="CF53" s="548"/>
      <c r="CG53" s="548"/>
      <c r="CH53" s="548"/>
      <c r="CI53" s="548"/>
      <c r="CJ53" s="548"/>
      <c r="CK53" s="548"/>
      <c r="CL53" s="548"/>
      <c r="CM53" s="548"/>
      <c r="CN53" s="548"/>
      <c r="CO53" s="548"/>
      <c r="CP53" s="548"/>
      <c r="CQ53" s="548"/>
      <c r="CR53" s="548"/>
      <c r="CS53" s="548"/>
      <c r="CT53" s="548"/>
      <c r="CU53" s="548"/>
      <c r="CV53" s="548"/>
      <c r="CW53" s="548"/>
      <c r="CX53" s="548"/>
      <c r="CY53" s="548"/>
      <c r="CZ53" s="548"/>
      <c r="DA53" s="548"/>
      <c r="DB53" s="548"/>
      <c r="DC53" s="548"/>
      <c r="DD53" s="548"/>
      <c r="DE53" s="548"/>
      <c r="DF53" s="548"/>
      <c r="DG53" s="548"/>
      <c r="DH53" s="548"/>
      <c r="DI53" s="548"/>
      <c r="DJ53" s="548"/>
      <c r="DK53" s="548"/>
      <c r="DL53" s="548"/>
      <c r="DM53" s="548"/>
      <c r="DN53" s="548"/>
      <c r="DO53" s="548"/>
      <c r="DP53" s="548"/>
      <c r="DQ53" s="548"/>
      <c r="DR53" s="548"/>
      <c r="DS53" s="548"/>
      <c r="DT53" s="548"/>
      <c r="DU53" s="548"/>
      <c r="DV53" s="548"/>
      <c r="DW53" s="548"/>
      <c r="DX53" s="548"/>
      <c r="DY53" s="548"/>
      <c r="DZ53" s="548"/>
      <c r="EA53" s="548"/>
      <c r="EB53" s="548"/>
      <c r="EC53" s="548"/>
      <c r="ED53" s="548"/>
      <c r="EE53" s="548"/>
      <c r="EF53" s="548"/>
      <c r="EG53" s="548"/>
      <c r="EH53" s="548"/>
      <c r="EI53" s="548"/>
      <c r="EJ53" s="548"/>
      <c r="EK53" s="548"/>
      <c r="EL53" s="548"/>
      <c r="EM53" s="548"/>
      <c r="EN53" s="548"/>
      <c r="EO53" s="548"/>
      <c r="EP53" s="548"/>
      <c r="EQ53" s="548"/>
      <c r="ER53" s="548"/>
      <c r="ES53" s="548"/>
      <c r="ET53" s="548"/>
      <c r="EU53" s="548"/>
      <c r="EV53" s="548"/>
      <c r="EW53" s="548"/>
      <c r="EX53" s="548"/>
      <c r="EY53" s="548"/>
      <c r="EZ53" s="548"/>
      <c r="FA53" s="548"/>
      <c r="FB53" s="548"/>
      <c r="FC53" s="548"/>
      <c r="FD53" s="548"/>
      <c r="FE53" s="548"/>
      <c r="FF53" s="548"/>
      <c r="FG53" s="548"/>
      <c r="FH53" s="548"/>
      <c r="FI53" s="548"/>
      <c r="FJ53" s="548"/>
      <c r="FK53" s="548"/>
      <c r="FL53" s="548"/>
      <c r="FM53" s="548"/>
      <c r="FN53" s="548"/>
      <c r="FO53" s="548"/>
      <c r="FP53" s="548"/>
      <c r="FQ53" s="548"/>
      <c r="FR53" s="548"/>
      <c r="FS53" s="548"/>
      <c r="FT53" s="548"/>
      <c r="FU53" s="548"/>
      <c r="FV53" s="548"/>
      <c r="FW53" s="548"/>
      <c r="FX53" s="548"/>
      <c r="FY53" s="548"/>
      <c r="FZ53" s="548"/>
      <c r="GA53" s="548"/>
      <c r="GB53" s="548"/>
      <c r="GC53" s="548"/>
      <c r="GD53" s="548"/>
      <c r="GE53" s="548"/>
      <c r="GF53" s="548"/>
      <c r="GG53" s="548"/>
      <c r="GH53" s="548"/>
      <c r="GI53" s="548"/>
      <c r="GJ53" s="548"/>
      <c r="GK53" s="548"/>
      <c r="GL53" s="548"/>
      <c r="GM53" s="548"/>
      <c r="GN53" s="548"/>
      <c r="GO53" s="548"/>
      <c r="GP53" s="548"/>
      <c r="GQ53" s="548"/>
      <c r="GR53" s="548"/>
      <c r="GS53" s="548"/>
      <c r="GT53" s="548"/>
      <c r="GU53" s="548"/>
      <c r="GV53" s="548"/>
      <c r="GW53" s="548"/>
      <c r="GX53" s="548"/>
      <c r="GY53" s="548"/>
      <c r="GZ53" s="548"/>
      <c r="HA53" s="548"/>
      <c r="HB53" s="548"/>
      <c r="HC53" s="548"/>
      <c r="HD53" s="548"/>
      <c r="HE53" s="548"/>
      <c r="HF53" s="548"/>
      <c r="HG53" s="548"/>
      <c r="HH53" s="548"/>
      <c r="HI53" s="548"/>
      <c r="HJ53" s="548"/>
      <c r="HK53" s="548"/>
      <c r="HL53" s="548"/>
      <c r="HM53" s="548"/>
      <c r="HN53" s="548"/>
      <c r="HO53" s="548"/>
      <c r="HP53" s="548"/>
      <c r="HQ53" s="548"/>
      <c r="HR53" s="548"/>
      <c r="HS53" s="548"/>
      <c r="HT53" s="548"/>
      <c r="HU53" s="548"/>
      <c r="HV53" s="548"/>
      <c r="HW53" s="548"/>
      <c r="HX53" s="548"/>
      <c r="HY53" s="548"/>
      <c r="HZ53" s="548"/>
      <c r="IA53" s="548"/>
      <c r="IB53" s="548"/>
      <c r="IC53" s="548"/>
      <c r="ID53" s="548"/>
      <c r="IE53" s="548"/>
      <c r="IF53" s="548"/>
      <c r="IG53" s="548"/>
      <c r="IH53" s="548"/>
      <c r="II53" s="548"/>
      <c r="IJ53" s="548"/>
      <c r="IK53" s="548"/>
      <c r="IL53" s="548"/>
      <c r="IM53" s="548"/>
      <c r="IN53" s="548"/>
      <c r="IO53" s="548"/>
      <c r="IP53" s="548"/>
      <c r="IQ53" s="548"/>
      <c r="IR53" s="548"/>
      <c r="IS53" s="548"/>
      <c r="IT53" s="548"/>
      <c r="IU53" s="548"/>
      <c r="IV53" s="548"/>
      <c r="IW53" s="548"/>
    </row>
    <row r="54" customFormat="false" ht="11.25" hidden="false" customHeight="false" outlineLevel="0" collapsed="false">
      <c r="A54" s="902" t="s">
        <v>643</v>
      </c>
      <c r="B54" s="903"/>
      <c r="C54" s="889"/>
      <c r="D54" s="844" t="n">
        <f aca="false">IF(AND('Project Assumptions'!$C$55="No",D49&lt;0),C49,IF(AND('Project Assumptions'!$C$55="No",D49&gt;0),D49,IF(D49&lt;0,0,(D49-D52))))</f>
        <v>0</v>
      </c>
      <c r="E54" s="844" t="n">
        <f aca="false">IF(AND('Project Assumptions'!$C$55="No",E49&lt;0),D49,IF(AND('Project Assumptions'!$C$55="No",E49&gt;0),E49,IF(E49&lt;0,0,(E49-E52))))</f>
        <v>0</v>
      </c>
      <c r="F54" s="844" t="n">
        <f aca="false">IF(AND('Project Assumptions'!$C$55="No",F49&lt;0),E49,IF(AND('Project Assumptions'!$C$55="No",F49&gt;0),F49,IF(F49&lt;0,0,(F49-F52))))</f>
        <v>0</v>
      </c>
      <c r="G54" s="844" t="n">
        <f aca="false">IF(AND('Project Assumptions'!$C$55="No",G49&lt;0),F49,IF(AND('Project Assumptions'!$C$55="No",G49&gt;0),G49,IF(G49&lt;0,0,(G49-G52))))</f>
        <v>0</v>
      </c>
      <c r="H54" s="844" t="n">
        <f aca="false">IF(AND('Project Assumptions'!$C$55="No",H49&lt;0),G49,IF(AND('Project Assumptions'!$C$55="No",H49&gt;0),H49,IF(H49&lt;0,0,(H49-H52))))</f>
        <v>0</v>
      </c>
      <c r="I54" s="844" t="n">
        <f aca="false">IF(AND('Project Assumptions'!$C$55="No",I49&lt;0),H49,IF(AND('Project Assumptions'!$C$55="No",I49&gt;0),I49,IF(I49&lt;0,0,(I49-I52))))</f>
        <v>955.230457727992</v>
      </c>
      <c r="J54" s="844" t="n">
        <f aca="false">IF(AND('Project Assumptions'!$C$55="No",J49&lt;0),I49,IF(AND('Project Assumptions'!$C$55="No",J49&gt;0),J49,IF(J49&lt;0,0,(J49-J52))))</f>
        <v>4759.17804280247</v>
      </c>
      <c r="K54" s="844" t="n">
        <f aca="false">IF(AND('Project Assumptions'!$C$55="No",K49&lt;0),J49,IF(AND('Project Assumptions'!$C$55="No",K49&gt;0),K49,IF(K49&lt;0,0,(K49-K52))))</f>
        <v>5002.24610829606</v>
      </c>
      <c r="L54" s="844" t="n">
        <f aca="false">IF(AND('Project Assumptions'!$C$55="No",L49&lt;0),K49,IF(AND('Project Assumptions'!$C$55="No",L49&gt;0),L49,IF(L49&lt;0,0,(L49-L52))))</f>
        <v>5461.13360111019</v>
      </c>
      <c r="M54" s="844" t="n">
        <f aca="false">IF(AND('Project Assumptions'!$C$55="No",M49&lt;0),L49,IF(AND('Project Assumptions'!$C$55="No",M49&gt;0),M49,IF(M49&lt;0,0,(M49-M52))))</f>
        <v>5788.59250118797</v>
      </c>
      <c r="N54" s="844" t="n">
        <f aca="false">IF(AND('Project Assumptions'!$C$55="No",N49&lt;0),M49,IF(AND('Project Assumptions'!$C$55="No",N49&gt;0),N49,IF(N49&lt;0,0,(N49-N52))))</f>
        <v>6410.78495697979</v>
      </c>
      <c r="O54" s="844" t="n">
        <f aca="false">IF(AND('Project Assumptions'!$C$55="No",O49&lt;0),N49,IF(AND('Project Assumptions'!$C$55="No",O49&gt;0),O49,IF(O49&lt;0,0,(O49-O52))))</f>
        <v>6311.97222151733</v>
      </c>
      <c r="P54" s="844" t="n">
        <f aca="false">IF(AND('Project Assumptions'!$C$55="No",P49&lt;0),O49,IF(AND('Project Assumptions'!$C$55="No",P49&gt;0),P49,IF(P49&lt;0,0,(P49-P52))))</f>
        <v>6764.83011467148</v>
      </c>
      <c r="Q54" s="844" t="n">
        <f aca="false">IF(AND('Project Assumptions'!$C$55="No",Q49&lt;0),P49,IF(AND('Project Assumptions'!$C$55="No",Q49&gt;0),Q49,IF(Q49&lt;0,0,(Q49-Q52))))</f>
        <v>6977.22622711106</v>
      </c>
      <c r="R54" s="844" t="n">
        <f aca="false">IF(AND('Project Assumptions'!$C$55="No",R49&lt;0),Q49,IF(AND('Project Assumptions'!$C$55="No",R49&gt;0),R49,IF(R49&lt;0,0,(R49-R52))))</f>
        <v>7194.91352928492</v>
      </c>
      <c r="S54" s="844" t="n">
        <f aca="false">IF(AND('Project Assumptions'!$C$55="No",S49&lt;0),R49,IF(AND('Project Assumptions'!$C$55="No",S49&gt;0),S49,IF(S49&lt;0,0,(S49-S52))))</f>
        <v>8873.73331823948</v>
      </c>
      <c r="T54" s="844" t="n">
        <f aca="false">IF(AND('Project Assumptions'!$C$55="No",T49&lt;0),S49,IF(AND('Project Assumptions'!$C$55="No",T49&gt;0),T49,IF(T49&lt;0,0,(T49-T52))))</f>
        <v>10587.8744018632</v>
      </c>
      <c r="U54" s="844" t="n">
        <f aca="false">IF(AND('Project Assumptions'!$C$55="No",U49&lt;0),T49,IF(AND('Project Assumptions'!$C$55="No",U49&gt;0),U49,IF(U49&lt;0,0,(U49-U52))))</f>
        <v>10917.9904250944</v>
      </c>
      <c r="V54" s="844" t="n">
        <f aca="false">IF(AND('Project Assumptions'!$C$55="No",V49&lt;0),U49,IF(AND('Project Assumptions'!$C$55="No",V49&gt;0),V49,IF(V49&lt;0,0,(V49-V52))))</f>
        <v>11247.3601494021</v>
      </c>
      <c r="W54" s="844" t="n">
        <f aca="false">IF(AND('Project Assumptions'!$C$55="No",W49&lt;0),V49,IF(AND('Project Assumptions'!$C$55="No",W49&gt;0),W49,IF(W49&lt;0,0,(W49-W52))))</f>
        <v>11588.7114005148</v>
      </c>
      <c r="X54" s="844" t="n">
        <f aca="false">IF(AND('Project Assumptions'!$C$55="No",X49&lt;0),W49,IF(AND('Project Assumptions'!$C$55="No",X49&gt;0),X49,IF(X49&lt;0,0,(X49-X52))))</f>
        <v>11961.7202151829</v>
      </c>
      <c r="Y54" s="844" t="n">
        <f aca="false">IF(AND('Project Assumptions'!$C$55="No",Y49&lt;0),X49,IF(AND('Project Assumptions'!$C$55="No",Y49&gt;0),Y49,IF(Y49&lt;0,0,(Y49-Y52))))</f>
        <v>0</v>
      </c>
      <c r="Z54" s="844" t="n">
        <f aca="false">IF(AND('Project Assumptions'!$C$55="No",Z49&lt;0),Y49,IF(AND('Project Assumptions'!$C$55="No",Z49&gt;0),Z49,IF(Z49&lt;0,0,(Z49-Z52))))</f>
        <v>0</v>
      </c>
      <c r="AA54" s="844" t="n">
        <f aca="false">IF(AND('Project Assumptions'!$C$55="No",AA49&lt;0),Z49,IF(AND('Project Assumptions'!$C$55="No",AA49&gt;0),AA49,IF(AA49&lt;0,0,(AA49-AA52))))</f>
        <v>0</v>
      </c>
      <c r="AB54" s="904" t="n">
        <f aca="false">IF(AND('Project Assumptions'!$C$55="No",AB49&lt;0),AA49,IF(AND('Project Assumptions'!$C$55="No",AB49&gt;0),AB49,IF(AB49&lt;0,0,(AB49-AB52))))</f>
        <v>0</v>
      </c>
      <c r="AE54" s="548"/>
      <c r="AF54" s="548"/>
      <c r="AG54" s="548"/>
      <c r="AH54" s="548"/>
      <c r="AI54" s="548"/>
      <c r="AJ54" s="548"/>
      <c r="AK54" s="548"/>
      <c r="AL54" s="548"/>
      <c r="AM54" s="548"/>
      <c r="AN54" s="548"/>
      <c r="AO54" s="548"/>
      <c r="AP54" s="548"/>
      <c r="AQ54" s="548"/>
      <c r="AR54" s="548"/>
      <c r="AS54" s="548"/>
      <c r="AT54" s="548"/>
      <c r="AU54" s="548"/>
      <c r="AV54" s="548"/>
      <c r="AW54" s="548"/>
      <c r="AX54" s="548"/>
      <c r="AY54" s="548"/>
      <c r="AZ54" s="548"/>
      <c r="BA54" s="548"/>
      <c r="BB54" s="548"/>
      <c r="BC54" s="548"/>
      <c r="BD54" s="548"/>
      <c r="BE54" s="548"/>
      <c r="BF54" s="548"/>
      <c r="BG54" s="548"/>
      <c r="BH54" s="548"/>
      <c r="BI54" s="548"/>
      <c r="BJ54" s="548"/>
      <c r="BK54" s="548"/>
      <c r="BL54" s="548"/>
      <c r="BM54" s="548"/>
      <c r="BN54" s="548"/>
      <c r="BO54" s="548"/>
      <c r="BP54" s="548"/>
      <c r="BQ54" s="548"/>
      <c r="BR54" s="548"/>
      <c r="BS54" s="548"/>
      <c r="BT54" s="548"/>
      <c r="BU54" s="548"/>
      <c r="BV54" s="548"/>
      <c r="BW54" s="548"/>
      <c r="BX54" s="548"/>
      <c r="BY54" s="548"/>
      <c r="BZ54" s="548"/>
      <c r="CA54" s="548"/>
      <c r="CB54" s="548"/>
      <c r="CC54" s="548"/>
      <c r="CD54" s="548"/>
      <c r="CE54" s="548"/>
      <c r="CF54" s="548"/>
      <c r="CG54" s="548"/>
      <c r="CH54" s="548"/>
      <c r="CI54" s="548"/>
      <c r="CJ54" s="548"/>
      <c r="CK54" s="548"/>
      <c r="CL54" s="548"/>
      <c r="CM54" s="548"/>
      <c r="CN54" s="548"/>
      <c r="CO54" s="548"/>
      <c r="CP54" s="548"/>
      <c r="CQ54" s="548"/>
      <c r="CR54" s="548"/>
      <c r="CS54" s="548"/>
      <c r="CT54" s="548"/>
      <c r="CU54" s="548"/>
      <c r="CV54" s="548"/>
      <c r="CW54" s="548"/>
      <c r="CX54" s="548"/>
      <c r="CY54" s="548"/>
      <c r="CZ54" s="548"/>
      <c r="DA54" s="548"/>
      <c r="DB54" s="548"/>
      <c r="DC54" s="548"/>
      <c r="DD54" s="548"/>
      <c r="DE54" s="548"/>
      <c r="DF54" s="548"/>
      <c r="DG54" s="548"/>
      <c r="DH54" s="548"/>
      <c r="DI54" s="548"/>
      <c r="DJ54" s="548"/>
      <c r="DK54" s="548"/>
      <c r="DL54" s="548"/>
      <c r="DM54" s="548"/>
      <c r="DN54" s="548"/>
      <c r="DO54" s="548"/>
      <c r="DP54" s="548"/>
      <c r="DQ54" s="548"/>
      <c r="DR54" s="548"/>
      <c r="DS54" s="548"/>
      <c r="DT54" s="548"/>
      <c r="DU54" s="548"/>
      <c r="DV54" s="548"/>
      <c r="DW54" s="548"/>
      <c r="DX54" s="548"/>
      <c r="DY54" s="548"/>
      <c r="DZ54" s="548"/>
      <c r="EA54" s="548"/>
      <c r="EB54" s="548"/>
      <c r="EC54" s="548"/>
      <c r="ED54" s="548"/>
      <c r="EE54" s="548"/>
      <c r="EF54" s="548"/>
      <c r="EG54" s="548"/>
      <c r="EH54" s="548"/>
      <c r="EI54" s="548"/>
      <c r="EJ54" s="548"/>
      <c r="EK54" s="548"/>
      <c r="EL54" s="548"/>
      <c r="EM54" s="548"/>
      <c r="EN54" s="548"/>
      <c r="EO54" s="548"/>
      <c r="EP54" s="548"/>
      <c r="EQ54" s="548"/>
      <c r="ER54" s="548"/>
      <c r="ES54" s="548"/>
      <c r="ET54" s="548"/>
      <c r="EU54" s="548"/>
      <c r="EV54" s="548"/>
      <c r="EW54" s="548"/>
      <c r="EX54" s="548"/>
      <c r="EY54" s="548"/>
      <c r="EZ54" s="548"/>
      <c r="FA54" s="548"/>
      <c r="FB54" s="548"/>
      <c r="FC54" s="548"/>
      <c r="FD54" s="548"/>
      <c r="FE54" s="548"/>
      <c r="FF54" s="548"/>
      <c r="FG54" s="548"/>
      <c r="FH54" s="548"/>
      <c r="FI54" s="548"/>
      <c r="FJ54" s="548"/>
      <c r="FK54" s="548"/>
      <c r="FL54" s="548"/>
      <c r="FM54" s="548"/>
      <c r="FN54" s="548"/>
      <c r="FO54" s="548"/>
      <c r="FP54" s="548"/>
      <c r="FQ54" s="548"/>
      <c r="FR54" s="548"/>
      <c r="FS54" s="548"/>
      <c r="FT54" s="548"/>
      <c r="FU54" s="548"/>
      <c r="FV54" s="548"/>
      <c r="FW54" s="548"/>
      <c r="FX54" s="548"/>
      <c r="FY54" s="548"/>
      <c r="FZ54" s="548"/>
      <c r="GA54" s="548"/>
      <c r="GB54" s="548"/>
      <c r="GC54" s="548"/>
      <c r="GD54" s="548"/>
      <c r="GE54" s="548"/>
      <c r="GF54" s="548"/>
      <c r="GG54" s="548"/>
      <c r="GH54" s="548"/>
      <c r="GI54" s="548"/>
      <c r="GJ54" s="548"/>
      <c r="GK54" s="548"/>
      <c r="GL54" s="548"/>
      <c r="GM54" s="548"/>
      <c r="GN54" s="548"/>
      <c r="GO54" s="548"/>
      <c r="GP54" s="548"/>
      <c r="GQ54" s="548"/>
      <c r="GR54" s="548"/>
      <c r="GS54" s="548"/>
      <c r="GT54" s="548"/>
      <c r="GU54" s="548"/>
      <c r="GV54" s="548"/>
      <c r="GW54" s="548"/>
      <c r="GX54" s="548"/>
      <c r="GY54" s="548"/>
      <c r="GZ54" s="548"/>
      <c r="HA54" s="548"/>
      <c r="HB54" s="548"/>
      <c r="HC54" s="548"/>
      <c r="HD54" s="548"/>
      <c r="HE54" s="548"/>
      <c r="HF54" s="548"/>
      <c r="HG54" s="548"/>
      <c r="HH54" s="548"/>
      <c r="HI54" s="548"/>
      <c r="HJ54" s="548"/>
      <c r="HK54" s="548"/>
      <c r="HL54" s="548"/>
      <c r="HM54" s="548"/>
      <c r="HN54" s="548"/>
      <c r="HO54" s="548"/>
      <c r="HP54" s="548"/>
      <c r="HQ54" s="548"/>
      <c r="HR54" s="548"/>
      <c r="HS54" s="548"/>
      <c r="HT54" s="548"/>
      <c r="HU54" s="548"/>
      <c r="HV54" s="548"/>
      <c r="HW54" s="548"/>
      <c r="HX54" s="548"/>
      <c r="HY54" s="548"/>
      <c r="HZ54" s="548"/>
      <c r="IA54" s="548"/>
      <c r="IB54" s="548"/>
      <c r="IC54" s="548"/>
      <c r="ID54" s="548"/>
      <c r="IE54" s="548"/>
      <c r="IF54" s="548"/>
      <c r="IG54" s="548"/>
      <c r="IH54" s="548"/>
      <c r="II54" s="548"/>
      <c r="IJ54" s="548"/>
      <c r="IK54" s="548"/>
      <c r="IL54" s="548"/>
      <c r="IM54" s="548"/>
      <c r="IN54" s="548"/>
      <c r="IO54" s="548"/>
      <c r="IP54" s="548"/>
      <c r="IQ54" s="548"/>
      <c r="IR54" s="548"/>
      <c r="IS54" s="548"/>
      <c r="IT54" s="548"/>
      <c r="IU54" s="548"/>
      <c r="IV54" s="548"/>
      <c r="IW54" s="548"/>
    </row>
    <row r="55" customFormat="false" ht="12.75" hidden="false" customHeight="false" outlineLevel="0" collapsed="false">
      <c r="A55" s="149"/>
      <c r="B55" s="566"/>
      <c r="D55" s="557"/>
      <c r="E55" s="557"/>
      <c r="F55" s="557"/>
      <c r="G55" s="557"/>
      <c r="H55" s="557"/>
      <c r="I55" s="557"/>
      <c r="J55" s="557"/>
      <c r="K55" s="557"/>
      <c r="L55" s="557"/>
      <c r="M55" s="557"/>
      <c r="N55" s="557"/>
      <c r="O55" s="557"/>
      <c r="P55" s="557"/>
      <c r="Q55" s="557"/>
      <c r="R55" s="557"/>
      <c r="S55" s="557"/>
      <c r="T55" s="557"/>
      <c r="U55" s="557"/>
      <c r="V55" s="557"/>
      <c r="W55" s="557"/>
      <c r="X55" s="557"/>
      <c r="Y55" s="557"/>
      <c r="Z55" s="557"/>
      <c r="AA55" s="557"/>
      <c r="AB55" s="557"/>
    </row>
    <row r="56" customFormat="false" ht="12.75" hidden="false" customHeight="false" outlineLevel="0" collapsed="false">
      <c r="A56" s="149"/>
      <c r="B56" s="566"/>
      <c r="C56" s="557"/>
      <c r="D56" s="557"/>
      <c r="E56" s="557"/>
      <c r="F56" s="557"/>
      <c r="G56" s="557"/>
      <c r="H56" s="557"/>
      <c r="I56" s="557"/>
      <c r="J56" s="557"/>
      <c r="K56" s="557"/>
      <c r="L56" s="557"/>
      <c r="M56" s="557"/>
      <c r="N56" s="557"/>
      <c r="O56" s="557"/>
      <c r="P56" s="557"/>
      <c r="Q56" s="557"/>
      <c r="R56" s="557"/>
      <c r="S56" s="557"/>
      <c r="T56" s="557"/>
      <c r="U56" s="557"/>
      <c r="V56" s="557"/>
      <c r="W56" s="557"/>
      <c r="X56" s="557"/>
      <c r="Y56" s="557"/>
      <c r="Z56" s="557"/>
      <c r="AA56" s="557"/>
      <c r="AB56" s="557"/>
    </row>
    <row r="57" customFormat="false" ht="12.75" hidden="false" customHeight="false" outlineLevel="0" collapsed="false">
      <c r="A57" s="905" t="s">
        <v>594</v>
      </c>
      <c r="B57" s="380"/>
      <c r="C57" s="380"/>
      <c r="D57" s="380"/>
      <c r="E57" s="380"/>
      <c r="F57" s="380"/>
      <c r="G57" s="380"/>
      <c r="H57" s="380"/>
      <c r="I57" s="380"/>
      <c r="J57" s="380"/>
      <c r="K57" s="380"/>
      <c r="L57" s="380"/>
      <c r="M57" s="380"/>
      <c r="N57" s="380"/>
      <c r="O57" s="380"/>
      <c r="P57" s="380"/>
      <c r="Q57" s="380"/>
      <c r="R57" s="380"/>
      <c r="S57" s="380"/>
      <c r="T57" s="380"/>
      <c r="U57" s="380"/>
      <c r="V57" s="380"/>
      <c r="W57" s="380"/>
      <c r="X57" s="380"/>
      <c r="Y57" s="380"/>
      <c r="Z57" s="380"/>
      <c r="AA57" s="380"/>
      <c r="AB57" s="540"/>
    </row>
    <row r="58" customFormat="false" ht="11.25" hidden="false" customHeight="false" outlineLevel="0" collapsed="false">
      <c r="A58" s="412"/>
      <c r="B58" s="385"/>
      <c r="C58" s="385"/>
      <c r="D58" s="385"/>
      <c r="E58" s="385"/>
      <c r="F58" s="385"/>
      <c r="G58" s="385"/>
      <c r="H58" s="385"/>
      <c r="I58" s="385"/>
      <c r="J58" s="385"/>
      <c r="K58" s="385"/>
      <c r="L58" s="385"/>
      <c r="M58" s="385"/>
      <c r="N58" s="385"/>
      <c r="O58" s="385"/>
      <c r="P58" s="385"/>
      <c r="Q58" s="385"/>
      <c r="R58" s="385"/>
      <c r="S58" s="385"/>
      <c r="T58" s="385"/>
      <c r="U58" s="385"/>
      <c r="V58" s="385"/>
      <c r="W58" s="385"/>
      <c r="X58" s="385"/>
      <c r="Y58" s="385"/>
      <c r="Z58" s="385"/>
      <c r="AA58" s="385"/>
      <c r="AB58" s="416"/>
    </row>
    <row r="59" customFormat="false" ht="11.25" hidden="false" customHeight="false" outlineLevel="0" collapsed="false">
      <c r="A59" s="412" t="s">
        <v>644</v>
      </c>
      <c r="B59" s="385"/>
      <c r="C59" s="385"/>
      <c r="D59" s="30" t="n">
        <f aca="false">'Cash Flow Statement'!D21+'Cash Flow Statement'!D9</f>
        <v>0</v>
      </c>
      <c r="E59" s="30" t="n">
        <f aca="false">'Cash Flow Statement'!E21+'Cash Flow Statement'!E9</f>
        <v>0</v>
      </c>
      <c r="F59" s="30" t="n">
        <f aca="false">'Cash Flow Statement'!F21+'Cash Flow Statement'!F9</f>
        <v>549.163698374115</v>
      </c>
      <c r="G59" s="30" t="n">
        <f aca="false">'Cash Flow Statement'!G21+'Cash Flow Statement'!G9</f>
        <v>538.069482245345</v>
      </c>
      <c r="H59" s="30" t="n">
        <f aca="false">'Cash Flow Statement'!H21+'Cash Flow Statement'!H9</f>
        <v>526.975266116575</v>
      </c>
      <c r="I59" s="30" t="n">
        <f aca="false">'Cash Flow Statement'!I21+'Cash Flow Statement'!I9</f>
        <v>1614.75518556963</v>
      </c>
      <c r="J59" s="30" t="n">
        <f aca="false">'Cash Flow Statement'!J21+'Cash Flow Statement'!J9</f>
        <v>5979.63074775962</v>
      </c>
      <c r="K59" s="30" t="n">
        <f aca="false">'Cash Flow Statement'!K21+'Cash Flow Statement'!K9</f>
        <v>6248.15618592047</v>
      </c>
      <c r="L59" s="30" t="n">
        <f aca="false">'Cash Flow Statement'!L21+'Cash Flow Statement'!L9</f>
        <v>6759.4079925586</v>
      </c>
      <c r="M59" s="30" t="n">
        <f aca="false">'Cash Flow Statement'!M21+'Cash Flow Statement'!M9</f>
        <v>7119.46750830456</v>
      </c>
      <c r="N59" s="30" t="n">
        <f aca="false">'Cash Flow Statement'!N21+'Cash Flow Statement'!N9</f>
        <v>7818.58141521026</v>
      </c>
      <c r="O59" s="30" t="n">
        <f aca="false">'Cash Flow Statement'!O21+'Cash Flow Statement'!O9</f>
        <v>7682.72118952598</v>
      </c>
      <c r="P59" s="30" t="n">
        <f aca="false">'Cash Flow Statement'!P21+'Cash Flow Statement'!P9</f>
        <v>8980.2731429954</v>
      </c>
      <c r="Q59" s="30" t="n">
        <f aca="false">'Cash Flow Statement'!Q21+'Cash Flow Statement'!Q9</f>
        <v>9141.40189949772</v>
      </c>
      <c r="R59" s="30" t="n">
        <f aca="false">'Cash Flow Statement'!R21+'Cash Flow Statement'!R9</f>
        <v>9291.97618917037</v>
      </c>
      <c r="S59" s="30" t="n">
        <f aca="false">'Cash Flow Statement'!S21+'Cash Flow Statement'!S9</f>
        <v>11123.4021365682</v>
      </c>
      <c r="T59" s="30" t="n">
        <f aca="false">'Cash Flow Statement'!T21+'Cash Flow Statement'!T9</f>
        <v>12995.4608515177</v>
      </c>
      <c r="U59" s="30" t="n">
        <f aca="false">'Cash Flow Statement'!U21+'Cash Flow Statement'!U9</f>
        <v>13242.0877884566</v>
      </c>
      <c r="V59" s="30" t="n">
        <f aca="false">'Cash Flow Statement'!V21+'Cash Flow Statement'!V9</f>
        <v>13471.2148768766</v>
      </c>
      <c r="W59" s="30" t="n">
        <f aca="false">'Cash Flow Statement'!W21+'Cash Flow Statement'!W9</f>
        <v>13714.1252254558</v>
      </c>
      <c r="X59" s="30" t="n">
        <f aca="false">'Cash Flow Statement'!X21+'Cash Flow Statement'!X9</f>
        <v>14093.3016186223</v>
      </c>
      <c r="Y59" s="30" t="n">
        <f aca="false">'Cash Flow Statement'!Y21+'Cash Flow Statement'!Y9</f>
        <v>0</v>
      </c>
      <c r="Z59" s="30" t="n">
        <f aca="false">'Cash Flow Statement'!Z21+'Cash Flow Statement'!Z9</f>
        <v>0</v>
      </c>
      <c r="AA59" s="30" t="n">
        <f aca="false">'Cash Flow Statement'!AA21+'Cash Flow Statement'!AA9</f>
        <v>0</v>
      </c>
      <c r="AB59" s="464" t="n">
        <f aca="false">'Cash Flow Statement'!AB21+'Cash Flow Statement'!AB9</f>
        <v>0</v>
      </c>
    </row>
    <row r="60" customFormat="false" ht="11.25" hidden="false" customHeight="false" outlineLevel="0" collapsed="false">
      <c r="A60" s="412" t="s">
        <v>645</v>
      </c>
      <c r="B60" s="385"/>
      <c r="C60" s="385"/>
      <c r="D60" s="906" t="n">
        <f aca="false">'Book Income Statement'!D71+'Cash Flow Statement'!D8</f>
        <v>-1195.00457041922</v>
      </c>
      <c r="E60" s="906" t="n">
        <f aca="false">'Book Income Statement'!E71+'Cash Flow Statement'!E8</f>
        <v>2635.64184339564</v>
      </c>
      <c r="F60" s="906" t="n">
        <f aca="false">'Book Income Statement'!F71+'Cash Flow Statement'!F8</f>
        <v>2825.60958438647</v>
      </c>
      <c r="G60" s="906" t="n">
        <f aca="false">'Book Income Statement'!G71+'Cash Flow Statement'!G8</f>
        <v>2969.39633492917</v>
      </c>
      <c r="H60" s="906" t="n">
        <f aca="false">'Book Income Statement'!H71+'Cash Flow Statement'!H8</f>
        <v>5360.03878687046</v>
      </c>
      <c r="I60" s="906" t="n">
        <f aca="false">'Book Income Statement'!I71+'Cash Flow Statement'!I8</f>
        <v>7282.31663261018</v>
      </c>
      <c r="J60" s="906" t="n">
        <f aca="false">'Book Income Statement'!J71+'Cash Flow Statement'!J8</f>
        <v>7668.84555015085</v>
      </c>
      <c r="K60" s="906" t="n">
        <f aca="false">'Book Income Statement'!K71+'Cash Flow Statement'!K8</f>
        <v>7933.77245703531</v>
      </c>
      <c r="L60" s="906" t="n">
        <f aca="false">'Book Income Statement'!L71+'Cash Flow Statement'!L8</f>
        <v>8439.40368688544</v>
      </c>
      <c r="M60" s="906" t="n">
        <f aca="false">'Book Income Statement'!M71+'Cash Flow Statement'!M8</f>
        <v>8805.0837794194</v>
      </c>
      <c r="N60" s="906" t="n">
        <f aca="false">'Book Income Statement'!N71+'Cash Flow Statement'!N8</f>
        <v>9493.03000147272</v>
      </c>
      <c r="O60" s="906" t="n">
        <f aca="false">'Book Income Statement'!O71+'Cash Flow Statement'!O8</f>
        <v>10161.5739138479</v>
      </c>
      <c r="P60" s="906" t="n">
        <f aca="false">'Book Income Statement'!P71+'Cash Flow Statement'!P8</f>
        <v>10593.7035405496</v>
      </c>
      <c r="Q60" s="906" t="n">
        <f aca="false">'Book Income Statement'!Q71+'Cash Flow Statement'!Q8</f>
        <v>10743.8115496468</v>
      </c>
      <c r="R60" s="906" t="n">
        <f aca="false">'Book Income Statement'!R71+'Cash Flow Statement'!R8</f>
        <v>10888.7652625314</v>
      </c>
      <c r="S60" s="906" t="n">
        <f aca="false">'Book Income Statement'!S71+'Cash Flow Statement'!S8</f>
        <v>11028.1550574693</v>
      </c>
      <c r="T60" s="906" t="n">
        <f aca="false">'Book Income Statement'!T71+'Cash Flow Statement'!T8</f>
        <v>11141.1584715725</v>
      </c>
      <c r="U60" s="906" t="n">
        <f aca="false">'Book Income Statement'!U71+'Cash Flow Statement'!U8</f>
        <v>11337.2928343182</v>
      </c>
      <c r="V60" s="906" t="n">
        <f aca="false">'Book Income Statement'!V71+'Cash Flow Statement'!V8</f>
        <v>11566.4199227382</v>
      </c>
      <c r="W60" s="906" t="n">
        <f aca="false">'Book Income Statement'!W71+'Cash Flow Statement'!W8</f>
        <v>11909.1782164764</v>
      </c>
      <c r="X60" s="906" t="n">
        <f aca="false">'Book Income Statement'!X71+'Cash Flow Statement'!X8</f>
        <v>12324.4113634723</v>
      </c>
      <c r="Y60" s="906" t="n">
        <f aca="false">'Book Income Statement'!Y71+'Cash Flow Statement'!Y8</f>
        <v>0</v>
      </c>
      <c r="Z60" s="906" t="n">
        <f aca="false">'Book Income Statement'!Z71+'Cash Flow Statement'!Z8</f>
        <v>0</v>
      </c>
      <c r="AA60" s="906" t="n">
        <f aca="false">'Book Income Statement'!AA71+'Cash Flow Statement'!AA8</f>
        <v>0</v>
      </c>
      <c r="AB60" s="907" t="n">
        <f aca="false">'Book Income Statement'!AB71+'Cash Flow Statement'!AB8</f>
        <v>0</v>
      </c>
    </row>
    <row r="61" customFormat="false" ht="11.25" hidden="false" customHeight="false" outlineLevel="0" collapsed="false">
      <c r="A61" s="412" t="s">
        <v>646</v>
      </c>
      <c r="B61" s="385"/>
      <c r="C61" s="385"/>
      <c r="D61" s="30" t="n">
        <f aca="false">D60-D59</f>
        <v>-1195.00457041922</v>
      </c>
      <c r="E61" s="30" t="n">
        <f aca="false">E60-E59</f>
        <v>2635.64184339564</v>
      </c>
      <c r="F61" s="30" t="n">
        <f aca="false">F60-F59</f>
        <v>2276.44588601235</v>
      </c>
      <c r="G61" s="30" t="n">
        <f aca="false">G60-G59</f>
        <v>2431.32685268383</v>
      </c>
      <c r="H61" s="30" t="n">
        <f aca="false">H60-H59</f>
        <v>4833.06352075388</v>
      </c>
      <c r="I61" s="30" t="n">
        <f aca="false">I60-I59</f>
        <v>5667.56144704055</v>
      </c>
      <c r="J61" s="30" t="n">
        <f aca="false">J60-J59</f>
        <v>1689.21480239123</v>
      </c>
      <c r="K61" s="30" t="n">
        <f aca="false">K60-K59</f>
        <v>1685.61627111484</v>
      </c>
      <c r="L61" s="30" t="n">
        <f aca="false">L60-L59</f>
        <v>1679.99569432684</v>
      </c>
      <c r="M61" s="30" t="n">
        <f aca="false">M60-M59</f>
        <v>1685.61627111485</v>
      </c>
      <c r="N61" s="30" t="n">
        <f aca="false">N60-N59</f>
        <v>1674.44858626246</v>
      </c>
      <c r="O61" s="30" t="n">
        <f aca="false">O60-O59</f>
        <v>2478.8527243219</v>
      </c>
      <c r="P61" s="30" t="n">
        <f aca="false">P60-P59</f>
        <v>1613.43039755422</v>
      </c>
      <c r="Q61" s="30" t="n">
        <f aca="false">Q60-Q59</f>
        <v>1602.40965014907</v>
      </c>
      <c r="R61" s="30" t="n">
        <f aca="false">R60-R59</f>
        <v>1596.78907336107</v>
      </c>
      <c r="S61" s="30" t="n">
        <f aca="false">S60-S59</f>
        <v>-95.2470790989319</v>
      </c>
      <c r="T61" s="30" t="n">
        <f aca="false">T60-T59</f>
        <v>-1854.30237994524</v>
      </c>
      <c r="U61" s="30" t="n">
        <f aca="false">U60-U59</f>
        <v>-1904.7949541384</v>
      </c>
      <c r="V61" s="30" t="n">
        <f aca="false">V60-V59</f>
        <v>-1904.7949541384</v>
      </c>
      <c r="W61" s="30" t="n">
        <f aca="false">W60-W59</f>
        <v>-1804.94700897947</v>
      </c>
      <c r="X61" s="30" t="n">
        <f aca="false">X60-X59</f>
        <v>-1768.89025515</v>
      </c>
      <c r="Y61" s="30" t="n">
        <f aca="false">Y60-Y59</f>
        <v>0</v>
      </c>
      <c r="Z61" s="30" t="n">
        <f aca="false">Z60-Z59</f>
        <v>0</v>
      </c>
      <c r="AA61" s="30" t="n">
        <f aca="false">AA60-AA59</f>
        <v>0</v>
      </c>
      <c r="AB61" s="464" t="n">
        <f aca="false">AB60-AB59</f>
        <v>0</v>
      </c>
    </row>
    <row r="62" customFormat="false" ht="11.25" hidden="false" customHeight="false" outlineLevel="0" collapsed="false">
      <c r="A62" s="412"/>
      <c r="B62" s="385"/>
      <c r="C62" s="385"/>
      <c r="D62" s="30"/>
      <c r="E62" s="30"/>
      <c r="F62" s="30"/>
      <c r="G62" s="30"/>
      <c r="H62" s="30"/>
      <c r="I62" s="30"/>
      <c r="J62" s="30"/>
      <c r="K62" s="30"/>
      <c r="L62" s="30"/>
      <c r="M62" s="30"/>
      <c r="N62" s="30"/>
      <c r="O62" s="30"/>
      <c r="P62" s="30"/>
      <c r="Q62" s="30"/>
      <c r="R62" s="30"/>
      <c r="S62" s="30"/>
      <c r="T62" s="30"/>
      <c r="U62" s="30"/>
      <c r="V62" s="30"/>
      <c r="W62" s="30"/>
      <c r="X62" s="30"/>
      <c r="Y62" s="30"/>
      <c r="Z62" s="30"/>
      <c r="AA62" s="30"/>
      <c r="AB62" s="464"/>
    </row>
    <row r="63" customFormat="false" ht="11.25" hidden="false" customHeight="false" outlineLevel="0" collapsed="false">
      <c r="A63" s="468" t="s">
        <v>647</v>
      </c>
      <c r="B63" s="772"/>
      <c r="C63" s="772"/>
      <c r="D63" s="908" t="n">
        <f aca="false">D61+C63</f>
        <v>-1195.00457041922</v>
      </c>
      <c r="E63" s="908" t="n">
        <f aca="false">E61+D63</f>
        <v>1440.63727297642</v>
      </c>
      <c r="F63" s="908" t="n">
        <f aca="false">F61+E63</f>
        <v>3717.08315898878</v>
      </c>
      <c r="G63" s="908" t="n">
        <f aca="false">G61+F63</f>
        <v>6148.41001167261</v>
      </c>
      <c r="H63" s="908" t="n">
        <f aca="false">H61+G63</f>
        <v>10981.4735324265</v>
      </c>
      <c r="I63" s="908" t="n">
        <f aca="false">I61+H63</f>
        <v>16649.034979467</v>
      </c>
      <c r="J63" s="908" t="n">
        <f aca="false">J61+I63</f>
        <v>18338.2497818583</v>
      </c>
      <c r="K63" s="908" t="n">
        <f aca="false">K61+J63</f>
        <v>20023.8660529731</v>
      </c>
      <c r="L63" s="908" t="n">
        <f aca="false">L61+K63</f>
        <v>21703.8617472999</v>
      </c>
      <c r="M63" s="908" t="n">
        <f aca="false">M61+L63</f>
        <v>23389.4780184148</v>
      </c>
      <c r="N63" s="908" t="n">
        <f aca="false">N61+M63</f>
        <v>25063.9266046773</v>
      </c>
      <c r="O63" s="908" t="n">
        <f aca="false">O61+N63</f>
        <v>27542.7793289992</v>
      </c>
      <c r="P63" s="908" t="n">
        <f aca="false">P61+O63</f>
        <v>29156.2097265534</v>
      </c>
      <c r="Q63" s="908" t="n">
        <f aca="false">Q61+P63</f>
        <v>30758.6193767024</v>
      </c>
      <c r="R63" s="908" t="n">
        <f aca="false">R61+Q63</f>
        <v>32355.4084500635</v>
      </c>
      <c r="S63" s="908" t="n">
        <f aca="false">S61+R63</f>
        <v>32260.1613709646</v>
      </c>
      <c r="T63" s="908" t="n">
        <f aca="false">T61+S63</f>
        <v>30405.8589910193</v>
      </c>
      <c r="U63" s="908" t="n">
        <f aca="false">U61+T63</f>
        <v>28501.0640368809</v>
      </c>
      <c r="V63" s="908" t="n">
        <f aca="false">V61+U63</f>
        <v>26596.2690827425</v>
      </c>
      <c r="W63" s="908" t="n">
        <f aca="false">W61+V63</f>
        <v>24791.3220737631</v>
      </c>
      <c r="X63" s="908" t="n">
        <f aca="false">X61+W63</f>
        <v>23022.4318186131</v>
      </c>
      <c r="Y63" s="908" t="n">
        <f aca="false">Y61+X63</f>
        <v>23022.4318186131</v>
      </c>
      <c r="Z63" s="908" t="n">
        <f aca="false">Z61+Y63</f>
        <v>23022.4318186131</v>
      </c>
      <c r="AA63" s="908" t="n">
        <f aca="false">AA61+Z63</f>
        <v>23022.4318186131</v>
      </c>
      <c r="AB63" s="909" t="n">
        <f aca="false">AB61+AA63</f>
        <v>23022.4318186131</v>
      </c>
    </row>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&amp;L&amp;D   &amp;T&amp;R&amp;F
&amp;A &amp;P</oddFooter>
  </headerFooter>
  <colBreaks count="2" manualBreakCount="2">
    <brk id="23" man="true" max="65535" min="0"/>
    <brk id="32" man="true" max="65535" min="0"/>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18"/>
  <sheetViews>
    <sheetView showFormulas="false" showGridLines="true" showRowColHeaders="true" showZeros="true" rightToLeft="false" tabSelected="false" showOutlineSymbols="true" defaultGridColor="true" view="normal" topLeftCell="J33" colorId="64" zoomScale="100" zoomScaleNormal="100" zoomScalePageLayoutView="100" workbookViewId="0">
      <selection pane="topLeft" activeCell="X53" activeCellId="0" sqref="X53"/>
    </sheetView>
  </sheetViews>
  <sheetFormatPr defaultColWidth="9.28125" defaultRowHeight="11.25" customHeight="true" zeroHeight="false" outlineLevelRow="0" outlineLevelCol="0"/>
  <cols>
    <col collapsed="false" customWidth="true" hidden="false" outlineLevel="0" max="1" min="1" style="1" width="23.99"/>
    <col collapsed="false" customWidth="false" hidden="false" outlineLevel="0" max="2" min="2" style="1" width="9.28"/>
    <col collapsed="false" customWidth="true" hidden="false" outlineLevel="0" max="3" min="3" style="1" width="5.56"/>
    <col collapsed="false" customWidth="false" hidden="false" outlineLevel="0" max="4" min="4" style="1" width="9.28"/>
    <col collapsed="false" customWidth="true" hidden="false" outlineLevel="0" max="5" min="5" style="1" width="10.85"/>
    <col collapsed="false" customWidth="false" hidden="false" outlineLevel="0" max="26" min="6" style="1" width="9.28"/>
    <col collapsed="false" customWidth="false" hidden="false" outlineLevel="0" max="257" min="27" style="2" width="9.28"/>
  </cols>
  <sheetData>
    <row r="1" customFormat="false" ht="20.25" hidden="false" customHeight="false" outlineLevel="0" collapsed="false">
      <c r="A1" s="368" t="str">
        <f aca="false">'Project Assumptions'!$A$2</f>
        <v>CALEDONIA, Lowndes County, MS</v>
      </c>
      <c r="B1" s="692"/>
      <c r="C1" s="910"/>
      <c r="D1" s="911"/>
      <c r="E1" s="441"/>
      <c r="F1" s="441"/>
      <c r="G1" s="441"/>
      <c r="H1" s="441"/>
      <c r="I1" s="441"/>
      <c r="J1" s="441"/>
      <c r="K1" s="441"/>
      <c r="L1" s="441"/>
      <c r="M1" s="441"/>
      <c r="N1" s="441"/>
      <c r="O1" s="441"/>
      <c r="P1" s="441"/>
      <c r="Q1" s="441"/>
      <c r="R1" s="441"/>
      <c r="S1" s="441"/>
      <c r="T1" s="441"/>
      <c r="U1" s="441"/>
      <c r="V1" s="441"/>
      <c r="W1" s="441"/>
      <c r="X1" s="441"/>
      <c r="Y1" s="441"/>
      <c r="Z1" s="441"/>
      <c r="AA1" s="716"/>
      <c r="AB1" s="716"/>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c r="BC1" s="578"/>
      <c r="BD1" s="578"/>
      <c r="BE1" s="578"/>
      <c r="BF1" s="578"/>
      <c r="BG1" s="578"/>
      <c r="BH1" s="578"/>
      <c r="BI1" s="578"/>
      <c r="BJ1" s="578"/>
      <c r="BK1" s="578"/>
      <c r="BL1" s="578"/>
      <c r="BM1" s="578"/>
      <c r="BN1" s="578"/>
      <c r="BO1" s="578"/>
      <c r="BP1" s="578"/>
      <c r="BQ1" s="578"/>
      <c r="BR1" s="578"/>
      <c r="BS1" s="578"/>
      <c r="BT1" s="578"/>
      <c r="BU1" s="578"/>
      <c r="BV1" s="578"/>
      <c r="BW1" s="578"/>
      <c r="BX1" s="578"/>
      <c r="BY1" s="578"/>
      <c r="BZ1" s="578"/>
      <c r="CA1" s="578"/>
      <c r="CB1" s="578"/>
      <c r="CC1" s="578"/>
      <c r="CD1" s="578"/>
      <c r="CE1" s="578"/>
      <c r="CF1" s="578"/>
      <c r="CG1" s="578"/>
      <c r="CH1" s="578"/>
      <c r="CI1" s="578"/>
      <c r="CJ1" s="578"/>
      <c r="CK1" s="578"/>
      <c r="CL1" s="578"/>
      <c r="CM1" s="578"/>
      <c r="CN1" s="578"/>
      <c r="CO1" s="578"/>
      <c r="CP1" s="578"/>
      <c r="CQ1" s="578"/>
      <c r="CR1" s="578"/>
      <c r="CS1" s="578"/>
      <c r="CT1" s="578"/>
      <c r="CU1" s="578"/>
      <c r="CV1" s="578"/>
      <c r="CW1" s="578"/>
      <c r="CX1" s="578"/>
      <c r="CY1" s="578"/>
      <c r="CZ1" s="578"/>
      <c r="DA1" s="578"/>
      <c r="DB1" s="578"/>
      <c r="DC1" s="578"/>
      <c r="DD1" s="578"/>
      <c r="DE1" s="578"/>
      <c r="DF1" s="578"/>
      <c r="DG1" s="578"/>
      <c r="DH1" s="578"/>
      <c r="DI1" s="578"/>
      <c r="DJ1" s="578"/>
      <c r="DK1" s="578"/>
      <c r="DL1" s="578"/>
      <c r="DM1" s="578"/>
      <c r="DN1" s="578"/>
      <c r="DO1" s="578"/>
      <c r="DP1" s="578"/>
      <c r="DQ1" s="578"/>
      <c r="DR1" s="578"/>
      <c r="DS1" s="578"/>
      <c r="DT1" s="578"/>
      <c r="DU1" s="578"/>
      <c r="DV1" s="578"/>
      <c r="DW1" s="578"/>
      <c r="DX1" s="578"/>
      <c r="DY1" s="578"/>
      <c r="DZ1" s="578"/>
      <c r="EA1" s="578"/>
      <c r="EB1" s="578"/>
      <c r="EC1" s="578"/>
      <c r="ED1" s="578"/>
      <c r="EE1" s="578"/>
      <c r="EF1" s="578"/>
      <c r="EG1" s="578"/>
      <c r="EH1" s="578"/>
      <c r="EI1" s="578"/>
      <c r="EJ1" s="578"/>
      <c r="EK1" s="578"/>
      <c r="EL1" s="578"/>
      <c r="EM1" s="578"/>
      <c r="EN1" s="578"/>
      <c r="EO1" s="578"/>
      <c r="EP1" s="578"/>
      <c r="EQ1" s="578"/>
      <c r="ER1" s="578"/>
      <c r="ES1" s="578"/>
      <c r="ET1" s="578"/>
      <c r="EU1" s="578"/>
      <c r="EV1" s="578"/>
      <c r="EW1" s="578"/>
      <c r="EX1" s="578"/>
      <c r="EY1" s="578"/>
      <c r="EZ1" s="578"/>
      <c r="FA1" s="578"/>
      <c r="FB1" s="578"/>
      <c r="FC1" s="578"/>
      <c r="FD1" s="578"/>
      <c r="FE1" s="578"/>
      <c r="FF1" s="578"/>
      <c r="FG1" s="578"/>
      <c r="FH1" s="578"/>
      <c r="FI1" s="578"/>
      <c r="FJ1" s="578"/>
      <c r="FK1" s="578"/>
      <c r="FL1" s="578"/>
      <c r="FM1" s="578"/>
      <c r="FN1" s="578"/>
      <c r="FO1" s="578"/>
      <c r="FP1" s="578"/>
      <c r="FQ1" s="578"/>
      <c r="FR1" s="578"/>
      <c r="FS1" s="578"/>
      <c r="FT1" s="578"/>
      <c r="FU1" s="578"/>
      <c r="FV1" s="578"/>
      <c r="FW1" s="578"/>
      <c r="FX1" s="578"/>
      <c r="FY1" s="578"/>
      <c r="FZ1" s="578"/>
      <c r="GA1" s="578"/>
      <c r="GB1" s="578"/>
      <c r="GC1" s="578"/>
      <c r="GD1" s="578"/>
      <c r="GE1" s="578"/>
      <c r="GF1" s="578"/>
      <c r="GG1" s="578"/>
      <c r="GH1" s="578"/>
      <c r="GI1" s="578"/>
      <c r="GJ1" s="578"/>
      <c r="GK1" s="578"/>
      <c r="GL1" s="578"/>
      <c r="GM1" s="578"/>
      <c r="GN1" s="578"/>
      <c r="GO1" s="578"/>
      <c r="GP1" s="578"/>
      <c r="GQ1" s="578"/>
      <c r="GR1" s="578"/>
      <c r="GS1" s="578"/>
      <c r="GT1" s="578"/>
      <c r="GU1" s="578"/>
      <c r="GV1" s="578"/>
      <c r="GW1" s="578"/>
      <c r="GX1" s="578"/>
      <c r="GY1" s="578"/>
      <c r="GZ1" s="578"/>
      <c r="HA1" s="578"/>
      <c r="HB1" s="578"/>
      <c r="HC1" s="578"/>
      <c r="HD1" s="578"/>
      <c r="HE1" s="578"/>
      <c r="HF1" s="578"/>
      <c r="HG1" s="578"/>
      <c r="HH1" s="578"/>
      <c r="HI1" s="578"/>
      <c r="HJ1" s="578"/>
      <c r="HK1" s="578"/>
      <c r="HL1" s="578"/>
      <c r="HM1" s="578"/>
      <c r="HN1" s="578"/>
      <c r="HO1" s="578"/>
      <c r="HP1" s="578"/>
      <c r="HQ1" s="578"/>
      <c r="HR1" s="578"/>
      <c r="HS1" s="578"/>
      <c r="HT1" s="578"/>
      <c r="HU1" s="578"/>
      <c r="HV1" s="578"/>
      <c r="HW1" s="578"/>
      <c r="HX1" s="578"/>
      <c r="HY1" s="578"/>
      <c r="HZ1" s="578"/>
      <c r="IA1" s="578"/>
      <c r="IB1" s="578"/>
      <c r="IC1" s="578"/>
      <c r="ID1" s="578"/>
      <c r="IE1" s="578"/>
      <c r="IF1" s="578"/>
      <c r="IG1" s="578"/>
      <c r="IH1" s="578"/>
      <c r="II1" s="578"/>
      <c r="IJ1" s="578"/>
      <c r="IK1" s="578"/>
      <c r="IL1" s="578"/>
      <c r="IM1" s="578"/>
      <c r="IN1" s="578"/>
      <c r="IO1" s="578"/>
      <c r="IP1" s="578"/>
      <c r="IQ1" s="578"/>
      <c r="IR1" s="578"/>
      <c r="IS1" s="578"/>
      <c r="IT1" s="578"/>
      <c r="IU1" s="578"/>
      <c r="IV1" s="578"/>
      <c r="IW1" s="578"/>
    </row>
    <row r="2" customFormat="false" ht="12.75" hidden="false" customHeight="false" outlineLevel="0" collapsed="false">
      <c r="A2" s="371" t="s">
        <v>648</v>
      </c>
      <c r="B2" s="912"/>
      <c r="C2" s="912"/>
      <c r="D2" s="862"/>
      <c r="E2" s="418"/>
      <c r="F2" s="418"/>
      <c r="G2" s="418"/>
      <c r="H2" s="418"/>
      <c r="I2" s="418"/>
      <c r="J2" s="418"/>
      <c r="K2" s="418"/>
      <c r="L2" s="418"/>
      <c r="M2" s="418"/>
      <c r="N2" s="418"/>
      <c r="O2" s="418"/>
      <c r="P2" s="418"/>
      <c r="Q2" s="418"/>
      <c r="R2" s="418"/>
      <c r="S2" s="418"/>
      <c r="T2" s="418"/>
      <c r="U2" s="418"/>
      <c r="V2" s="418"/>
      <c r="W2" s="418"/>
      <c r="X2" s="418"/>
      <c r="Y2" s="418"/>
      <c r="Z2" s="418"/>
      <c r="AA2" s="913"/>
      <c r="AB2" s="913"/>
      <c r="AC2" s="578"/>
      <c r="AD2" s="578"/>
      <c r="AE2" s="578"/>
      <c r="AF2" s="578"/>
      <c r="AG2" s="578"/>
      <c r="AH2" s="578"/>
      <c r="AI2" s="578"/>
      <c r="AJ2" s="578"/>
      <c r="AK2" s="578"/>
      <c r="AL2" s="578"/>
      <c r="AM2" s="578"/>
      <c r="AN2" s="578"/>
      <c r="AO2" s="578"/>
      <c r="AP2" s="578"/>
      <c r="AQ2" s="578"/>
      <c r="AR2" s="578"/>
      <c r="AS2" s="578"/>
      <c r="AT2" s="578"/>
      <c r="AU2" s="578"/>
      <c r="AV2" s="578"/>
      <c r="AW2" s="578"/>
      <c r="AX2" s="578"/>
      <c r="AY2" s="578"/>
      <c r="AZ2" s="578"/>
      <c r="BA2" s="578"/>
      <c r="BB2" s="578"/>
      <c r="BC2" s="578"/>
      <c r="BD2" s="578"/>
      <c r="BE2" s="578"/>
      <c r="BF2" s="578"/>
      <c r="BG2" s="578"/>
      <c r="BH2" s="578"/>
      <c r="BI2" s="578"/>
      <c r="BJ2" s="578"/>
      <c r="BK2" s="578"/>
      <c r="BL2" s="578"/>
      <c r="BM2" s="578"/>
      <c r="BN2" s="578"/>
      <c r="BO2" s="578"/>
      <c r="BP2" s="578"/>
      <c r="BQ2" s="578"/>
      <c r="BR2" s="578"/>
      <c r="BS2" s="578"/>
      <c r="BT2" s="578"/>
      <c r="BU2" s="578"/>
      <c r="BV2" s="578"/>
      <c r="BW2" s="578"/>
      <c r="BX2" s="578"/>
      <c r="BY2" s="578"/>
      <c r="BZ2" s="578"/>
      <c r="CA2" s="578"/>
      <c r="CB2" s="578"/>
      <c r="CC2" s="578"/>
      <c r="CD2" s="578"/>
      <c r="CE2" s="578"/>
      <c r="CF2" s="578"/>
      <c r="CG2" s="578"/>
      <c r="CH2" s="578"/>
      <c r="CI2" s="578"/>
      <c r="CJ2" s="578"/>
      <c r="CK2" s="578"/>
      <c r="CL2" s="578"/>
      <c r="CM2" s="578"/>
      <c r="CN2" s="578"/>
      <c r="CO2" s="578"/>
      <c r="CP2" s="578"/>
      <c r="CQ2" s="578"/>
      <c r="CR2" s="578"/>
      <c r="CS2" s="578"/>
      <c r="CT2" s="578"/>
      <c r="CU2" s="578"/>
      <c r="CV2" s="578"/>
      <c r="CW2" s="578"/>
      <c r="CX2" s="578"/>
      <c r="CY2" s="578"/>
      <c r="CZ2" s="578"/>
      <c r="DA2" s="578"/>
      <c r="DB2" s="578"/>
      <c r="DC2" s="578"/>
      <c r="DD2" s="578"/>
      <c r="DE2" s="578"/>
      <c r="DF2" s="578"/>
      <c r="DG2" s="578"/>
      <c r="DH2" s="578"/>
      <c r="DI2" s="578"/>
      <c r="DJ2" s="578"/>
      <c r="DK2" s="578"/>
      <c r="DL2" s="578"/>
      <c r="DM2" s="578"/>
      <c r="DN2" s="578"/>
      <c r="DO2" s="578"/>
      <c r="DP2" s="578"/>
      <c r="DQ2" s="578"/>
      <c r="DR2" s="578"/>
      <c r="DS2" s="578"/>
      <c r="DT2" s="578"/>
      <c r="DU2" s="578"/>
      <c r="DV2" s="578"/>
      <c r="DW2" s="578"/>
      <c r="DX2" s="578"/>
      <c r="DY2" s="578"/>
      <c r="DZ2" s="578"/>
      <c r="EA2" s="578"/>
      <c r="EB2" s="578"/>
      <c r="EC2" s="578"/>
      <c r="ED2" s="578"/>
      <c r="EE2" s="578"/>
      <c r="EF2" s="578"/>
      <c r="EG2" s="578"/>
      <c r="EH2" s="578"/>
      <c r="EI2" s="578"/>
      <c r="EJ2" s="578"/>
      <c r="EK2" s="578"/>
      <c r="EL2" s="578"/>
      <c r="EM2" s="578"/>
      <c r="EN2" s="578"/>
      <c r="EO2" s="578"/>
      <c r="EP2" s="578"/>
      <c r="EQ2" s="578"/>
      <c r="ER2" s="578"/>
      <c r="ES2" s="578"/>
      <c r="ET2" s="578"/>
      <c r="EU2" s="578"/>
      <c r="EV2" s="578"/>
      <c r="EW2" s="578"/>
      <c r="EX2" s="578"/>
      <c r="EY2" s="578"/>
      <c r="EZ2" s="578"/>
      <c r="FA2" s="578"/>
      <c r="FB2" s="578"/>
      <c r="FC2" s="578"/>
      <c r="FD2" s="578"/>
      <c r="FE2" s="578"/>
      <c r="FF2" s="578"/>
      <c r="FG2" s="578"/>
      <c r="FH2" s="578"/>
      <c r="FI2" s="578"/>
      <c r="FJ2" s="578"/>
      <c r="FK2" s="578"/>
      <c r="FL2" s="578"/>
      <c r="FM2" s="578"/>
      <c r="FN2" s="578"/>
      <c r="FO2" s="578"/>
      <c r="FP2" s="578"/>
      <c r="FQ2" s="578"/>
      <c r="FR2" s="578"/>
      <c r="FS2" s="578"/>
      <c r="FT2" s="578"/>
      <c r="FU2" s="578"/>
      <c r="FV2" s="578"/>
      <c r="FW2" s="578"/>
      <c r="FX2" s="578"/>
      <c r="FY2" s="578"/>
      <c r="FZ2" s="578"/>
      <c r="GA2" s="578"/>
      <c r="GB2" s="578"/>
      <c r="GC2" s="578"/>
      <c r="GD2" s="578"/>
      <c r="GE2" s="578"/>
      <c r="GF2" s="578"/>
      <c r="GG2" s="578"/>
      <c r="GH2" s="578"/>
      <c r="GI2" s="578"/>
      <c r="GJ2" s="578"/>
      <c r="GK2" s="578"/>
      <c r="GL2" s="578"/>
      <c r="GM2" s="578"/>
      <c r="GN2" s="578"/>
      <c r="GO2" s="578"/>
      <c r="GP2" s="578"/>
      <c r="GQ2" s="578"/>
      <c r="GR2" s="578"/>
      <c r="GS2" s="578"/>
      <c r="GT2" s="578"/>
      <c r="GU2" s="578"/>
      <c r="GV2" s="578"/>
      <c r="GW2" s="578"/>
      <c r="GX2" s="578"/>
      <c r="GY2" s="578"/>
      <c r="GZ2" s="578"/>
      <c r="HA2" s="578"/>
      <c r="HB2" s="578"/>
      <c r="HC2" s="578"/>
      <c r="HD2" s="578"/>
      <c r="HE2" s="578"/>
      <c r="HF2" s="578"/>
      <c r="HG2" s="578"/>
      <c r="HH2" s="578"/>
      <c r="HI2" s="578"/>
      <c r="HJ2" s="578"/>
      <c r="HK2" s="578"/>
      <c r="HL2" s="578"/>
      <c r="HM2" s="578"/>
      <c r="HN2" s="578"/>
      <c r="HO2" s="578"/>
      <c r="HP2" s="578"/>
      <c r="HQ2" s="578"/>
      <c r="HR2" s="578"/>
      <c r="HS2" s="578"/>
      <c r="HT2" s="578"/>
      <c r="HU2" s="578"/>
      <c r="HV2" s="578"/>
      <c r="HW2" s="578"/>
      <c r="HX2" s="578"/>
      <c r="HY2" s="578"/>
      <c r="HZ2" s="578"/>
      <c r="IA2" s="578"/>
      <c r="IB2" s="578"/>
      <c r="IC2" s="578"/>
      <c r="ID2" s="578"/>
      <c r="IE2" s="578"/>
      <c r="IF2" s="578"/>
      <c r="IG2" s="578"/>
      <c r="IH2" s="578"/>
      <c r="II2" s="578"/>
      <c r="IJ2" s="578"/>
      <c r="IK2" s="578"/>
      <c r="IL2" s="578"/>
      <c r="IM2" s="578"/>
      <c r="IN2" s="578"/>
      <c r="IO2" s="578"/>
      <c r="IP2" s="578"/>
      <c r="IQ2" s="578"/>
      <c r="IR2" s="578"/>
      <c r="IS2" s="578"/>
      <c r="IT2" s="578"/>
      <c r="IU2" s="578"/>
      <c r="IV2" s="578"/>
      <c r="IW2" s="578"/>
    </row>
    <row r="3" customFormat="false" ht="15.6" hidden="false" customHeight="true" outlineLevel="0" collapsed="false"/>
    <row r="4" customFormat="false" ht="11.25" hidden="false" customHeight="false" outlineLevel="0" collapsed="false">
      <c r="D4" s="450" t="n">
        <v>1</v>
      </c>
      <c r="E4" s="450" t="n">
        <f aca="false">D4+1</f>
        <v>2</v>
      </c>
      <c r="F4" s="450" t="n">
        <f aca="false">E4+1</f>
        <v>3</v>
      </c>
      <c r="G4" s="450" t="n">
        <f aca="false">F4+1</f>
        <v>4</v>
      </c>
      <c r="H4" s="450" t="n">
        <f aca="false">G4+1</f>
        <v>5</v>
      </c>
      <c r="I4" s="914" t="n">
        <f aca="false">H4+1</f>
        <v>6</v>
      </c>
      <c r="J4" s="450" t="n">
        <f aca="false">I4+1</f>
        <v>7</v>
      </c>
      <c r="K4" s="329" t="n">
        <f aca="false">J4+1</f>
        <v>8</v>
      </c>
      <c r="L4" s="450" t="n">
        <f aca="false">K4+1</f>
        <v>9</v>
      </c>
      <c r="M4" s="450" t="n">
        <f aca="false">L4+1</f>
        <v>10</v>
      </c>
      <c r="N4" s="450" t="n">
        <f aca="false">M4+1</f>
        <v>11</v>
      </c>
      <c r="O4" s="450" t="n">
        <f aca="false">N4+1</f>
        <v>12</v>
      </c>
      <c r="P4" s="450" t="n">
        <f aca="false">O4+1</f>
        <v>13</v>
      </c>
      <c r="Q4" s="329" t="n">
        <f aca="false">P4+1</f>
        <v>14</v>
      </c>
      <c r="R4" s="450" t="n">
        <f aca="false">Q4+1</f>
        <v>15</v>
      </c>
      <c r="S4" s="450" t="n">
        <f aca="false">R4+1</f>
        <v>16</v>
      </c>
      <c r="T4" s="450" t="n">
        <f aca="false">S4+1</f>
        <v>17</v>
      </c>
      <c r="U4" s="450" t="n">
        <f aca="false">T4+1</f>
        <v>18</v>
      </c>
      <c r="V4" s="450" t="n">
        <f aca="false">U4+1</f>
        <v>19</v>
      </c>
      <c r="W4" s="329" t="n">
        <f aca="false">V4+1</f>
        <v>20</v>
      </c>
      <c r="X4" s="329" t="n">
        <f aca="false">W4+1</f>
        <v>21</v>
      </c>
      <c r="Y4" s="450"/>
      <c r="Z4" s="450"/>
      <c r="AA4" s="691"/>
      <c r="AB4" s="691"/>
    </row>
    <row r="5" customFormat="false" ht="12" hidden="false" customHeight="true" outlineLevel="0" collapsed="false">
      <c r="A5" s="915" t="s">
        <v>649</v>
      </c>
      <c r="B5" s="380"/>
      <c r="C5" s="916"/>
      <c r="D5" s="381" t="n">
        <f aca="false">YEAR('Project Assumptions'!I17)</f>
        <v>1999</v>
      </c>
      <c r="E5" s="381" t="n">
        <f aca="false">D5+1</f>
        <v>2000</v>
      </c>
      <c r="F5" s="381" t="n">
        <f aca="false">E5+1</f>
        <v>2001</v>
      </c>
      <c r="G5" s="381" t="n">
        <f aca="false">F5+1</f>
        <v>2002</v>
      </c>
      <c r="H5" s="381" t="n">
        <f aca="false">G5+1</f>
        <v>2003</v>
      </c>
      <c r="I5" s="381" t="n">
        <f aca="false">H5+1</f>
        <v>2004</v>
      </c>
      <c r="J5" s="381" t="n">
        <f aca="false">I5+1</f>
        <v>2005</v>
      </c>
      <c r="K5" s="381" t="n">
        <f aca="false">J5+1</f>
        <v>2006</v>
      </c>
      <c r="L5" s="381" t="n">
        <f aca="false">K5+1</f>
        <v>2007</v>
      </c>
      <c r="M5" s="381" t="n">
        <f aca="false">L5+1</f>
        <v>2008</v>
      </c>
      <c r="N5" s="381" t="n">
        <f aca="false">M5+1</f>
        <v>2009</v>
      </c>
      <c r="O5" s="381" t="n">
        <f aca="false">N5+1</f>
        <v>2010</v>
      </c>
      <c r="P5" s="381" t="n">
        <f aca="false">O5+1</f>
        <v>2011</v>
      </c>
      <c r="Q5" s="381" t="n">
        <f aca="false">P5+1</f>
        <v>2012</v>
      </c>
      <c r="R5" s="381" t="n">
        <f aca="false">Q5+1</f>
        <v>2013</v>
      </c>
      <c r="S5" s="381" t="n">
        <f aca="false">R5+1</f>
        <v>2014</v>
      </c>
      <c r="T5" s="381" t="n">
        <f aca="false">S5+1</f>
        <v>2015</v>
      </c>
      <c r="U5" s="381" t="n">
        <f aca="false">T5+1</f>
        <v>2016</v>
      </c>
      <c r="V5" s="381" t="n">
        <f aca="false">U5+1</f>
        <v>2017</v>
      </c>
      <c r="W5" s="381" t="n">
        <f aca="false">V5+1</f>
        <v>2018</v>
      </c>
      <c r="X5" s="382" t="n">
        <f aca="false">W5+1</f>
        <v>2019</v>
      </c>
      <c r="Y5" s="383"/>
      <c r="Z5" s="383"/>
      <c r="AA5" s="503"/>
      <c r="AB5" s="503"/>
      <c r="AC5" s="917"/>
      <c r="AD5" s="917"/>
    </row>
    <row r="6" customFormat="false" ht="12" hidden="false" customHeight="true" outlineLevel="0" collapsed="false">
      <c r="A6" s="412"/>
      <c r="B6" s="783" t="s">
        <v>310</v>
      </c>
      <c r="C6" s="385"/>
      <c r="D6" s="918"/>
      <c r="E6" s="919"/>
      <c r="F6" s="919"/>
      <c r="G6" s="919"/>
      <c r="H6" s="919"/>
      <c r="I6" s="919"/>
      <c r="J6" s="919"/>
      <c r="K6" s="919"/>
      <c r="L6" s="919"/>
      <c r="M6" s="919"/>
      <c r="N6" s="919"/>
      <c r="O6" s="919"/>
      <c r="P6" s="919"/>
      <c r="Q6" s="919"/>
      <c r="R6" s="919"/>
      <c r="S6" s="385"/>
      <c r="T6" s="385"/>
      <c r="U6" s="385"/>
      <c r="V6" s="385"/>
      <c r="W6" s="385"/>
      <c r="X6" s="416"/>
      <c r="AE6" s="920"/>
    </row>
    <row r="7" customFormat="false" ht="12" hidden="false" customHeight="true" outlineLevel="0" collapsed="false">
      <c r="A7" s="791" t="s">
        <v>650</v>
      </c>
      <c r="B7" s="921" t="n">
        <v>15</v>
      </c>
      <c r="C7" s="789"/>
      <c r="D7" s="549" t="n">
        <f aca="false">IF(D4&gt;$B$7+1,0,IF($B$7=15,VLOOKUP(D4,$A$78:$B$93,2),VLOOKUP(D4,$A$98:$B$118,2)))</f>
        <v>0.05</v>
      </c>
      <c r="E7" s="549" t="n">
        <f aca="false">IF(E4&gt;$B$7+1,0,IF($B$7=15,VLOOKUP(E4,$A$78:$B$93,2),VLOOKUP(E4,$A$98:$B$118,2)))</f>
        <v>0.095</v>
      </c>
      <c r="F7" s="549" t="n">
        <f aca="false">IF(F4&gt;$B$7+1,0,IF($B$7=15,VLOOKUP(F4,$A$78:$B$93,2),VLOOKUP(F4,$A$98:$B$118,2)))</f>
        <v>0.0855</v>
      </c>
      <c r="G7" s="549" t="n">
        <f aca="false">IF(G4&gt;$B$7+1,0,IF($B$7=15,VLOOKUP(G4,$A$78:$B$93,2),VLOOKUP(G4,$A$98:$B$118,2)))</f>
        <v>0.077</v>
      </c>
      <c r="H7" s="549" t="n">
        <f aca="false">IF(H4&gt;$B$7+1,0,IF($B$7=15,VLOOKUP(H4,$A$78:$B$93,2),VLOOKUP(H4,$A$98:$B$118,2)))</f>
        <v>0.0693</v>
      </c>
      <c r="I7" s="549" t="n">
        <f aca="false">IF(I4&gt;$B$7+1,0,IF($B$7=15,VLOOKUP(I4,$A$78:$B$93,2),VLOOKUP(I4,$A$98:$B$118,2)))</f>
        <v>0.0623</v>
      </c>
      <c r="J7" s="549" t="n">
        <f aca="false">IF(J4&gt;$B$7+1,0,IF($B$7=15,VLOOKUP(J4,$A$78:$B$93,2),VLOOKUP(J4,$A$98:$B$118,2)))</f>
        <v>0.059</v>
      </c>
      <c r="K7" s="549" t="n">
        <f aca="false">IF(K4&gt;$B$7+1,0,IF($B$7=15,VLOOKUP(K4,$A$78:$B$93,2),VLOOKUP(K4,$A$98:$B$118,2)))</f>
        <v>0.0591</v>
      </c>
      <c r="L7" s="549" t="n">
        <f aca="false">IF(L4&gt;$B$7+1,0,IF($B$7=15,VLOOKUP(L4,$A$78:$B$93,2),VLOOKUP(L4,$A$98:$B$118,2)))</f>
        <v>0.059</v>
      </c>
      <c r="M7" s="549" t="n">
        <f aca="false">IF(M4&gt;$B$7+1,0,IF($B$7=15,VLOOKUP(M4,$A$78:$B$93,2),VLOOKUP(M4,$A$98:$B$118,2)))</f>
        <v>0.0591</v>
      </c>
      <c r="N7" s="549" t="n">
        <f aca="false">IF(N4&gt;$B$7+1,0,IF($B$7=15,VLOOKUP(N4,$A$78:$B$93,2),VLOOKUP(N4,$A$98:$B$118,2)))</f>
        <v>0.059</v>
      </c>
      <c r="O7" s="549" t="n">
        <f aca="false">IF(O4&gt;$B$7+1,0,IF($B$7=15,VLOOKUP(O4,$A$78:$B$93,2),VLOOKUP(O4,$A$98:$B$118,2)))</f>
        <v>0.0591</v>
      </c>
      <c r="P7" s="549" t="n">
        <f aca="false">IF(P4&gt;$B$7+1,0,IF($B$7=15,VLOOKUP(P4,$A$78:$B$93,2),VLOOKUP(P4,$A$98:$B$118,2)))</f>
        <v>0.059</v>
      </c>
      <c r="Q7" s="549" t="n">
        <f aca="false">IF(Q4&gt;$B$7+1,0,IF($B$7=15,VLOOKUP(Q4,$A$78:$B$93,2),VLOOKUP(Q4,$A$98:$B$118,2)))</f>
        <v>0.0591</v>
      </c>
      <c r="R7" s="549" t="n">
        <f aca="false">IF(R4&gt;$B$7+1,0,IF($B$7=15,VLOOKUP(R4,$A$78:$B$93,2),VLOOKUP(R4,$A$98:$B$118,2)))</f>
        <v>0.059</v>
      </c>
      <c r="S7" s="549" t="n">
        <f aca="false">IF(S4&gt;$B$7+1,0,IF($B$7=15,VLOOKUP(S4,$A$78:$B$93,2),VLOOKUP(S4,$A$98:$B$118,2)))</f>
        <v>0.0295</v>
      </c>
      <c r="T7" s="549" t="n">
        <f aca="false">IF(T4&gt;$B$7+1,0,IF($B$7=15,VLOOKUP(T4,$A$78:$B$93,2),VLOOKUP(T4,$A$98:$B$118,2)))</f>
        <v>0</v>
      </c>
      <c r="U7" s="549" t="n">
        <f aca="false">IF(U4&gt;$B$7+1,0,IF($B$7=15,VLOOKUP(U4,$A$78:$B$93,2),VLOOKUP(U4,$A$98:$B$118,2)))</f>
        <v>0</v>
      </c>
      <c r="V7" s="549" t="n">
        <f aca="false">IF(V4&gt;$B$7+1,0,IF($B$7=15,VLOOKUP(V4,$A$78:$B$93,2),VLOOKUP(V4,$A$98:$B$118,2)))</f>
        <v>0</v>
      </c>
      <c r="W7" s="549" t="n">
        <f aca="false">IF(W4&gt;$B$7+1,0,IF($B$7=15,VLOOKUP(W4,$A$78:$B$93,2),VLOOKUP(W4,$A$98:$B$118,2)))</f>
        <v>0</v>
      </c>
      <c r="X7" s="550" t="n">
        <f aca="false">IF(X4&gt;$B$7+1,0,IF($B$7=15,VLOOKUP(X4,$A$78:$B$93,2),VLOOKUP(X4,$A$98:$B$118,2)))</f>
        <v>0</v>
      </c>
      <c r="Y7" s="549"/>
      <c r="Z7" s="549"/>
      <c r="AA7" s="922"/>
      <c r="AB7" s="922"/>
      <c r="AC7" s="923"/>
      <c r="AD7" s="923"/>
      <c r="AE7" s="924"/>
    </row>
    <row r="8" customFormat="false" ht="12" hidden="false" customHeight="true" outlineLevel="0" collapsed="false">
      <c r="A8" s="791" t="s">
        <v>651</v>
      </c>
      <c r="B8" s="921" t="n">
        <v>5</v>
      </c>
      <c r="C8" s="925"/>
      <c r="D8" s="549" t="n">
        <f aca="false">IF(D4&gt;$B$8,0,1/$B$8)*'Book Income Statement'!D$6/12</f>
        <v>0.0833333333333333</v>
      </c>
      <c r="E8" s="549" t="n">
        <f aca="false">IF(E$4&lt;=$B8,(1/$B8),IF(E$4=$B8+1,(1/$B8)-$D8,0))</f>
        <v>0.2</v>
      </c>
      <c r="F8" s="549" t="n">
        <f aca="false">IF(F4&lt;=$B$8,(1/$B$8),IF(F4=$B$8+1,(1/$B$8)-$D$8,0))</f>
        <v>0.2</v>
      </c>
      <c r="G8" s="549" t="n">
        <f aca="false">IF(G4&lt;=$B$8,(1/$B$8),IF(G4=$B$8+1,(1/$B$8)-$D$8,0))</f>
        <v>0.2</v>
      </c>
      <c r="H8" s="549" t="n">
        <f aca="false">IF(H4&lt;=$B$8,(1/$B$8),IF(H4=$B$8+1,(1/$B$8)-$D$8,0))</f>
        <v>0.2</v>
      </c>
      <c r="I8" s="549" t="n">
        <f aca="false">IF(I4&lt;=$B$8,(1/$B$8),IF(I4=$B$8+1,(1/$B$8)-$D$8,0))</f>
        <v>0.116666666666667</v>
      </c>
      <c r="J8" s="549" t="n">
        <f aca="false">IF(J4&lt;=$B$8,(1/$B$8),IF(J4=$B$8+1,(1/$B$8)-$D$8,0))</f>
        <v>0</v>
      </c>
      <c r="K8" s="549" t="n">
        <f aca="false">IF(K4&lt;=$B$8,(1/$B$8),IF(K4=$B$8+1,(1/$B$8)-$D$8,0))</f>
        <v>0</v>
      </c>
      <c r="L8" s="549" t="n">
        <f aca="false">IF(L4&lt;=$B$8,(1/$B$8),IF(L4=$B$8+1,(1/$B$8)-$D$8,0))</f>
        <v>0</v>
      </c>
      <c r="M8" s="549" t="n">
        <f aca="false">IF(M4&lt;=$B$8,(1/$B$8),IF(M4=$B$8+1,(1/$B$8)-$D$8,0))</f>
        <v>0</v>
      </c>
      <c r="N8" s="549" t="n">
        <f aca="false">IF(N4&lt;=$B$8,(1/$B$8),IF(N4=$B$8+1,(1/$B$8)-$D$8,0))</f>
        <v>0</v>
      </c>
      <c r="O8" s="549" t="n">
        <f aca="false">IF(O4&lt;=$B$8,(1/$B$8),IF(O4=$B$8+1,(1/$B$8)-$D$8,0))</f>
        <v>0</v>
      </c>
      <c r="P8" s="549" t="n">
        <f aca="false">IF(P4&lt;=$B$8,(1/$B$8),IF(P4=$B$8+1,(1/$B$8)-$D$8,0))</f>
        <v>0</v>
      </c>
      <c r="Q8" s="549" t="n">
        <f aca="false">IF(Q4&lt;=$B$8,(1/$B$8),IF(Q4=$B$8+1,(1/$B$8)-$D$8,0))</f>
        <v>0</v>
      </c>
      <c r="R8" s="549" t="n">
        <f aca="false">IF(R4&lt;=$B$8,(1/$B$8),IF(R4=$B$8+1,(1/$B$8)-$D$8,0))</f>
        <v>0</v>
      </c>
      <c r="S8" s="549" t="n">
        <f aca="false">IF(S4&lt;=$B$8,(1/$B$8),IF(S4=$B$8+1,(1/$B$8)-$D$8,0))</f>
        <v>0</v>
      </c>
      <c r="T8" s="549" t="n">
        <f aca="false">IF(T4&lt;=$B$8,(1/$B$8),IF(T4=$B$8+1,(1/$B$8)-$D$8,0))</f>
        <v>0</v>
      </c>
      <c r="U8" s="549" t="n">
        <f aca="false">IF(U4&lt;=$B$8,(1/$B$8),IF(U4=$B$8+1,(1/$B$8)-$D$8,0))</f>
        <v>0</v>
      </c>
      <c r="V8" s="549" t="n">
        <f aca="false">IF(V4&lt;=$B$8,(1/$B$8),IF(V4=$B$8+1,(1/$B$8)-$D$8,0))</f>
        <v>0</v>
      </c>
      <c r="W8" s="549" t="n">
        <f aca="false">IF(W4&lt;=$B$8,(1/$B$8),IF(W4=$B$8+1,(1/$B$8)-$D$8,0))</f>
        <v>0</v>
      </c>
      <c r="X8" s="550" t="n">
        <f aca="false">IF(X4&lt;=$B$8,(1/$B$8),IF(X4=$B$8+1,(1/$B$8)-$D$8,0))</f>
        <v>0</v>
      </c>
      <c r="Y8" s="549"/>
      <c r="Z8" s="549"/>
      <c r="AA8" s="922"/>
      <c r="AB8" s="922"/>
      <c r="AC8" s="923"/>
      <c r="AD8" s="923"/>
      <c r="AE8" s="924"/>
    </row>
    <row r="9" customFormat="false" ht="12" hidden="false" customHeight="true" outlineLevel="0" collapsed="false">
      <c r="A9" s="791" t="s">
        <v>652</v>
      </c>
      <c r="B9" s="925" t="n">
        <f aca="false">MAX('Project Assumptions'!$F$40,'Project Assumptions'!$G$40,'Project Assumptions'!$H$40)</f>
        <v>20</v>
      </c>
      <c r="C9" s="926"/>
      <c r="D9" s="549" t="n">
        <f aca="false">IF(D4&gt;$B$9,0,(1/$B$9))*'Book Income Statement'!D$6/12</f>
        <v>0.0208333333333333</v>
      </c>
      <c r="E9" s="549" t="n">
        <f aca="false">IF(E$4&lt;=$B$9,(1/$B$9),IF(E$4=$B$9+1,(1/$B$9)-$D$9,0))</f>
        <v>0.05</v>
      </c>
      <c r="F9" s="549" t="n">
        <f aca="false">IF(F$4&lt;=$B$9,(1/$B$9),IF(F$4=$B$9+1,(1/$B$9)-$D$9,0))</f>
        <v>0.05</v>
      </c>
      <c r="G9" s="549" t="n">
        <f aca="false">IF(G$4&lt;=$B$9,(1/$B$9),IF(G$4=$B$9+1,(1/$B$9)-$D$9,0))</f>
        <v>0.05</v>
      </c>
      <c r="H9" s="549" t="n">
        <f aca="false">IF(H$4&lt;=$B$9,(1/$B$9),IF(H$4=$B$9+1,(1/$B$9)-$D$9,0))</f>
        <v>0.05</v>
      </c>
      <c r="I9" s="549" t="n">
        <f aca="false">IF(I$4&lt;=$B$9,(1/$B$9),IF(I$4=$B$9+1,(1/$B$9)-$D$9,0))</f>
        <v>0.05</v>
      </c>
      <c r="J9" s="549" t="n">
        <f aca="false">IF(J$4&lt;=$B$9,(1/$B$9),IF(J$4=$B$9+1,(1/$B$9)-$D$9,0))</f>
        <v>0.05</v>
      </c>
      <c r="K9" s="549" t="n">
        <f aca="false">IF(K$4&lt;=$B$9,(1/$B$9),IF(K$4=$B$9+1,(1/$B$9)-$D$9,0))</f>
        <v>0.05</v>
      </c>
      <c r="L9" s="549" t="n">
        <f aca="false">IF(L$4&lt;=$B$9,(1/$B$9),IF(L$4=$B$9+1,(1/$B$9)-$D$9,0))</f>
        <v>0.05</v>
      </c>
      <c r="M9" s="549" t="n">
        <f aca="false">IF(M$4&lt;=$B$9,(1/$B$9),IF(M$4=$B$9+1,(1/$B$9)-$D$9,0))</f>
        <v>0.05</v>
      </c>
      <c r="N9" s="549" t="n">
        <f aca="false">IF(N$4&lt;=$B$9,(1/$B$9),IF(N$4=$B$9+1,(1/$B$9)-$D$9,0))</f>
        <v>0.05</v>
      </c>
      <c r="O9" s="549" t="n">
        <f aca="false">IF(O$4&lt;=$B$9,(1/$B$9),IF(O$4=$B$9+1,(1/$B$9)-$D$9,0))</f>
        <v>0.05</v>
      </c>
      <c r="P9" s="549" t="n">
        <f aca="false">IF(P$4&lt;=$B$9,(1/$B$9),IF(P$4=$B$9+1,(1/$B$9)-$D$9,0))</f>
        <v>0.05</v>
      </c>
      <c r="Q9" s="549" t="n">
        <f aca="false">IF(Q$4&lt;=$B$9,(1/$B$9),IF(Q$4=$B$9+1,(1/$B$9)-$D$9,0))</f>
        <v>0.05</v>
      </c>
      <c r="R9" s="549" t="n">
        <f aca="false">IF(R$4&lt;=$B$9,(1/$B$9),IF(R$4=$B$9+1,(1/$B$9)-$D$9,0))</f>
        <v>0.05</v>
      </c>
      <c r="S9" s="549" t="n">
        <f aca="false">IF(S$4&lt;=$B$9,(1/$B$9),IF(S$4=$B$9+1,(1/$B$9)-$D$9,0))</f>
        <v>0.05</v>
      </c>
      <c r="T9" s="549" t="n">
        <f aca="false">IF(T$4&lt;=$B$9,(1/$B$9),IF(T$4=$B$9+1,(1/$B$9)-$D$9,0))</f>
        <v>0.05</v>
      </c>
      <c r="U9" s="549" t="n">
        <f aca="false">IF(U$4&lt;=$B$9,(1/$B$9),IF(U$4=$B$9+1,(1/$B$9)-$D$9,0))</f>
        <v>0.05</v>
      </c>
      <c r="V9" s="549" t="n">
        <f aca="false">IF(V$4&lt;=$B$9,(1/$B$9),IF(V$4=$B$9+1,(1/$B$9)-$D$9,0))</f>
        <v>0.05</v>
      </c>
      <c r="W9" s="549" t="n">
        <f aca="false">IF(W$4&lt;=$B$9,(1/$B$9),IF(W$4=$B$9+1,(1/$B$9)-$D$9,0))</f>
        <v>0.05</v>
      </c>
      <c r="X9" s="550" t="n">
        <f aca="false">IF(X$4&lt;=$B$9,(1/$B$9),IF(X$4=$B$9+1,(1/$B$9)-$D$9,0))</f>
        <v>0.0291666666666667</v>
      </c>
      <c r="Y9" s="549"/>
      <c r="Z9" s="549"/>
      <c r="AA9" s="922"/>
      <c r="AB9" s="922"/>
      <c r="AC9" s="923"/>
      <c r="AD9" s="923"/>
      <c r="AE9" s="924"/>
    </row>
    <row r="10" customFormat="false" ht="12" hidden="false" customHeight="true" outlineLevel="0" collapsed="false">
      <c r="A10" s="412"/>
      <c r="B10" s="925"/>
      <c r="C10" s="385"/>
      <c r="D10" s="919"/>
      <c r="E10" s="385"/>
      <c r="F10" s="385"/>
      <c r="G10" s="385"/>
      <c r="H10" s="385"/>
      <c r="I10" s="385"/>
      <c r="J10" s="385"/>
      <c r="K10" s="385"/>
      <c r="L10" s="385"/>
      <c r="M10" s="385"/>
      <c r="N10" s="385"/>
      <c r="O10" s="385"/>
      <c r="P10" s="385"/>
      <c r="Q10" s="385"/>
      <c r="R10" s="385"/>
      <c r="S10" s="385"/>
      <c r="T10" s="385"/>
      <c r="U10" s="385"/>
      <c r="V10" s="385"/>
      <c r="W10" s="385"/>
      <c r="X10" s="416"/>
    </row>
    <row r="11" customFormat="false" ht="12" hidden="false" customHeight="true" outlineLevel="0" collapsed="false">
      <c r="A11" s="791" t="s">
        <v>653</v>
      </c>
      <c r="B11" s="438" t="n">
        <f aca="false">'Project Assumptions'!C23-'Project Assumptions'!C18+'Project Assumptions'!C46+'Project Assumptions'!C27</f>
        <v>149943.184</v>
      </c>
      <c r="C11" s="789"/>
      <c r="D11" s="438" t="n">
        <f aca="false">$B$11*D7</f>
        <v>7497.1592</v>
      </c>
      <c r="E11" s="438" t="n">
        <f aca="false">$B$11*E7</f>
        <v>14244.60248</v>
      </c>
      <c r="F11" s="438" t="n">
        <f aca="false">$B$11*F7</f>
        <v>12820.142232</v>
      </c>
      <c r="G11" s="438" t="n">
        <f aca="false">$B$11*G7</f>
        <v>11545.625168</v>
      </c>
      <c r="H11" s="438" t="n">
        <f aca="false">$B$11*H7</f>
        <v>10391.0626512</v>
      </c>
      <c r="I11" s="438" t="n">
        <f aca="false">$B$11*I7</f>
        <v>9341.4603632</v>
      </c>
      <c r="J11" s="438" t="n">
        <f aca="false">$B$11*J7</f>
        <v>8846.647856</v>
      </c>
      <c r="K11" s="438" t="n">
        <f aca="false">$B$11*K7</f>
        <v>8861.6421744</v>
      </c>
      <c r="L11" s="438" t="n">
        <f aca="false">$B$11*L7</f>
        <v>8846.647856</v>
      </c>
      <c r="M11" s="438" t="n">
        <f aca="false">$B$11*M7</f>
        <v>8861.6421744</v>
      </c>
      <c r="N11" s="438" t="n">
        <f aca="false">$B$11*N7</f>
        <v>8846.647856</v>
      </c>
      <c r="O11" s="438" t="n">
        <f aca="false">$B$11*O7</f>
        <v>8861.6421744</v>
      </c>
      <c r="P11" s="438" t="n">
        <f aca="false">$B$11*P7</f>
        <v>8846.647856</v>
      </c>
      <c r="Q11" s="438" t="n">
        <f aca="false">$B$11*Q7</f>
        <v>8861.6421744</v>
      </c>
      <c r="R11" s="438" t="n">
        <f aca="false">$B$11*R7</f>
        <v>8846.647856</v>
      </c>
      <c r="S11" s="438" t="n">
        <f aca="false">$B$11*S7</f>
        <v>4423.323928</v>
      </c>
      <c r="T11" s="438" t="n">
        <f aca="false">$B$11*T7</f>
        <v>0</v>
      </c>
      <c r="U11" s="438" t="n">
        <f aca="false">$B$11*U7</f>
        <v>0</v>
      </c>
      <c r="V11" s="438" t="n">
        <f aca="false">$B$11*V7</f>
        <v>0</v>
      </c>
      <c r="W11" s="438" t="n">
        <f aca="false">$B$11*W7</f>
        <v>0</v>
      </c>
      <c r="X11" s="439" t="n">
        <f aca="false">$B$11*X7</f>
        <v>0</v>
      </c>
      <c r="Y11" s="438"/>
      <c r="Z11" s="438"/>
      <c r="AA11" s="713"/>
      <c r="AB11" s="713"/>
      <c r="AC11" s="927"/>
      <c r="AD11" s="927"/>
      <c r="AE11" s="927"/>
    </row>
    <row r="12" customFormat="false" ht="15" hidden="false" customHeight="true" outlineLevel="0" collapsed="false">
      <c r="A12" s="791" t="s">
        <v>654</v>
      </c>
      <c r="B12" s="557" t="n">
        <f aca="false">'Project Assumptions'!C34-'Project Assumptions'!C27</f>
        <v>3020.094</v>
      </c>
      <c r="C12" s="789"/>
      <c r="D12" s="557" t="n">
        <f aca="false">$B$12*D8</f>
        <v>251.6745</v>
      </c>
      <c r="E12" s="557" t="n">
        <f aca="false">$B$12*E8</f>
        <v>604.0188</v>
      </c>
      <c r="F12" s="557" t="n">
        <f aca="false">$B$12*F8</f>
        <v>604.0188</v>
      </c>
      <c r="G12" s="557" t="n">
        <f aca="false">$B$12*G8</f>
        <v>604.0188</v>
      </c>
      <c r="H12" s="557" t="n">
        <f aca="false">$B$12*H8</f>
        <v>604.0188</v>
      </c>
      <c r="I12" s="557" t="n">
        <f aca="false">$B$12*I8</f>
        <v>352.3443</v>
      </c>
      <c r="J12" s="557" t="n">
        <f aca="false">$B$12*J8</f>
        <v>0</v>
      </c>
      <c r="K12" s="557" t="n">
        <f aca="false">$B$12*K8</f>
        <v>0</v>
      </c>
      <c r="L12" s="557" t="n">
        <f aca="false">$B$12*L8</f>
        <v>0</v>
      </c>
      <c r="M12" s="557" t="n">
        <f aca="false">$B$12*M8</f>
        <v>0</v>
      </c>
      <c r="N12" s="557" t="n">
        <f aca="false">$B$12*N8</f>
        <v>0</v>
      </c>
      <c r="O12" s="557" t="n">
        <f aca="false">$B$12*O8</f>
        <v>0</v>
      </c>
      <c r="P12" s="557" t="n">
        <f aca="false">$B$12*P8</f>
        <v>0</v>
      </c>
      <c r="Q12" s="557" t="n">
        <f aca="false">$B$12*Q8</f>
        <v>0</v>
      </c>
      <c r="R12" s="557" t="n">
        <f aca="false">$B$12*R8</f>
        <v>0</v>
      </c>
      <c r="S12" s="557" t="n">
        <f aca="false">$B$12*S8</f>
        <v>0</v>
      </c>
      <c r="T12" s="557" t="n">
        <f aca="false">$B$12*T8</f>
        <v>0</v>
      </c>
      <c r="U12" s="557" t="n">
        <f aca="false">$B$12*U8</f>
        <v>0</v>
      </c>
      <c r="V12" s="557" t="n">
        <f aca="false">$B$12*V8</f>
        <v>0</v>
      </c>
      <c r="W12" s="557" t="n">
        <f aca="false">$B$12*W8</f>
        <v>0</v>
      </c>
      <c r="X12" s="795" t="n">
        <f aca="false">$B$12*X8</f>
        <v>0</v>
      </c>
      <c r="Y12" s="557"/>
      <c r="Z12" s="557"/>
      <c r="AA12" s="558"/>
      <c r="AB12" s="558"/>
      <c r="AC12" s="927"/>
      <c r="AD12" s="927"/>
      <c r="AE12" s="928"/>
    </row>
    <row r="13" customFormat="false" ht="13.5" hidden="false" customHeight="true" outlineLevel="0" collapsed="false">
      <c r="A13" s="791" t="s">
        <v>655</v>
      </c>
      <c r="B13" s="557" t="n">
        <f aca="false">'Project Assumptions'!C38+'Project Assumptions'!C39+'Project Assumptions'!C40</f>
        <v>1243</v>
      </c>
      <c r="C13" s="789"/>
      <c r="D13" s="557" t="n">
        <f aca="false">$B$13*D9</f>
        <v>25.8958333333333</v>
      </c>
      <c r="E13" s="557" t="n">
        <f aca="false">$B$13*E9</f>
        <v>62.15</v>
      </c>
      <c r="F13" s="557" t="n">
        <f aca="false">$B$13*F9</f>
        <v>62.15</v>
      </c>
      <c r="G13" s="557" t="n">
        <f aca="false">$B$13*G9</f>
        <v>62.15</v>
      </c>
      <c r="H13" s="557" t="n">
        <f aca="false">$B$13*H9</f>
        <v>62.15</v>
      </c>
      <c r="I13" s="557" t="n">
        <f aca="false">$B$13*I9</f>
        <v>62.15</v>
      </c>
      <c r="J13" s="557" t="n">
        <f aca="false">$B$13*J9</f>
        <v>62.15</v>
      </c>
      <c r="K13" s="557" t="n">
        <f aca="false">$B$13*K9</f>
        <v>62.15</v>
      </c>
      <c r="L13" s="557" t="n">
        <f aca="false">$B$13*L9</f>
        <v>62.15</v>
      </c>
      <c r="M13" s="557" t="n">
        <f aca="false">$B$13*M9</f>
        <v>62.15</v>
      </c>
      <c r="N13" s="557" t="n">
        <f aca="false">$B$13*N9</f>
        <v>62.15</v>
      </c>
      <c r="O13" s="557" t="n">
        <f aca="false">$B$13*O9</f>
        <v>62.15</v>
      </c>
      <c r="P13" s="557" t="n">
        <f aca="false">$B$13*P9</f>
        <v>62.15</v>
      </c>
      <c r="Q13" s="557" t="n">
        <f aca="false">$B$13*Q9</f>
        <v>62.15</v>
      </c>
      <c r="R13" s="557" t="n">
        <f aca="false">$B$13*R9</f>
        <v>62.15</v>
      </c>
      <c r="S13" s="557" t="n">
        <f aca="false">$B$13*S9</f>
        <v>62.15</v>
      </c>
      <c r="T13" s="557" t="n">
        <f aca="false">$B$13*T9</f>
        <v>62.15</v>
      </c>
      <c r="U13" s="557" t="n">
        <f aca="false">$B$13*U9</f>
        <v>62.15</v>
      </c>
      <c r="V13" s="557" t="n">
        <f aca="false">$B$13*V9</f>
        <v>62.15</v>
      </c>
      <c r="W13" s="557" t="n">
        <f aca="false">$B$13*W9</f>
        <v>62.15</v>
      </c>
      <c r="X13" s="795" t="n">
        <f aca="false">$B$13*X9</f>
        <v>36.2541666666667</v>
      </c>
      <c r="Y13" s="807"/>
      <c r="Z13" s="807"/>
      <c r="AA13" s="929"/>
      <c r="AB13" s="929"/>
      <c r="AC13" s="927"/>
      <c r="AD13" s="927"/>
      <c r="AE13" s="928"/>
    </row>
    <row r="14" customFormat="false" ht="13.5" hidden="false" customHeight="true" outlineLevel="0" collapsed="false">
      <c r="A14" s="791" t="s">
        <v>656</v>
      </c>
      <c r="B14" s="557" t="n">
        <f aca="false">'Cash Flow Statement'!E17</f>
        <v>3000</v>
      </c>
      <c r="C14" s="789"/>
      <c r="D14" s="557" t="n">
        <v>0</v>
      </c>
      <c r="E14" s="557" t="n">
        <f aca="false">D7*$B$14</f>
        <v>150</v>
      </c>
      <c r="F14" s="557" t="n">
        <f aca="false">E7*$B$14</f>
        <v>285</v>
      </c>
      <c r="G14" s="557" t="n">
        <f aca="false">F7*$B$14</f>
        <v>256.5</v>
      </c>
      <c r="H14" s="557" t="n">
        <f aca="false">G7*$B$14</f>
        <v>231</v>
      </c>
      <c r="I14" s="557" t="n">
        <f aca="false">H7*$B$14</f>
        <v>207.9</v>
      </c>
      <c r="J14" s="557" t="n">
        <f aca="false">I7*$B$14</f>
        <v>186.9</v>
      </c>
      <c r="K14" s="557" t="n">
        <f aca="false">J7*$B$14</f>
        <v>177</v>
      </c>
      <c r="L14" s="557" t="n">
        <f aca="false">K7*$B$14</f>
        <v>177.3</v>
      </c>
      <c r="M14" s="557" t="n">
        <f aca="false">L7*$B$14</f>
        <v>177</v>
      </c>
      <c r="N14" s="557" t="n">
        <f aca="false">M7*$B$14</f>
        <v>177.3</v>
      </c>
      <c r="O14" s="557" t="n">
        <f aca="false">N7*$B$14</f>
        <v>177</v>
      </c>
      <c r="P14" s="557" t="n">
        <f aca="false">O7*$B$14</f>
        <v>177.3</v>
      </c>
      <c r="Q14" s="557" t="n">
        <f aca="false">P7*$B$14</f>
        <v>177</v>
      </c>
      <c r="R14" s="557" t="n">
        <f aca="false">Q7*$B$14</f>
        <v>177.3</v>
      </c>
      <c r="S14" s="557" t="n">
        <f aca="false">R7*$B$14</f>
        <v>177</v>
      </c>
      <c r="T14" s="557" t="n">
        <f aca="false">S7*$B$14</f>
        <v>88.5</v>
      </c>
      <c r="U14" s="557" t="n">
        <f aca="false">T7*$B$14</f>
        <v>0</v>
      </c>
      <c r="V14" s="557" t="n">
        <f aca="false">U7*$B$14</f>
        <v>0</v>
      </c>
      <c r="W14" s="557" t="n">
        <f aca="false">V7*$B$14</f>
        <v>0</v>
      </c>
      <c r="X14" s="795" t="n">
        <f aca="false">W7*$B$14</f>
        <v>0</v>
      </c>
      <c r="Y14" s="807"/>
      <c r="Z14" s="807"/>
      <c r="AA14" s="929"/>
      <c r="AB14" s="929"/>
      <c r="AC14" s="927"/>
      <c r="AD14" s="927"/>
      <c r="AE14" s="928"/>
    </row>
    <row r="15" customFormat="false" ht="12" hidden="false" customHeight="true" outlineLevel="0" collapsed="false">
      <c r="A15" s="791" t="s">
        <v>657</v>
      </c>
      <c r="B15" s="807" t="n">
        <v>0</v>
      </c>
      <c r="C15" s="789"/>
      <c r="D15" s="807" t="n">
        <f aca="false">B15</f>
        <v>0</v>
      </c>
      <c r="E15" s="930" t="n">
        <v>0</v>
      </c>
      <c r="F15" s="930" t="n">
        <v>0</v>
      </c>
      <c r="G15" s="930" t="n">
        <v>0</v>
      </c>
      <c r="H15" s="930" t="n">
        <v>0</v>
      </c>
      <c r="I15" s="930" t="n">
        <v>0</v>
      </c>
      <c r="J15" s="930" t="n">
        <v>0</v>
      </c>
      <c r="K15" s="930" t="n">
        <v>0</v>
      </c>
      <c r="L15" s="930" t="n">
        <v>0</v>
      </c>
      <c r="M15" s="930" t="n">
        <v>0</v>
      </c>
      <c r="N15" s="930" t="n">
        <v>0</v>
      </c>
      <c r="O15" s="930" t="n">
        <v>0</v>
      </c>
      <c r="P15" s="930" t="n">
        <v>0</v>
      </c>
      <c r="Q15" s="930" t="n">
        <v>0</v>
      </c>
      <c r="R15" s="930" t="n">
        <v>0</v>
      </c>
      <c r="S15" s="930" t="n">
        <v>0</v>
      </c>
      <c r="T15" s="930" t="n">
        <v>0</v>
      </c>
      <c r="U15" s="930" t="n">
        <v>0</v>
      </c>
      <c r="V15" s="930" t="n">
        <v>0</v>
      </c>
      <c r="W15" s="930" t="n">
        <v>0</v>
      </c>
      <c r="X15" s="931" t="n">
        <v>0</v>
      </c>
      <c r="Y15" s="807"/>
      <c r="Z15" s="807"/>
      <c r="AA15" s="929"/>
      <c r="AB15" s="929"/>
      <c r="AC15" s="927"/>
      <c r="AD15" s="927"/>
      <c r="AE15" s="928"/>
    </row>
    <row r="16" customFormat="false" ht="12" hidden="false" customHeight="true" outlineLevel="0" collapsed="false">
      <c r="A16" s="932" t="s">
        <v>658</v>
      </c>
      <c r="B16" s="720" t="n">
        <f aca="false">SUM(B11:B15)</f>
        <v>157206.278</v>
      </c>
      <c r="C16" s="933"/>
      <c r="D16" s="720" t="n">
        <f aca="false">SUM(D11:D15)</f>
        <v>7774.72953333333</v>
      </c>
      <c r="E16" s="720" t="n">
        <f aca="false">SUM(E11:E15)</f>
        <v>15060.77128</v>
      </c>
      <c r="F16" s="720" t="n">
        <f aca="false">SUM(F11:F15)</f>
        <v>13771.311032</v>
      </c>
      <c r="G16" s="720" t="n">
        <f aca="false">SUM(G11:G15)</f>
        <v>12468.293968</v>
      </c>
      <c r="H16" s="720" t="n">
        <f aca="false">SUM(H11:H15)</f>
        <v>11288.2314512</v>
      </c>
      <c r="I16" s="720" t="n">
        <f aca="false">SUM(I11:I15)</f>
        <v>9963.8546632</v>
      </c>
      <c r="J16" s="720" t="n">
        <f aca="false">SUM(J11:J15)</f>
        <v>9095.697856</v>
      </c>
      <c r="K16" s="720" t="n">
        <f aca="false">SUM(K11:K15)</f>
        <v>9100.7921744</v>
      </c>
      <c r="L16" s="720" t="n">
        <f aca="false">SUM(L11:L15)</f>
        <v>9086.097856</v>
      </c>
      <c r="M16" s="720" t="n">
        <f aca="false">SUM(M11:M15)</f>
        <v>9100.7921744</v>
      </c>
      <c r="N16" s="720" t="n">
        <f aca="false">SUM(N11:N15)</f>
        <v>9086.097856</v>
      </c>
      <c r="O16" s="720" t="n">
        <f aca="false">SUM(O11:O15)</f>
        <v>9100.7921744</v>
      </c>
      <c r="P16" s="720" t="n">
        <f aca="false">SUM(P11:P15)</f>
        <v>9086.097856</v>
      </c>
      <c r="Q16" s="720" t="n">
        <f aca="false">SUM(Q11:Q15)</f>
        <v>9100.7921744</v>
      </c>
      <c r="R16" s="720" t="n">
        <f aca="false">SUM(R11:R15)</f>
        <v>9086.097856</v>
      </c>
      <c r="S16" s="720" t="n">
        <f aca="false">SUM(S11:S15)</f>
        <v>4662.473928</v>
      </c>
      <c r="T16" s="720" t="n">
        <f aca="false">SUM(T11:T15)</f>
        <v>150.65</v>
      </c>
      <c r="U16" s="720" t="n">
        <f aca="false">SUM(U11:U15)</f>
        <v>62.15</v>
      </c>
      <c r="V16" s="720" t="n">
        <f aca="false">SUM(V11:V15)</f>
        <v>62.15</v>
      </c>
      <c r="W16" s="720" t="n">
        <f aca="false">SUM(W11:W15)</f>
        <v>62.15</v>
      </c>
      <c r="X16" s="721" t="n">
        <f aca="false">SUM(X11:X15)</f>
        <v>36.2541666666667</v>
      </c>
      <c r="Y16" s="438"/>
      <c r="Z16" s="438"/>
      <c r="AA16" s="713"/>
      <c r="AB16" s="713"/>
      <c r="AC16" s="927"/>
      <c r="AD16" s="927"/>
      <c r="AE16" s="927"/>
    </row>
    <row r="17" customFormat="false" ht="12" hidden="false" customHeight="true" outlineLevel="0" collapsed="false">
      <c r="A17" s="892"/>
      <c r="B17" s="934"/>
      <c r="C17" s="934"/>
      <c r="D17" s="934"/>
      <c r="E17" s="934"/>
      <c r="F17" s="934"/>
      <c r="G17" s="934"/>
      <c r="H17" s="934"/>
      <c r="I17" s="934"/>
      <c r="J17" s="934"/>
      <c r="K17" s="934"/>
      <c r="L17" s="934"/>
      <c r="M17" s="934"/>
      <c r="N17" s="934"/>
      <c r="O17" s="934"/>
      <c r="P17" s="934"/>
      <c r="Q17" s="934"/>
      <c r="R17" s="934"/>
      <c r="S17" s="934"/>
      <c r="T17" s="934"/>
      <c r="U17" s="934"/>
      <c r="V17" s="934"/>
      <c r="W17" s="934"/>
      <c r="X17" s="934"/>
      <c r="Y17" s="934"/>
      <c r="Z17" s="934"/>
      <c r="AA17" s="927"/>
      <c r="AB17" s="927"/>
      <c r="AC17" s="927"/>
      <c r="AD17" s="927"/>
      <c r="AE17" s="928"/>
    </row>
    <row r="18" customFormat="false" ht="12" hidden="false" customHeight="true" outlineLevel="0" collapsed="false">
      <c r="A18" s="915" t="s">
        <v>659</v>
      </c>
      <c r="B18" s="380"/>
      <c r="C18" s="380"/>
      <c r="D18" s="380"/>
      <c r="E18" s="380"/>
      <c r="F18" s="380"/>
      <c r="G18" s="380"/>
      <c r="H18" s="380"/>
      <c r="I18" s="380"/>
      <c r="J18" s="380"/>
      <c r="K18" s="380"/>
      <c r="L18" s="380"/>
      <c r="M18" s="380"/>
      <c r="N18" s="380"/>
      <c r="O18" s="380"/>
      <c r="P18" s="380"/>
      <c r="Q18" s="380"/>
      <c r="R18" s="380"/>
      <c r="S18" s="380"/>
      <c r="T18" s="380"/>
      <c r="U18" s="380"/>
      <c r="V18" s="380"/>
      <c r="W18" s="380"/>
      <c r="X18" s="540"/>
      <c r="AE18" s="920"/>
    </row>
    <row r="19" customFormat="false" ht="12" hidden="false" customHeight="true" outlineLevel="0" collapsed="false">
      <c r="A19" s="935"/>
      <c r="B19" s="783" t="s">
        <v>310</v>
      </c>
      <c r="C19" s="385"/>
      <c r="D19" s="385"/>
      <c r="E19" s="385"/>
      <c r="F19" s="385"/>
      <c r="G19" s="385"/>
      <c r="H19" s="385"/>
      <c r="I19" s="385"/>
      <c r="J19" s="385"/>
      <c r="K19" s="385"/>
      <c r="L19" s="385"/>
      <c r="M19" s="385"/>
      <c r="N19" s="385"/>
      <c r="O19" s="385"/>
      <c r="P19" s="385"/>
      <c r="Q19" s="385"/>
      <c r="R19" s="385"/>
      <c r="S19" s="385"/>
      <c r="T19" s="385"/>
      <c r="U19" s="385"/>
      <c r="V19" s="385"/>
      <c r="W19" s="385"/>
      <c r="X19" s="416"/>
      <c r="AE19" s="920"/>
    </row>
    <row r="20" customFormat="false" ht="12" hidden="false" customHeight="true" outlineLevel="0" collapsed="false">
      <c r="A20" s="791" t="s">
        <v>650</v>
      </c>
      <c r="B20" s="921" t="n">
        <f aca="false">B7</f>
        <v>15</v>
      </c>
      <c r="C20" s="936"/>
      <c r="D20" s="549" t="n">
        <f aca="false">IF(D4&gt;$B$20+1,0,IF($B$20=15,VLOOKUP(D4,$A$78:$B$93,2),VLOOKUP(D4,$A$98:$B$118,2)))</f>
        <v>0.05</v>
      </c>
      <c r="E20" s="549" t="n">
        <f aca="false">IF(E4&gt;$B$20+1,0,IF($B$20=15,VLOOKUP(E4,$A$78:$B$93,2),VLOOKUP(E4,$A$98:$B$118,2)))</f>
        <v>0.095</v>
      </c>
      <c r="F20" s="549" t="n">
        <f aca="false">IF(F4&gt;$B$20+1,0,IF($B$20=15,VLOOKUP(F4,$A$78:$B$93,2),VLOOKUP(F4,$A$98:$B$118,2)))</f>
        <v>0.0855</v>
      </c>
      <c r="G20" s="549" t="n">
        <f aca="false">IF(G4&gt;$B$20+1,0,IF($B$20=15,VLOOKUP(G4,$A$78:$B$93,2),VLOOKUP(G4,$A$98:$B$118,2)))</f>
        <v>0.077</v>
      </c>
      <c r="H20" s="549" t="n">
        <f aca="false">IF(H4&gt;$B$20+1,0,IF($B$20=15,VLOOKUP(H4,$A$78:$B$93,2),VLOOKUP(H4,$A$98:$B$118,2)))</f>
        <v>0.0693</v>
      </c>
      <c r="I20" s="549" t="n">
        <f aca="false">IF(I4&gt;$B$20+1,0,IF($B$20=15,VLOOKUP(I4,$A$78:$B$93,2),VLOOKUP(I4,$A$98:$B$118,2)))</f>
        <v>0.0623</v>
      </c>
      <c r="J20" s="549" t="n">
        <f aca="false">IF(J4&gt;$B$20+1,0,IF($B$20=15,VLOOKUP(J4,$A$78:$B$93,2),VLOOKUP(J4,$A$98:$B$118,2)))</f>
        <v>0.059</v>
      </c>
      <c r="K20" s="549" t="n">
        <f aca="false">IF(K4&gt;$B$20+1,0,IF($B$20=15,VLOOKUP(K4,$A$78:$B$93,2),VLOOKUP(K4,$A$98:$B$118,2)))</f>
        <v>0.0591</v>
      </c>
      <c r="L20" s="549" t="n">
        <f aca="false">IF(L4&gt;$B$20+1,0,IF($B$20=15,VLOOKUP(L4,$A$78:$B$93,2),VLOOKUP(L4,$A$98:$B$118,2)))</f>
        <v>0.059</v>
      </c>
      <c r="M20" s="549" t="n">
        <f aca="false">IF(M4&gt;$B$20+1,0,IF($B$20=15,VLOOKUP(M4,$A$78:$B$93,2),VLOOKUP(M4,$A$98:$B$118,2)))</f>
        <v>0.0591</v>
      </c>
      <c r="N20" s="549" t="n">
        <f aca="false">IF(N4&gt;$B$20+1,0,IF($B$20=15,VLOOKUP(N4,$A$78:$B$93,2),VLOOKUP(N4,$A$98:$B$118,2)))</f>
        <v>0.059</v>
      </c>
      <c r="O20" s="549" t="n">
        <f aca="false">IF(O4&gt;$B$20+1,0,IF($B$20=15,VLOOKUP(O4,$A$78:$B$93,2),VLOOKUP(O4,$A$98:$B$118,2)))</f>
        <v>0.0591</v>
      </c>
      <c r="P20" s="549" t="n">
        <f aca="false">IF(P4&gt;$B$20+1,0,IF($B$20=15,VLOOKUP(P4,$A$78:$B$93,2),VLOOKUP(P4,$A$98:$B$118,2)))</f>
        <v>0.059</v>
      </c>
      <c r="Q20" s="549" t="n">
        <f aca="false">IF(Q4&gt;$B$20+1,0,IF($B$20=15,VLOOKUP(Q4,$A$78:$B$93,2),VLOOKUP(Q4,$A$98:$B$118,2)))</f>
        <v>0.0591</v>
      </c>
      <c r="R20" s="549" t="n">
        <f aca="false">IF(R4&gt;$B$20+1,0,IF($B$20=15,VLOOKUP(R4,$A$78:$B$93,2),VLOOKUP(R4,$A$98:$B$118,2)))</f>
        <v>0.059</v>
      </c>
      <c r="S20" s="549" t="n">
        <f aca="false">IF(S4&gt;$B$20+1,0,IF($B$20=15,VLOOKUP(S4,$A$78:$B$93,2),VLOOKUP(S4,$A$98:$B$118,2)))</f>
        <v>0.0295</v>
      </c>
      <c r="T20" s="549" t="n">
        <f aca="false">IF(T4&gt;$B$20+1,0,IF($B$20=15,VLOOKUP(T4,$A$78:$B$93,2),VLOOKUP(T4,$A$98:$B$118,2)))</f>
        <v>0</v>
      </c>
      <c r="U20" s="549" t="n">
        <f aca="false">IF(U4&gt;$B$20+1,0,IF($B$20=15,VLOOKUP(U4,$A$78:$B$93,2),VLOOKUP(U4,$A$98:$B$118,2)))</f>
        <v>0</v>
      </c>
      <c r="V20" s="549" t="n">
        <f aca="false">IF(V4&gt;$B$20+1,0,IF($B$20=15,VLOOKUP(V4,$A$78:$B$93,2),VLOOKUP(V4,$A$98:$B$118,2)))</f>
        <v>0</v>
      </c>
      <c r="W20" s="549" t="n">
        <f aca="false">IF(W4&gt;$B$20+1,0,IF($B$20=15,VLOOKUP(W4,$A$78:$B$93,2),VLOOKUP(W4,$A$98:$B$118,2)))</f>
        <v>0</v>
      </c>
      <c r="X20" s="550" t="n">
        <f aca="false">IF(X4&gt;$B$20+1,0,IF($B$20=15,VLOOKUP(X4,$A$78:$B$93,2),VLOOKUP(X4,$A$98:$B$118,2)))</f>
        <v>0</v>
      </c>
      <c r="Y20" s="549"/>
      <c r="Z20" s="549"/>
      <c r="AA20" s="922"/>
      <c r="AB20" s="922"/>
      <c r="AC20" s="923"/>
      <c r="AD20" s="923"/>
      <c r="AE20" s="924"/>
    </row>
    <row r="21" customFormat="false" ht="12" hidden="false" customHeight="true" outlineLevel="0" collapsed="false">
      <c r="A21" s="791" t="s">
        <v>651</v>
      </c>
      <c r="B21" s="921" t="n">
        <v>5</v>
      </c>
      <c r="C21" s="385"/>
      <c r="D21" s="549" t="n">
        <f aca="false">IF(D17&gt;$B$21,0,1/$B$21)*'Book Income Statement'!D$6/12</f>
        <v>0.0833333333333333</v>
      </c>
      <c r="E21" s="549" t="n">
        <f aca="false">IF(E$4&lt;=$B21,(1/$B21),IF(E$4=$B21+1,(1/$B21)-$D21,0))</f>
        <v>0.2</v>
      </c>
      <c r="F21" s="549" t="n">
        <f aca="false">IF(F$4&lt;=$B21,(1/$B21),IF(F$4=$B21+1,(1/$B21)-$D21,0))</f>
        <v>0.2</v>
      </c>
      <c r="G21" s="549" t="n">
        <f aca="false">IF(G$4&lt;=$B21,(1/$B21),IF(G$4=$B21+1,(1/$B21)-$D21,0))</f>
        <v>0.2</v>
      </c>
      <c r="H21" s="549" t="n">
        <f aca="false">IF(H$4&lt;=$B21,(1/$B21),IF(H$4=$B21+1,(1/$B21)-$D21,0))</f>
        <v>0.2</v>
      </c>
      <c r="I21" s="549" t="n">
        <f aca="false">IF(I$4&lt;=$B21,(1/$B21),IF(I$4=$B21+1,(1/$B21)-$D21,0))</f>
        <v>0.116666666666667</v>
      </c>
      <c r="J21" s="549" t="n">
        <f aca="false">IF(J$4&lt;=$B21,(1/$B21),IF(J$4=$B21+1,(1/$B21)-$D21,0))</f>
        <v>0</v>
      </c>
      <c r="K21" s="549" t="n">
        <f aca="false">IF(K$4&lt;=$B21,(1/$B21),IF(K$4=$B21+1,(1/$B21)-$D21,0))</f>
        <v>0</v>
      </c>
      <c r="L21" s="549" t="n">
        <f aca="false">IF(L$4&lt;=$B21,(1/$B21),IF(L$4=$B21+1,(1/$B21)-$D21,0))</f>
        <v>0</v>
      </c>
      <c r="M21" s="549" t="n">
        <f aca="false">IF(M$4&lt;=$B21,(1/$B21),IF(M$4=$B21+1,(1/$B21)-$D21,0))</f>
        <v>0</v>
      </c>
      <c r="N21" s="549" t="n">
        <f aca="false">IF(N$4&lt;=$B21,(1/$B21),IF(N$4=$B21+1,(1/$B21)-$D21,0))</f>
        <v>0</v>
      </c>
      <c r="O21" s="549" t="n">
        <f aca="false">IF(O$4&lt;=$B21,(1/$B21),IF(O$4=$B21+1,(1/$B21)-$D21,0))</f>
        <v>0</v>
      </c>
      <c r="P21" s="549" t="n">
        <f aca="false">IF(P$4&lt;=$B21,(1/$B21),IF(P$4=$B21+1,(1/$B21)-$D21,0))</f>
        <v>0</v>
      </c>
      <c r="Q21" s="549" t="n">
        <f aca="false">IF(Q$4&lt;=$B21,(1/$B21),IF(Q$4=$B21+1,(1/$B21)-$D21,0))</f>
        <v>0</v>
      </c>
      <c r="R21" s="549" t="n">
        <f aca="false">IF(R$4&lt;=$B21,(1/$B21),IF(R$4=$B21+1,(1/$B21)-$D21,0))</f>
        <v>0</v>
      </c>
      <c r="S21" s="549" t="n">
        <f aca="false">IF(S$4&lt;=$B21,(1/$B21),IF(S$4=$B21+1,(1/$B21)-$D21,0))</f>
        <v>0</v>
      </c>
      <c r="T21" s="549" t="n">
        <f aca="false">IF(T$4&lt;=$B21,(1/$B21),IF(T$4=$B21+1,(1/$B21)-$D21,0))</f>
        <v>0</v>
      </c>
      <c r="U21" s="549" t="n">
        <f aca="false">IF(U$4&lt;=$B21,(1/$B21),IF(U$4=$B21+1,(1/$B21)-$D21,0))</f>
        <v>0</v>
      </c>
      <c r="V21" s="549" t="n">
        <f aca="false">IF(V$4&lt;=$B21,(1/$B21),IF(V$4=$B21+1,(1/$B21)-$D21,0))</f>
        <v>0</v>
      </c>
      <c r="W21" s="549" t="n">
        <f aca="false">IF(W$4&lt;=$B21,(1/$B21),IF(W$4=$B21+1,(1/$B21)-$D21,0))</f>
        <v>0</v>
      </c>
      <c r="X21" s="550" t="n">
        <f aca="false">IF(X$4&lt;=$B21,(1/$B21),IF(X$4=$B21+1,(1/$B21)-$D21,0))</f>
        <v>0</v>
      </c>
      <c r="Y21" s="549"/>
      <c r="Z21" s="549"/>
      <c r="AA21" s="922"/>
      <c r="AB21" s="922"/>
      <c r="AC21" s="923"/>
      <c r="AD21" s="923"/>
      <c r="AE21" s="924"/>
    </row>
    <row r="22" customFormat="false" ht="12" hidden="false" customHeight="true" outlineLevel="0" collapsed="false">
      <c r="A22" s="791" t="s">
        <v>652</v>
      </c>
      <c r="B22" s="925" t="n">
        <f aca="false">MAX('Project Assumptions'!$F$40,'Project Assumptions'!$G$40,'Project Assumptions'!$H$40)</f>
        <v>20</v>
      </c>
      <c r="C22" s="385"/>
      <c r="D22" s="549" t="n">
        <f aca="false">IF(D17&gt;$B$22,0,(1/$B$22))*'Book Income Statement'!D$6/12</f>
        <v>0.0208333333333333</v>
      </c>
      <c r="E22" s="549" t="n">
        <f aca="false">IF(E$4&lt;=$B$22,(1/$B$22),IF(E$4=$B$22+1,(1/$B$22)-$D$22,0))</f>
        <v>0.05</v>
      </c>
      <c r="F22" s="549" t="n">
        <f aca="false">IF(F$4&lt;=$B$22,(1/$B$22),IF(F$4=$B$22+1,(1/$B$22)-$D$22,0))</f>
        <v>0.05</v>
      </c>
      <c r="G22" s="549" t="n">
        <f aca="false">IF(G$4&lt;=$B$22,(1/$B$22),IF(G$4=$B$22+1,(1/$B$22)-$D$22,0))</f>
        <v>0.05</v>
      </c>
      <c r="H22" s="549" t="n">
        <f aca="false">IF(H$4&lt;=$B$22,(1/$B$22),IF(H$4=$B$22+1,(1/$B$22)-$D$22,0))</f>
        <v>0.05</v>
      </c>
      <c r="I22" s="549" t="n">
        <f aca="false">IF(I$4&lt;=$B$22,(1/$B$22),IF(I$4=$B$22+1,(1/$B$22)-$D$22,0))</f>
        <v>0.05</v>
      </c>
      <c r="J22" s="549" t="n">
        <f aca="false">IF(J$4&lt;=$B$22,(1/$B$22),IF(J$4=$B$22+1,(1/$B$22)-$D$22,0))</f>
        <v>0.05</v>
      </c>
      <c r="K22" s="549" t="n">
        <f aca="false">IF(K$4&lt;=$B$22,(1/$B$22),IF(K$4=$B$22+1,(1/$B$22)-$D$22,0))</f>
        <v>0.05</v>
      </c>
      <c r="L22" s="549" t="n">
        <f aca="false">IF(L$4&lt;=$B$22,(1/$B$22),IF(L$4=$B$22+1,(1/$B$22)-$D$22,0))</f>
        <v>0.05</v>
      </c>
      <c r="M22" s="549" t="n">
        <f aca="false">IF(M$4&lt;=$B$22,(1/$B$22),IF(M$4=$B$22+1,(1/$B$22)-$D$22,0))</f>
        <v>0.05</v>
      </c>
      <c r="N22" s="549" t="n">
        <f aca="false">IF(N$4&lt;=$B$22,(1/$B$22),IF(N$4=$B$22+1,(1/$B$22)-$D$22,0))</f>
        <v>0.05</v>
      </c>
      <c r="O22" s="549" t="n">
        <f aca="false">IF(O$4&lt;=$B$22,(1/$B$22),IF(O$4=$B$22+1,(1/$B$22)-$D$22,0))</f>
        <v>0.05</v>
      </c>
      <c r="P22" s="549" t="n">
        <f aca="false">IF(P$4&lt;=$B$22,(1/$B$22),IF(P$4=$B$22+1,(1/$B$22)-$D$22,0))</f>
        <v>0.05</v>
      </c>
      <c r="Q22" s="549" t="n">
        <f aca="false">IF(Q$4&lt;=$B$22,(1/$B$22),IF(Q$4=$B$22+1,(1/$B$22)-$D$22,0))</f>
        <v>0.05</v>
      </c>
      <c r="R22" s="549" t="n">
        <f aca="false">IF(R$4&lt;=$B$22,(1/$B$22),IF(R$4=$B$22+1,(1/$B$22)-$D$22,0))</f>
        <v>0.05</v>
      </c>
      <c r="S22" s="549" t="n">
        <f aca="false">IF(S$4&lt;=$B$22,(1/$B$22),IF(S$4=$B$22+1,(1/$B$22)-$D$22,0))</f>
        <v>0.05</v>
      </c>
      <c r="T22" s="549" t="n">
        <f aca="false">IF(T$4&lt;=$B$22,(1/$B$22),IF(T$4=$B$22+1,(1/$B$22)-$D$22,0))</f>
        <v>0.05</v>
      </c>
      <c r="U22" s="549" t="n">
        <f aca="false">IF(U$4&lt;=$B$22,(1/$B$22),IF(U$4=$B$22+1,(1/$B$22)-$D$22,0))</f>
        <v>0.05</v>
      </c>
      <c r="V22" s="549" t="n">
        <f aca="false">IF(V$4&lt;=$B$22,(1/$B$22),IF(V$4=$B$22+1,(1/$B$22)-$D$22,0))</f>
        <v>0.05</v>
      </c>
      <c r="W22" s="549" t="n">
        <f aca="false">IF(W$4&lt;=$B$22,(1/$B$22),IF(W$4=$B$22+1,(1/$B$22)-$D$22,0))</f>
        <v>0.05</v>
      </c>
      <c r="X22" s="550" t="n">
        <f aca="false">IF(X$4&lt;=$B$22,(1/$B$22),IF(X$4=$B$22+1,(1/$B$22)-$D$22,0))</f>
        <v>0.0291666666666667</v>
      </c>
      <c r="Y22" s="549"/>
      <c r="Z22" s="549"/>
      <c r="AA22" s="922"/>
      <c r="AB22" s="922"/>
      <c r="AC22" s="923"/>
      <c r="AD22" s="923"/>
      <c r="AE22" s="924"/>
    </row>
    <row r="23" customFormat="false" ht="12" hidden="false" customHeight="true" outlineLevel="0" collapsed="false">
      <c r="A23" s="791"/>
      <c r="B23" s="921"/>
      <c r="C23" s="385"/>
      <c r="D23" s="937"/>
      <c r="E23" s="937"/>
      <c r="F23" s="937"/>
      <c r="G23" s="937"/>
      <c r="H23" s="937"/>
      <c r="I23" s="937"/>
      <c r="J23" s="937"/>
      <c r="K23" s="937"/>
      <c r="L23" s="937"/>
      <c r="M23" s="937"/>
      <c r="N23" s="937"/>
      <c r="O23" s="937"/>
      <c r="P23" s="937"/>
      <c r="Q23" s="937"/>
      <c r="R23" s="937"/>
      <c r="S23" s="937"/>
      <c r="T23" s="937"/>
      <c r="U23" s="937"/>
      <c r="V23" s="937"/>
      <c r="W23" s="937"/>
      <c r="X23" s="938"/>
      <c r="Y23" s="937"/>
      <c r="Z23" s="937"/>
      <c r="AA23" s="939"/>
      <c r="AB23" s="939"/>
      <c r="AC23" s="923"/>
      <c r="AD23" s="923"/>
      <c r="AE23" s="924"/>
    </row>
    <row r="24" customFormat="false" ht="12" hidden="false" customHeight="true" outlineLevel="0" collapsed="false">
      <c r="A24" s="412"/>
      <c r="B24" s="783"/>
      <c r="C24" s="385"/>
      <c r="D24" s="385"/>
      <c r="E24" s="385"/>
      <c r="F24" s="385"/>
      <c r="G24" s="385"/>
      <c r="H24" s="385"/>
      <c r="I24" s="385"/>
      <c r="J24" s="385"/>
      <c r="K24" s="385"/>
      <c r="L24" s="385"/>
      <c r="M24" s="385"/>
      <c r="N24" s="385"/>
      <c r="O24" s="385"/>
      <c r="P24" s="385"/>
      <c r="Q24" s="385"/>
      <c r="R24" s="385"/>
      <c r="S24" s="385"/>
      <c r="T24" s="385"/>
      <c r="U24" s="385"/>
      <c r="V24" s="385"/>
      <c r="W24" s="385"/>
      <c r="X24" s="416"/>
    </row>
    <row r="25" customFormat="false" ht="12" hidden="false" customHeight="true" outlineLevel="0" collapsed="false">
      <c r="A25" s="791" t="s">
        <v>653</v>
      </c>
      <c r="B25" s="438" t="n">
        <f aca="false">B11</f>
        <v>149943.184</v>
      </c>
      <c r="C25" s="557"/>
      <c r="D25" s="438" t="n">
        <f aca="false">$B$25*D20</f>
        <v>7497.1592</v>
      </c>
      <c r="E25" s="438" t="n">
        <f aca="false">$B$25*E20</f>
        <v>14244.60248</v>
      </c>
      <c r="F25" s="438" t="n">
        <f aca="false">$B$25*F20</f>
        <v>12820.142232</v>
      </c>
      <c r="G25" s="438" t="n">
        <f aca="false">$B$25*G20</f>
        <v>11545.625168</v>
      </c>
      <c r="H25" s="438" t="n">
        <f aca="false">$B$25*H20</f>
        <v>10391.0626512</v>
      </c>
      <c r="I25" s="438" t="n">
        <f aca="false">$B$25*I20</f>
        <v>9341.4603632</v>
      </c>
      <c r="J25" s="438" t="n">
        <f aca="false">$B$25*J20</f>
        <v>8846.647856</v>
      </c>
      <c r="K25" s="438" t="n">
        <f aca="false">$B$25*K20</f>
        <v>8861.6421744</v>
      </c>
      <c r="L25" s="438" t="n">
        <f aca="false">$B$25*L20</f>
        <v>8846.647856</v>
      </c>
      <c r="M25" s="438" t="n">
        <f aca="false">$B$25*M20</f>
        <v>8861.6421744</v>
      </c>
      <c r="N25" s="438" t="n">
        <f aca="false">$B$25*N20</f>
        <v>8846.647856</v>
      </c>
      <c r="O25" s="438" t="n">
        <f aca="false">$B$25*O20</f>
        <v>8861.6421744</v>
      </c>
      <c r="P25" s="438" t="n">
        <f aca="false">$B$25*P20</f>
        <v>8846.647856</v>
      </c>
      <c r="Q25" s="438" t="n">
        <f aca="false">$B$25*Q20</f>
        <v>8861.6421744</v>
      </c>
      <c r="R25" s="438" t="n">
        <f aca="false">$B$25*R20</f>
        <v>8846.647856</v>
      </c>
      <c r="S25" s="438" t="n">
        <f aca="false">$B$25*S20</f>
        <v>4423.323928</v>
      </c>
      <c r="T25" s="438" t="n">
        <f aca="false">$B$25*T20</f>
        <v>0</v>
      </c>
      <c r="U25" s="438" t="n">
        <f aca="false">$B$25*U20</f>
        <v>0</v>
      </c>
      <c r="V25" s="438" t="n">
        <f aca="false">$B$25*V20</f>
        <v>0</v>
      </c>
      <c r="W25" s="438" t="n">
        <f aca="false">$B$25*W20</f>
        <v>0</v>
      </c>
      <c r="X25" s="439" t="n">
        <f aca="false">$B$25*X20</f>
        <v>0</v>
      </c>
      <c r="Y25" s="438"/>
      <c r="Z25" s="438"/>
      <c r="AA25" s="713"/>
      <c r="AB25" s="713"/>
      <c r="AC25" s="558"/>
      <c r="AD25" s="558"/>
      <c r="AE25" s="558"/>
      <c r="AF25" s="558"/>
      <c r="AG25" s="558"/>
      <c r="AH25" s="558"/>
      <c r="AI25" s="558"/>
      <c r="AJ25" s="558"/>
      <c r="AK25" s="558"/>
      <c r="AL25" s="558"/>
      <c r="AM25" s="558"/>
      <c r="AN25" s="558"/>
      <c r="AO25" s="558"/>
      <c r="AP25" s="558"/>
      <c r="AQ25" s="558"/>
      <c r="AR25" s="558"/>
      <c r="AS25" s="558"/>
      <c r="AT25" s="558"/>
      <c r="AU25" s="558"/>
      <c r="AV25" s="558"/>
      <c r="AW25" s="558"/>
      <c r="AX25" s="558"/>
      <c r="AY25" s="558"/>
      <c r="AZ25" s="558"/>
      <c r="BA25" s="558"/>
      <c r="BB25" s="558"/>
      <c r="BC25" s="558"/>
      <c r="BD25" s="558"/>
      <c r="BE25" s="558"/>
      <c r="BF25" s="558"/>
      <c r="BG25" s="558"/>
      <c r="BH25" s="558"/>
      <c r="BI25" s="558"/>
      <c r="BJ25" s="558"/>
      <c r="BK25" s="558"/>
      <c r="BL25" s="558"/>
      <c r="BM25" s="558"/>
      <c r="BN25" s="558"/>
      <c r="BO25" s="558"/>
      <c r="BP25" s="558"/>
      <c r="BQ25" s="558"/>
      <c r="BR25" s="558"/>
      <c r="BS25" s="558"/>
      <c r="BT25" s="558"/>
      <c r="BU25" s="558"/>
      <c r="BV25" s="558"/>
      <c r="BW25" s="558"/>
      <c r="BX25" s="558"/>
      <c r="BY25" s="558"/>
      <c r="BZ25" s="558"/>
      <c r="CA25" s="558"/>
      <c r="CB25" s="558"/>
      <c r="CC25" s="558"/>
      <c r="CD25" s="558"/>
      <c r="CE25" s="558"/>
      <c r="CF25" s="558"/>
      <c r="CG25" s="558"/>
      <c r="CH25" s="558"/>
      <c r="CI25" s="558"/>
      <c r="CJ25" s="558"/>
      <c r="CK25" s="558"/>
      <c r="CL25" s="558"/>
      <c r="CM25" s="558"/>
      <c r="CN25" s="558"/>
      <c r="CO25" s="558"/>
      <c r="CP25" s="558"/>
      <c r="CQ25" s="558"/>
      <c r="CR25" s="558"/>
      <c r="CS25" s="558"/>
      <c r="CT25" s="558"/>
      <c r="CU25" s="558"/>
      <c r="CV25" s="558"/>
      <c r="CW25" s="558"/>
      <c r="CX25" s="558"/>
      <c r="CY25" s="558"/>
      <c r="CZ25" s="558"/>
      <c r="DA25" s="558"/>
      <c r="DB25" s="558"/>
      <c r="DC25" s="558"/>
      <c r="DD25" s="558"/>
      <c r="DE25" s="558"/>
      <c r="DF25" s="558"/>
      <c r="DG25" s="558"/>
      <c r="DH25" s="558"/>
      <c r="DI25" s="558"/>
      <c r="DJ25" s="558"/>
      <c r="DK25" s="558"/>
      <c r="DL25" s="558"/>
      <c r="DM25" s="558"/>
      <c r="DN25" s="558"/>
      <c r="DO25" s="558"/>
      <c r="DP25" s="558"/>
      <c r="DQ25" s="558"/>
      <c r="DR25" s="558"/>
      <c r="DS25" s="558"/>
      <c r="DT25" s="558"/>
      <c r="DU25" s="558"/>
      <c r="DV25" s="558"/>
      <c r="DW25" s="558"/>
      <c r="DX25" s="558"/>
      <c r="DY25" s="558"/>
      <c r="DZ25" s="558"/>
      <c r="EA25" s="558"/>
      <c r="EB25" s="558"/>
      <c r="EC25" s="558"/>
      <c r="ED25" s="558"/>
      <c r="EE25" s="558"/>
      <c r="EF25" s="558"/>
      <c r="EG25" s="558"/>
      <c r="EH25" s="558"/>
      <c r="EI25" s="558"/>
      <c r="EJ25" s="558"/>
      <c r="EK25" s="558"/>
      <c r="EL25" s="558"/>
      <c r="EM25" s="558"/>
      <c r="EN25" s="558"/>
      <c r="EO25" s="558"/>
      <c r="EP25" s="558"/>
      <c r="EQ25" s="558"/>
      <c r="ER25" s="558"/>
      <c r="ES25" s="558"/>
      <c r="ET25" s="558"/>
      <c r="EU25" s="558"/>
      <c r="EV25" s="558"/>
      <c r="EW25" s="558"/>
      <c r="EX25" s="558"/>
      <c r="EY25" s="558"/>
      <c r="EZ25" s="558"/>
      <c r="FA25" s="558"/>
      <c r="FB25" s="558"/>
      <c r="FC25" s="558"/>
      <c r="FD25" s="558"/>
      <c r="FE25" s="558"/>
      <c r="FF25" s="558"/>
      <c r="FG25" s="558"/>
      <c r="FH25" s="558"/>
      <c r="FI25" s="558"/>
      <c r="FJ25" s="558"/>
      <c r="FK25" s="558"/>
      <c r="FL25" s="558"/>
      <c r="FM25" s="558"/>
      <c r="FN25" s="558"/>
      <c r="FO25" s="558"/>
      <c r="FP25" s="558"/>
      <c r="FQ25" s="558"/>
      <c r="FR25" s="558"/>
      <c r="FS25" s="558"/>
      <c r="FT25" s="558"/>
      <c r="FU25" s="558"/>
      <c r="FV25" s="558"/>
      <c r="FW25" s="558"/>
      <c r="FX25" s="558"/>
      <c r="FY25" s="558"/>
      <c r="FZ25" s="558"/>
      <c r="GA25" s="558"/>
      <c r="GB25" s="558"/>
      <c r="GC25" s="558"/>
      <c r="GD25" s="558"/>
      <c r="GE25" s="558"/>
      <c r="GF25" s="558"/>
      <c r="GG25" s="558"/>
      <c r="GH25" s="558"/>
      <c r="GI25" s="558"/>
      <c r="GJ25" s="558"/>
      <c r="GK25" s="558"/>
      <c r="GL25" s="558"/>
      <c r="GM25" s="558"/>
      <c r="GN25" s="558"/>
      <c r="GO25" s="558"/>
      <c r="GP25" s="558"/>
      <c r="GQ25" s="558"/>
      <c r="GR25" s="558"/>
      <c r="GS25" s="558"/>
      <c r="GT25" s="558"/>
      <c r="GU25" s="558"/>
      <c r="GV25" s="558"/>
      <c r="GW25" s="558"/>
      <c r="GX25" s="558"/>
      <c r="GY25" s="558"/>
      <c r="GZ25" s="558"/>
      <c r="HA25" s="558"/>
      <c r="HB25" s="558"/>
      <c r="HC25" s="558"/>
      <c r="HD25" s="558"/>
      <c r="HE25" s="558"/>
      <c r="HF25" s="558"/>
      <c r="HG25" s="558"/>
      <c r="HH25" s="558"/>
      <c r="HI25" s="558"/>
      <c r="HJ25" s="558"/>
      <c r="HK25" s="558"/>
      <c r="HL25" s="558"/>
      <c r="HM25" s="558"/>
      <c r="HN25" s="558"/>
      <c r="HO25" s="558"/>
      <c r="HP25" s="558"/>
      <c r="HQ25" s="558"/>
      <c r="HR25" s="558"/>
      <c r="HS25" s="558"/>
      <c r="HT25" s="558"/>
      <c r="HU25" s="558"/>
      <c r="HV25" s="558"/>
      <c r="HW25" s="558"/>
      <c r="HX25" s="558"/>
      <c r="HY25" s="558"/>
      <c r="HZ25" s="558"/>
      <c r="IA25" s="558"/>
      <c r="IB25" s="558"/>
      <c r="IC25" s="558"/>
      <c r="ID25" s="558"/>
      <c r="IE25" s="558"/>
      <c r="IF25" s="558"/>
      <c r="IG25" s="558"/>
      <c r="IH25" s="558"/>
      <c r="II25" s="558"/>
      <c r="IJ25" s="558"/>
      <c r="IK25" s="558"/>
      <c r="IL25" s="558"/>
      <c r="IM25" s="558"/>
      <c r="IN25" s="558"/>
      <c r="IO25" s="558"/>
      <c r="IP25" s="558"/>
      <c r="IQ25" s="558"/>
      <c r="IR25" s="558"/>
      <c r="IS25" s="558"/>
      <c r="IT25" s="558"/>
      <c r="IU25" s="558"/>
      <c r="IV25" s="558"/>
      <c r="IW25" s="558"/>
    </row>
    <row r="26" customFormat="false" ht="12" hidden="false" customHeight="true" outlineLevel="0" collapsed="false">
      <c r="A26" s="791" t="s">
        <v>654</v>
      </c>
      <c r="B26" s="557" t="n">
        <f aca="false">B12</f>
        <v>3020.094</v>
      </c>
      <c r="C26" s="385"/>
      <c r="D26" s="557" t="n">
        <f aca="false">$B26*D21</f>
        <v>251.6745</v>
      </c>
      <c r="E26" s="557" t="n">
        <f aca="false">$B26*E21</f>
        <v>604.0188</v>
      </c>
      <c r="F26" s="557" t="n">
        <f aca="false">$B26*F21</f>
        <v>604.0188</v>
      </c>
      <c r="G26" s="557" t="n">
        <f aca="false">$B26*G21</f>
        <v>604.0188</v>
      </c>
      <c r="H26" s="557" t="n">
        <f aca="false">$B26*H21</f>
        <v>604.0188</v>
      </c>
      <c r="I26" s="557" t="n">
        <f aca="false">$B26*I21</f>
        <v>352.3443</v>
      </c>
      <c r="J26" s="557" t="n">
        <f aca="false">$B26*J21</f>
        <v>0</v>
      </c>
      <c r="K26" s="557" t="n">
        <f aca="false">$B26*K21</f>
        <v>0</v>
      </c>
      <c r="L26" s="557" t="n">
        <f aca="false">$B26*L21</f>
        <v>0</v>
      </c>
      <c r="M26" s="557" t="n">
        <f aca="false">$B26*M21</f>
        <v>0</v>
      </c>
      <c r="N26" s="557" t="n">
        <f aca="false">$B26*N21</f>
        <v>0</v>
      </c>
      <c r="O26" s="557" t="n">
        <f aca="false">$B26*O21</f>
        <v>0</v>
      </c>
      <c r="P26" s="557" t="n">
        <f aca="false">$B26*P21</f>
        <v>0</v>
      </c>
      <c r="Q26" s="557" t="n">
        <f aca="false">$B26*Q21</f>
        <v>0</v>
      </c>
      <c r="R26" s="557" t="n">
        <f aca="false">$B26*R21</f>
        <v>0</v>
      </c>
      <c r="S26" s="557" t="n">
        <f aca="false">$B26*S21</f>
        <v>0</v>
      </c>
      <c r="T26" s="557" t="n">
        <f aca="false">$B26*T21</f>
        <v>0</v>
      </c>
      <c r="U26" s="557" t="n">
        <f aca="false">$B26*U21</f>
        <v>0</v>
      </c>
      <c r="V26" s="557" t="n">
        <f aca="false">$B26*V21</f>
        <v>0</v>
      </c>
      <c r="W26" s="557" t="n">
        <f aca="false">$B26*W21</f>
        <v>0</v>
      </c>
      <c r="X26" s="795" t="n">
        <f aca="false">$B26*X21</f>
        <v>0</v>
      </c>
      <c r="Y26" s="557"/>
      <c r="Z26" s="557"/>
      <c r="AA26" s="558"/>
      <c r="AB26" s="558"/>
      <c r="AC26" s="927"/>
      <c r="AD26" s="927"/>
      <c r="AE26" s="928"/>
    </row>
    <row r="27" customFormat="false" ht="13.5" hidden="false" customHeight="true" outlineLevel="0" collapsed="false">
      <c r="A27" s="791" t="s">
        <v>655</v>
      </c>
      <c r="B27" s="557" t="n">
        <f aca="false">B13</f>
        <v>1243</v>
      </c>
      <c r="C27" s="385"/>
      <c r="D27" s="557" t="n">
        <f aca="false">$B27*D22</f>
        <v>25.8958333333333</v>
      </c>
      <c r="E27" s="557" t="n">
        <f aca="false">$B27*E22</f>
        <v>62.15</v>
      </c>
      <c r="F27" s="557" t="n">
        <f aca="false">$B27*F22</f>
        <v>62.15</v>
      </c>
      <c r="G27" s="557" t="n">
        <f aca="false">$B27*G22</f>
        <v>62.15</v>
      </c>
      <c r="H27" s="557" t="n">
        <f aca="false">$B27*H22</f>
        <v>62.15</v>
      </c>
      <c r="I27" s="557" t="n">
        <f aca="false">$B27*I22</f>
        <v>62.15</v>
      </c>
      <c r="J27" s="557" t="n">
        <f aca="false">$B27*J22</f>
        <v>62.15</v>
      </c>
      <c r="K27" s="557" t="n">
        <f aca="false">$B27*K22</f>
        <v>62.15</v>
      </c>
      <c r="L27" s="557" t="n">
        <f aca="false">$B27*L22</f>
        <v>62.15</v>
      </c>
      <c r="M27" s="557" t="n">
        <f aca="false">$B27*M22</f>
        <v>62.15</v>
      </c>
      <c r="N27" s="557" t="n">
        <f aca="false">$B27*N22</f>
        <v>62.15</v>
      </c>
      <c r="O27" s="557" t="n">
        <f aca="false">$B27*O22</f>
        <v>62.15</v>
      </c>
      <c r="P27" s="557" t="n">
        <f aca="false">$B27*P22</f>
        <v>62.15</v>
      </c>
      <c r="Q27" s="557" t="n">
        <f aca="false">$B27*Q22</f>
        <v>62.15</v>
      </c>
      <c r="R27" s="557" t="n">
        <f aca="false">$B27*R22</f>
        <v>62.15</v>
      </c>
      <c r="S27" s="557" t="n">
        <f aca="false">$B27*S22</f>
        <v>62.15</v>
      </c>
      <c r="T27" s="557" t="n">
        <f aca="false">$B27*T22</f>
        <v>62.15</v>
      </c>
      <c r="U27" s="557" t="n">
        <f aca="false">$B27*U22</f>
        <v>62.15</v>
      </c>
      <c r="V27" s="557" t="n">
        <f aca="false">$B27*V22</f>
        <v>62.15</v>
      </c>
      <c r="W27" s="557" t="n">
        <f aca="false">$B27*W22</f>
        <v>62.15</v>
      </c>
      <c r="X27" s="795" t="n">
        <f aca="false">$B27*X22</f>
        <v>36.2541666666667</v>
      </c>
      <c r="Y27" s="807"/>
      <c r="Z27" s="807"/>
      <c r="AA27" s="940"/>
      <c r="AB27" s="940"/>
      <c r="AC27" s="927"/>
      <c r="AD27" s="927"/>
      <c r="AE27" s="928"/>
    </row>
    <row r="28" customFormat="false" ht="13.5" hidden="false" customHeight="true" outlineLevel="0" collapsed="false">
      <c r="A28" s="791" t="s">
        <v>656</v>
      </c>
      <c r="B28" s="557" t="n">
        <f aca="false">B14</f>
        <v>3000</v>
      </c>
      <c r="C28" s="385"/>
      <c r="D28" s="557"/>
      <c r="E28" s="557" t="n">
        <f aca="false">D20*$B$28</f>
        <v>150</v>
      </c>
      <c r="F28" s="557" t="n">
        <f aca="false">E20*$B$28</f>
        <v>285</v>
      </c>
      <c r="G28" s="557" t="n">
        <f aca="false">F20*$B$28</f>
        <v>256.5</v>
      </c>
      <c r="H28" s="557" t="n">
        <f aca="false">G20*$B$28</f>
        <v>231</v>
      </c>
      <c r="I28" s="557" t="n">
        <f aca="false">H20*$B$28</f>
        <v>207.9</v>
      </c>
      <c r="J28" s="557" t="n">
        <f aca="false">I20*$B$28</f>
        <v>186.9</v>
      </c>
      <c r="K28" s="557" t="n">
        <f aca="false">J20*$B$28</f>
        <v>177</v>
      </c>
      <c r="L28" s="557" t="n">
        <f aca="false">K20*$B$28</f>
        <v>177.3</v>
      </c>
      <c r="M28" s="557" t="n">
        <f aca="false">L20*$B$28</f>
        <v>177</v>
      </c>
      <c r="N28" s="557" t="n">
        <f aca="false">M20*$B$28</f>
        <v>177.3</v>
      </c>
      <c r="O28" s="557" t="n">
        <f aca="false">N20*$B$28</f>
        <v>177</v>
      </c>
      <c r="P28" s="557" t="n">
        <f aca="false">O20*$B$28</f>
        <v>177.3</v>
      </c>
      <c r="Q28" s="557" t="n">
        <f aca="false">P20*$B$28</f>
        <v>177</v>
      </c>
      <c r="R28" s="557" t="n">
        <f aca="false">Q20*$B$28</f>
        <v>177.3</v>
      </c>
      <c r="S28" s="557" t="n">
        <f aca="false">R20*$B$28</f>
        <v>177</v>
      </c>
      <c r="T28" s="557" t="n">
        <f aca="false">S20*$B$28</f>
        <v>88.5</v>
      </c>
      <c r="U28" s="557" t="n">
        <f aca="false">T20*$B$28</f>
        <v>0</v>
      </c>
      <c r="V28" s="557" t="n">
        <f aca="false">U20*$B$28</f>
        <v>0</v>
      </c>
      <c r="W28" s="557" t="n">
        <f aca="false">V20*$B$28</f>
        <v>0</v>
      </c>
      <c r="X28" s="795" t="n">
        <f aca="false">W20*$B$28</f>
        <v>0</v>
      </c>
      <c r="Y28" s="807"/>
      <c r="Z28" s="807"/>
      <c r="AA28" s="940"/>
      <c r="AB28" s="940"/>
      <c r="AC28" s="927"/>
      <c r="AD28" s="927"/>
      <c r="AE28" s="928"/>
    </row>
    <row r="29" customFormat="false" ht="14.25" hidden="false" customHeight="true" outlineLevel="0" collapsed="false">
      <c r="A29" s="791" t="s">
        <v>657</v>
      </c>
      <c r="B29" s="807" t="n">
        <f aca="false">B15</f>
        <v>0</v>
      </c>
      <c r="C29" s="385"/>
      <c r="D29" s="807" t="n">
        <f aca="false">B29</f>
        <v>0</v>
      </c>
      <c r="E29" s="930" t="n">
        <v>0</v>
      </c>
      <c r="F29" s="930" t="n">
        <v>0</v>
      </c>
      <c r="G29" s="930" t="n">
        <v>0</v>
      </c>
      <c r="H29" s="930" t="n">
        <v>0</v>
      </c>
      <c r="I29" s="930" t="n">
        <v>0</v>
      </c>
      <c r="J29" s="930" t="n">
        <v>0</v>
      </c>
      <c r="K29" s="930" t="n">
        <v>0</v>
      </c>
      <c r="L29" s="930" t="n">
        <v>0</v>
      </c>
      <c r="M29" s="930" t="n">
        <v>0</v>
      </c>
      <c r="N29" s="930" t="n">
        <v>0</v>
      </c>
      <c r="O29" s="930" t="n">
        <v>0</v>
      </c>
      <c r="P29" s="930" t="n">
        <v>0</v>
      </c>
      <c r="Q29" s="930" t="n">
        <v>0</v>
      </c>
      <c r="R29" s="930" t="n">
        <v>0</v>
      </c>
      <c r="S29" s="930" t="n">
        <v>0</v>
      </c>
      <c r="T29" s="930" t="n">
        <v>0</v>
      </c>
      <c r="U29" s="930" t="n">
        <v>0</v>
      </c>
      <c r="V29" s="930" t="n">
        <v>0</v>
      </c>
      <c r="W29" s="930" t="n">
        <v>0</v>
      </c>
      <c r="X29" s="931" t="n">
        <v>0</v>
      </c>
      <c r="Y29" s="807"/>
      <c r="Z29" s="807"/>
      <c r="AA29" s="940"/>
      <c r="AB29" s="940"/>
      <c r="AC29" s="927"/>
      <c r="AD29" s="927"/>
      <c r="AE29" s="928"/>
    </row>
    <row r="30" customFormat="false" ht="12" hidden="false" customHeight="true" outlineLevel="0" collapsed="false">
      <c r="A30" s="932" t="s">
        <v>658</v>
      </c>
      <c r="B30" s="720" t="n">
        <f aca="false">SUM(B25:B29)</f>
        <v>157206.278</v>
      </c>
      <c r="C30" s="772"/>
      <c r="D30" s="720" t="n">
        <f aca="false">SUM(D25:D29)</f>
        <v>7774.72953333333</v>
      </c>
      <c r="E30" s="720" t="n">
        <f aca="false">SUM(E25:E29)</f>
        <v>15060.77128</v>
      </c>
      <c r="F30" s="720" t="n">
        <f aca="false">SUM(F25:F29)</f>
        <v>13771.311032</v>
      </c>
      <c r="G30" s="720" t="n">
        <f aca="false">SUM(G25:G29)</f>
        <v>12468.293968</v>
      </c>
      <c r="H30" s="720" t="n">
        <f aca="false">SUM(H25:H29)</f>
        <v>11288.2314512</v>
      </c>
      <c r="I30" s="720" t="n">
        <f aca="false">SUM(I25:I29)</f>
        <v>9963.8546632</v>
      </c>
      <c r="J30" s="720" t="n">
        <f aca="false">SUM(J25:J29)</f>
        <v>9095.697856</v>
      </c>
      <c r="K30" s="720" t="n">
        <f aca="false">SUM(K25:K29)</f>
        <v>9100.7921744</v>
      </c>
      <c r="L30" s="720" t="n">
        <f aca="false">SUM(L25:L29)</f>
        <v>9086.097856</v>
      </c>
      <c r="M30" s="720" t="n">
        <f aca="false">SUM(M25:M29)</f>
        <v>9100.7921744</v>
      </c>
      <c r="N30" s="720" t="n">
        <f aca="false">SUM(N25:N29)</f>
        <v>9086.097856</v>
      </c>
      <c r="O30" s="720" t="n">
        <f aca="false">SUM(O25:O29)</f>
        <v>9100.7921744</v>
      </c>
      <c r="P30" s="720" t="n">
        <f aca="false">SUM(P25:P29)</f>
        <v>9086.097856</v>
      </c>
      <c r="Q30" s="720" t="n">
        <f aca="false">SUM(Q25:Q29)</f>
        <v>9100.7921744</v>
      </c>
      <c r="R30" s="720" t="n">
        <f aca="false">SUM(R25:R29)</f>
        <v>9086.097856</v>
      </c>
      <c r="S30" s="720" t="n">
        <f aca="false">SUM(S25:S29)</f>
        <v>4662.473928</v>
      </c>
      <c r="T30" s="720" t="n">
        <f aca="false">SUM(T25:T29)</f>
        <v>150.65</v>
      </c>
      <c r="U30" s="720" t="n">
        <f aca="false">SUM(U25:U29)</f>
        <v>62.15</v>
      </c>
      <c r="V30" s="720" t="n">
        <f aca="false">SUM(V25:V29)</f>
        <v>62.15</v>
      </c>
      <c r="W30" s="720" t="n">
        <f aca="false">SUM(W25:W29)</f>
        <v>62.15</v>
      </c>
      <c r="X30" s="721" t="n">
        <f aca="false">SUM(X25:X29)</f>
        <v>36.2541666666667</v>
      </c>
      <c r="Y30" s="438"/>
      <c r="Z30" s="438"/>
      <c r="AA30" s="713"/>
      <c r="AB30" s="713"/>
      <c r="AC30" s="927"/>
      <c r="AD30" s="927"/>
      <c r="AE30" s="928"/>
    </row>
    <row r="31" customFormat="false" ht="12" hidden="false" customHeight="true" outlineLevel="0" collapsed="false"/>
    <row r="32" customFormat="false" ht="12" hidden="false" customHeight="true" outlineLevel="0" collapsed="false">
      <c r="A32" s="915" t="s">
        <v>660</v>
      </c>
      <c r="B32" s="380"/>
      <c r="C32" s="380"/>
      <c r="D32" s="380"/>
      <c r="E32" s="380"/>
      <c r="F32" s="380"/>
      <c r="G32" s="380"/>
      <c r="H32" s="380"/>
      <c r="I32" s="380"/>
      <c r="J32" s="380"/>
      <c r="K32" s="380"/>
      <c r="L32" s="380"/>
      <c r="M32" s="380"/>
      <c r="N32" s="380"/>
      <c r="O32" s="380"/>
      <c r="P32" s="380"/>
      <c r="Q32" s="380"/>
      <c r="R32" s="380"/>
      <c r="S32" s="380"/>
      <c r="T32" s="380"/>
      <c r="U32" s="380"/>
      <c r="V32" s="380"/>
      <c r="W32" s="380"/>
      <c r="X32" s="540"/>
      <c r="AE32" s="920"/>
    </row>
    <row r="33" customFormat="false" ht="12" hidden="false" customHeight="true" outlineLevel="0" collapsed="false">
      <c r="A33" s="935"/>
      <c r="B33" s="783" t="s">
        <v>310</v>
      </c>
      <c r="C33" s="62" t="s">
        <v>661</v>
      </c>
      <c r="D33" s="385" t="n">
        <v>1</v>
      </c>
      <c r="E33" s="385" t="n">
        <f aca="false">D33+1</f>
        <v>2</v>
      </c>
      <c r="F33" s="385" t="n">
        <f aca="false">E33+1</f>
        <v>3</v>
      </c>
      <c r="G33" s="385" t="n">
        <f aca="false">F33+1</f>
        <v>4</v>
      </c>
      <c r="H33" s="385" t="n">
        <f aca="false">G33+1</f>
        <v>5</v>
      </c>
      <c r="I33" s="385" t="n">
        <f aca="false">H33+1</f>
        <v>6</v>
      </c>
      <c r="J33" s="385" t="n">
        <f aca="false">I33+1</f>
        <v>7</v>
      </c>
      <c r="K33" s="385" t="n">
        <f aca="false">J33+1</f>
        <v>8</v>
      </c>
      <c r="L33" s="385" t="n">
        <f aca="false">K33+1</f>
        <v>9</v>
      </c>
      <c r="M33" s="385" t="n">
        <f aca="false">L33+1</f>
        <v>10</v>
      </c>
      <c r="N33" s="385" t="n">
        <f aca="false">M33+1</f>
        <v>11</v>
      </c>
      <c r="O33" s="385" t="n">
        <f aca="false">N33+1</f>
        <v>12</v>
      </c>
      <c r="P33" s="385" t="n">
        <f aca="false">O33+1</f>
        <v>13</v>
      </c>
      <c r="Q33" s="385" t="n">
        <f aca="false">P33+1</f>
        <v>14</v>
      </c>
      <c r="R33" s="385" t="n">
        <f aca="false">Q33+1</f>
        <v>15</v>
      </c>
      <c r="S33" s="385" t="n">
        <f aca="false">R33+1</f>
        <v>16</v>
      </c>
      <c r="T33" s="385" t="n">
        <f aca="false">S33+1</f>
        <v>17</v>
      </c>
      <c r="U33" s="385" t="n">
        <f aca="false">T33+1</f>
        <v>18</v>
      </c>
      <c r="V33" s="385" t="n">
        <f aca="false">U33+1</f>
        <v>19</v>
      </c>
      <c r="W33" s="385" t="n">
        <f aca="false">V33+1</f>
        <v>20</v>
      </c>
      <c r="X33" s="416" t="n">
        <f aca="false">W33+1</f>
        <v>21</v>
      </c>
      <c r="AE33" s="920"/>
    </row>
    <row r="34" customFormat="false" ht="12" hidden="false" customHeight="true" outlineLevel="0" collapsed="false">
      <c r="A34" s="791" t="s">
        <v>662</v>
      </c>
      <c r="B34" s="921" t="n">
        <v>30</v>
      </c>
      <c r="C34" s="941" t="n">
        <f aca="false">'Project Assumptions'!U20</f>
        <v>0.1</v>
      </c>
      <c r="D34" s="549" t="n">
        <f aca="false">((1-$C$34)/$B$34)*'Book Income Statement'!D$6/12</f>
        <v>0.0125</v>
      </c>
      <c r="E34" s="549" t="n">
        <f aca="false">IF(E33&lt;=$B$34,(1-$C$34)/$B$34,IF(E33=$B$34+1,(1/$B34)-$D$34,0))</f>
        <v>0.03</v>
      </c>
      <c r="F34" s="549" t="n">
        <f aca="false">IF(F33&lt;=$B$34,(1-$C$34)/$B$34,IF(F33=$B$34+1,(1/$B34)-$D$34,0))</f>
        <v>0.03</v>
      </c>
      <c r="G34" s="549" t="n">
        <f aca="false">IF(G33&lt;=$B$34,(1-$C$34)/$B$34,IF(G33=$B$34+1,(1/$B34)-$D$34,0))</f>
        <v>0.03</v>
      </c>
      <c r="H34" s="549" t="n">
        <f aca="false">IF(H33&lt;=$B$34,(1-$C$34)/$B$34,IF(H33=$B$34+1,(1/$B34)-$D$34,0))</f>
        <v>0.03</v>
      </c>
      <c r="I34" s="549" t="n">
        <f aca="false">IF(I33&lt;=$B$34,(1-$C$34)/$B$34,IF(I33=$B$34+1,(1/$B34)-$D$34,0))</f>
        <v>0.03</v>
      </c>
      <c r="J34" s="549" t="n">
        <f aca="false">IF(J33&lt;=$B$34,(1-$C$34)/$B$34,IF(J33=$B$34+1,(1/$B34)-$D$34,0))</f>
        <v>0.03</v>
      </c>
      <c r="K34" s="549" t="n">
        <f aca="false">IF(K33&lt;=$B$34,(1-$C$34)/$B$34,IF(K33=$B$34+1,(1/$B34)-$D$34,0))</f>
        <v>0.03</v>
      </c>
      <c r="L34" s="549" t="n">
        <f aca="false">IF(L33&lt;=$B$34,(1-$C$34)/$B$34,IF(L33=$B$34+1,(1/$B34)-$D$34,0))</f>
        <v>0.03</v>
      </c>
      <c r="M34" s="549" t="n">
        <f aca="false">IF(M33&lt;=$B$34,(1-$C$34)/$B$34,IF(M33=$B$34+1,(1/$B34)-$D$34,0))</f>
        <v>0.03</v>
      </c>
      <c r="N34" s="549" t="n">
        <f aca="false">IF(N33&lt;=$B$34,(1-$C$34)/$B$34,IF(N33=$B$34+1,(1/$B34)-$D$34,0))</f>
        <v>0.03</v>
      </c>
      <c r="O34" s="549" t="n">
        <f aca="false">IF(O33&lt;=$B$34,(1-$C$34)/$B$34,IF(O33=$B$34+1,(1/$B34)-$D$34,0))</f>
        <v>0.03</v>
      </c>
      <c r="P34" s="549" t="n">
        <f aca="false">IF(P33&lt;=$B$34,(1-$C$34)/$B$34,IF(P33=$B$34+1,(1/$B34)-$D$34,0))</f>
        <v>0.03</v>
      </c>
      <c r="Q34" s="549" t="n">
        <f aca="false">IF(Q33&lt;=$B$34,(1-$C$34)/$B$34,IF(Q33=$B$34+1,(1/$B34)-$D$34,0))</f>
        <v>0.03</v>
      </c>
      <c r="R34" s="549" t="n">
        <f aca="false">IF(R33&lt;=$B$34,(1-$C$34)/$B$34,IF(R33=$B$34+1,(1/$B34)-$D$34,0))</f>
        <v>0.03</v>
      </c>
      <c r="S34" s="549" t="n">
        <f aca="false">IF(S33&lt;=$B$34,(1-$C$34)/$B$34,IF(S33=$B$34+1,(1/$B34)-$D$34,0))</f>
        <v>0.03</v>
      </c>
      <c r="T34" s="549" t="n">
        <f aca="false">IF(T33&lt;=$B$34,(1-$C$34)/$B$34,IF(T33=$B$34+1,(1/$B34)-$D$34,0))</f>
        <v>0.03</v>
      </c>
      <c r="U34" s="549" t="n">
        <f aca="false">IF(U33&lt;=$B$34,(1-$C$34)/$B$34,IF(U33=$B$34+1,(1/$B34)-$D$34,0))</f>
        <v>0.03</v>
      </c>
      <c r="V34" s="549" t="n">
        <f aca="false">IF(V33&lt;=$B$34,(1-$C$34)/$B$34,IF(V33=$B$34+1,(1/$B34)-$D$34,0))</f>
        <v>0.03</v>
      </c>
      <c r="W34" s="549" t="n">
        <f aca="false">IF(W33&lt;=$B$34,(1-$C$34)/$B$34,IF(W33=$B$34+1,(1/$B34)-$D$34,0))</f>
        <v>0.03</v>
      </c>
      <c r="X34" s="550" t="n">
        <f aca="false">IF(X33&lt;=$B$34,(1-$C$34)/$B$34,IF(X33=$B$34+1,(1/$B34)-$D$34,0))</f>
        <v>0.03</v>
      </c>
      <c r="Y34" s="549"/>
      <c r="Z34" s="549"/>
      <c r="AA34" s="922"/>
      <c r="AB34" s="922"/>
      <c r="AC34" s="939"/>
      <c r="AD34" s="923"/>
      <c r="AE34" s="924"/>
    </row>
    <row r="35" customFormat="false" ht="12" hidden="false" customHeight="true" outlineLevel="0" collapsed="false">
      <c r="A35" s="791" t="s">
        <v>651</v>
      </c>
      <c r="B35" s="921" t="n">
        <v>5</v>
      </c>
      <c r="C35" s="385"/>
      <c r="D35" s="549" t="n">
        <f aca="false">(1/$B35)*'Book Income Statement'!D$6/12</f>
        <v>0.0833333333333333</v>
      </c>
      <c r="E35" s="549" t="n">
        <f aca="false">IF(E33&lt;=$B$35,(1/$B35),IF(E33=$B$35+1,(1/$B35)-$D$35,0))</f>
        <v>0.2</v>
      </c>
      <c r="F35" s="549" t="n">
        <f aca="false">IF(F33&lt;=$B$35,(1/$B35),IF(F33=$B$35+1,(1/$B35)-$D$35,0))</f>
        <v>0.2</v>
      </c>
      <c r="G35" s="549" t="n">
        <f aca="false">IF(G33&lt;=$B$35,(1/$B35),IF(G33=$B$35+1,(1/$B35)-$D$35,0))</f>
        <v>0.2</v>
      </c>
      <c r="H35" s="549" t="n">
        <f aca="false">IF(H33&lt;=$B$35,(1/$B35),IF(H33=$B$35+1,(1/$B35)-$D$35,0))</f>
        <v>0.2</v>
      </c>
      <c r="I35" s="549" t="n">
        <f aca="false">IF(I33&lt;=$B$35,(1/$B35),IF(I33=$B$35+1,(1/$B35)-$D$35,0))</f>
        <v>0.116666666666667</v>
      </c>
      <c r="J35" s="549" t="n">
        <f aca="false">IF(J33&lt;=$B$35,(1/$B35),IF(J33=$B$35+1,(1/$B35)-$D$35,0))</f>
        <v>0</v>
      </c>
      <c r="K35" s="549" t="n">
        <f aca="false">IF(K33&lt;=$B$35,(1/$B35),IF(K33=$B$35+1,(1/$B35)-$D$35,0))</f>
        <v>0</v>
      </c>
      <c r="L35" s="549" t="n">
        <f aca="false">IF(L33&lt;=$B$35,(1/$B35),IF(L33=$B$35+1,(1/$B35)-$D$35,0))</f>
        <v>0</v>
      </c>
      <c r="M35" s="549" t="n">
        <f aca="false">IF(M33&lt;=$B$35,(1/$B35),IF(M33=$B$35+1,(1/$B35)-$D$35,0))</f>
        <v>0</v>
      </c>
      <c r="N35" s="549" t="n">
        <f aca="false">IF(N33&lt;=$B$35,(1/$B35),IF(N33=$B$35+1,(1/$B35)-$D$35,0))</f>
        <v>0</v>
      </c>
      <c r="O35" s="549" t="n">
        <f aca="false">IF(O33&lt;=$B$35,(1/$B35),IF(O33=$B$35+1,(1/$B35)-$D$35,0))</f>
        <v>0</v>
      </c>
      <c r="P35" s="549" t="n">
        <f aca="false">IF(P33&lt;=$B$35,(1/$B35),IF(P33=$B$35+1,(1/$B35)-$D$35,0))</f>
        <v>0</v>
      </c>
      <c r="Q35" s="549" t="n">
        <f aca="false">IF(Q33&lt;=$B$35,(1/$B35),IF(Q33=$B$35+1,(1/$B35)-$D$35,0))</f>
        <v>0</v>
      </c>
      <c r="R35" s="549" t="n">
        <f aca="false">IF(R33&lt;=$B$35,(1/$B35),IF(R33=$B$35+1,(1/$B35)-$D$35,0))</f>
        <v>0</v>
      </c>
      <c r="S35" s="549" t="n">
        <f aca="false">IF(S33&lt;=$B$35,(1/$B35),IF(S33=$B$35+1,(1/$B35)-$D$35,0))</f>
        <v>0</v>
      </c>
      <c r="T35" s="549" t="n">
        <f aca="false">IF(T33&lt;=$B$35,(1/$B35),IF(T33=$B$35+1,(1/$B35)-$D$35,0))</f>
        <v>0</v>
      </c>
      <c r="U35" s="549" t="n">
        <f aca="false">IF(U33&lt;=$B$35,(1/$B35),IF(U33=$B$35+1,(1/$B35)-$D$35,0))</f>
        <v>0</v>
      </c>
      <c r="V35" s="549" t="n">
        <f aca="false">IF(V33&lt;=$B$35,(1/$B35),IF(V33=$B$35+1,(1/$B35)-$D$35,0))</f>
        <v>0</v>
      </c>
      <c r="W35" s="549" t="n">
        <f aca="false">IF(W33&lt;=$B$35,(1/$B35),IF(W33=$B$35+1,(1/$B35)-$D$35,0))</f>
        <v>0</v>
      </c>
      <c r="X35" s="550" t="n">
        <f aca="false">IF(X33&lt;=$B$35,(1/$B35),IF(X33=$B$35+1,(1/$B35)-$D$35,0))</f>
        <v>0</v>
      </c>
      <c r="Y35" s="549"/>
      <c r="Z35" s="549"/>
      <c r="AA35" s="922"/>
      <c r="AB35" s="922"/>
      <c r="AD35" s="923"/>
      <c r="AE35" s="924"/>
    </row>
    <row r="36" customFormat="false" ht="12" hidden="false" customHeight="true" outlineLevel="0" collapsed="false">
      <c r="A36" s="791" t="s">
        <v>652</v>
      </c>
      <c r="B36" s="925" t="n">
        <f aca="false">+B9</f>
        <v>20</v>
      </c>
      <c r="C36" s="385"/>
      <c r="D36" s="549" t="n">
        <f aca="false">(1/$B36)*'Book Income Statement'!D$6/12</f>
        <v>0.0208333333333333</v>
      </c>
      <c r="E36" s="549" t="n">
        <f aca="false">IF(E33&lt;=$B$36,(1/$B36),IF(E33=$B$36+1,(1/$B36)-$D$36,0))</f>
        <v>0.05</v>
      </c>
      <c r="F36" s="549" t="n">
        <f aca="false">IF(F33&lt;=$B$36,(1/$B36),IF(F33=$B$36+1,(1/$B36)-$D$36,0))</f>
        <v>0.05</v>
      </c>
      <c r="G36" s="549" t="n">
        <f aca="false">IF(G33&lt;=$B$36,(1/$B36),IF(G33=$B$36+1,(1/$B36)-$D$36,0))</f>
        <v>0.05</v>
      </c>
      <c r="H36" s="549" t="n">
        <f aca="false">IF(H33&lt;=$B$36,(1/$B36),IF(H33=$B$36+1,(1/$B36)-$D$36,0))</f>
        <v>0.05</v>
      </c>
      <c r="I36" s="549" t="n">
        <f aca="false">IF(I33&lt;=$B$36,(1/$B36),IF(I33=$B$36+1,(1/$B36)-$D$36,0))</f>
        <v>0.05</v>
      </c>
      <c r="J36" s="549" t="n">
        <f aca="false">IF(J33&lt;=$B$36,(1/$B36),IF(J33=$B$36+1,(1/$B36)-$D$36,0))</f>
        <v>0.05</v>
      </c>
      <c r="K36" s="549" t="n">
        <f aca="false">IF(K33&lt;=$B$36,(1/$B36),IF(K33=$B$36+1,(1/$B36)-$D$36,0))</f>
        <v>0.05</v>
      </c>
      <c r="L36" s="549" t="n">
        <f aca="false">IF(L33&lt;=$B$36,(1/$B36),IF(L33=$B$36+1,(1/$B36)-$D$36,0))</f>
        <v>0.05</v>
      </c>
      <c r="M36" s="549" t="n">
        <f aca="false">IF(M33&lt;=$B$36,(1/$B36),IF(M33=$B$36+1,(1/$B36)-$D$36,0))</f>
        <v>0.05</v>
      </c>
      <c r="N36" s="549" t="n">
        <f aca="false">IF(N33&lt;=$B$36,(1/$B36),IF(N33=$B$36+1,(1/$B36)-$D$36,0))</f>
        <v>0.05</v>
      </c>
      <c r="O36" s="549" t="n">
        <f aca="false">IF(O33&lt;=$B$36,(1/$B36),IF(O33=$B$36+1,(1/$B36)-$D$36,0))</f>
        <v>0.05</v>
      </c>
      <c r="P36" s="549" t="n">
        <f aca="false">IF(P33&lt;=$B$36,(1/$B36),IF(P33=$B$36+1,(1/$B36)-$D$36,0))</f>
        <v>0.05</v>
      </c>
      <c r="Q36" s="549" t="n">
        <f aca="false">IF(Q33&lt;=$B$36,(1/$B36),IF(Q33=$B$36+1,(1/$B36)-$D$36,0))</f>
        <v>0.05</v>
      </c>
      <c r="R36" s="549" t="n">
        <f aca="false">IF(R33&lt;=$B$36,(1/$B36),IF(R33=$B$36+1,(1/$B36)-$D$36,0))</f>
        <v>0.05</v>
      </c>
      <c r="S36" s="549" t="n">
        <f aca="false">IF(S33&lt;=$B$36,(1/$B36),IF(S33=$B$36+1,(1/$B36)-$D$36,0))</f>
        <v>0.05</v>
      </c>
      <c r="T36" s="549" t="n">
        <f aca="false">IF(T33&lt;=$B$36,(1/$B36),IF(T33=$B$36+1,(1/$B36)-$D$36,0))</f>
        <v>0.05</v>
      </c>
      <c r="U36" s="549" t="n">
        <f aca="false">IF(U33&lt;=$B$36,(1/$B36),IF(U33=$B$36+1,(1/$B36)-$D$36,0))</f>
        <v>0.05</v>
      </c>
      <c r="V36" s="549" t="n">
        <f aca="false">IF(V33&lt;=$B$36,(1/$B36),IF(V33=$B$36+1,(1/$B36)-$D$36,0))</f>
        <v>0.05</v>
      </c>
      <c r="W36" s="549" t="n">
        <f aca="false">IF(W33&lt;=$B$36,(1/$B36),IF(W33=$B$36+1,(1/$B36)-$D$36,0))</f>
        <v>0.05</v>
      </c>
      <c r="X36" s="550" t="n">
        <f aca="false">IF(X33&lt;=$B$36,(1/$B36),IF(X33=$B$36+1,(1/$B36)-$D$36,0))</f>
        <v>0.0291666666666667</v>
      </c>
      <c r="Y36" s="549"/>
      <c r="Z36" s="549"/>
      <c r="AA36" s="922"/>
      <c r="AB36" s="922"/>
      <c r="AD36" s="923"/>
      <c r="AE36" s="924"/>
    </row>
    <row r="37" customFormat="false" ht="12" hidden="false" customHeight="true" outlineLevel="0" collapsed="false">
      <c r="A37" s="412"/>
      <c r="B37" s="783"/>
      <c r="C37" s="385"/>
      <c r="D37" s="385"/>
      <c r="E37" s="385"/>
      <c r="F37" s="385"/>
      <c r="G37" s="385"/>
      <c r="H37" s="385"/>
      <c r="I37" s="385"/>
      <c r="J37" s="385"/>
      <c r="K37" s="385"/>
      <c r="L37" s="385"/>
      <c r="M37" s="385"/>
      <c r="N37" s="385"/>
      <c r="O37" s="385"/>
      <c r="P37" s="385"/>
      <c r="Q37" s="385"/>
      <c r="R37" s="385"/>
      <c r="S37" s="385"/>
      <c r="T37" s="385"/>
      <c r="U37" s="385"/>
      <c r="V37" s="385"/>
      <c r="W37" s="385"/>
      <c r="X37" s="416"/>
    </row>
    <row r="38" customFormat="false" ht="12" hidden="false" customHeight="true" outlineLevel="0" collapsed="false">
      <c r="A38" s="791" t="s">
        <v>663</v>
      </c>
      <c r="B38" s="438" t="n">
        <f aca="false">B11</f>
        <v>149943.184</v>
      </c>
      <c r="C38" s="385"/>
      <c r="D38" s="438" t="n">
        <f aca="false">D34*$B$38</f>
        <v>1874.2898</v>
      </c>
      <c r="E38" s="438" t="n">
        <f aca="false">E34*$B$38</f>
        <v>4498.29552</v>
      </c>
      <c r="F38" s="438" t="n">
        <f aca="false">F34*$B$38</f>
        <v>4498.29552</v>
      </c>
      <c r="G38" s="438" t="n">
        <f aca="false">G34*$B$38</f>
        <v>4498.29552</v>
      </c>
      <c r="H38" s="438" t="n">
        <f aca="false">H34*$B$38</f>
        <v>4498.29552</v>
      </c>
      <c r="I38" s="438" t="n">
        <f aca="false">I34*$B$38</f>
        <v>4498.29552</v>
      </c>
      <c r="J38" s="438" t="n">
        <f aca="false">J34*$B$38</f>
        <v>4498.29552</v>
      </c>
      <c r="K38" s="438" t="n">
        <f aca="false">K34*$B$38</f>
        <v>4498.29552</v>
      </c>
      <c r="L38" s="438" t="n">
        <f aca="false">L34*$B$38</f>
        <v>4498.29552</v>
      </c>
      <c r="M38" s="438" t="n">
        <f aca="false">M34*$B$38</f>
        <v>4498.29552</v>
      </c>
      <c r="N38" s="438" t="n">
        <f aca="false">N34*$B$38</f>
        <v>4498.29552</v>
      </c>
      <c r="O38" s="438" t="n">
        <f aca="false">O34*$B$38</f>
        <v>4498.29552</v>
      </c>
      <c r="P38" s="438" t="n">
        <f aca="false">P34*$B$38</f>
        <v>4498.29552</v>
      </c>
      <c r="Q38" s="438" t="n">
        <f aca="false">Q34*$B$38</f>
        <v>4498.29552</v>
      </c>
      <c r="R38" s="438" t="n">
        <f aca="false">R34*$B$38</f>
        <v>4498.29552</v>
      </c>
      <c r="S38" s="438" t="n">
        <f aca="false">S34*$B$38</f>
        <v>4498.29552</v>
      </c>
      <c r="T38" s="438" t="n">
        <f aca="false">T34*$B$38</f>
        <v>4498.29552</v>
      </c>
      <c r="U38" s="438" t="n">
        <f aca="false">U34*$B$38</f>
        <v>4498.29552</v>
      </c>
      <c r="V38" s="438" t="n">
        <f aca="false">V34*$B$38</f>
        <v>4498.29552</v>
      </c>
      <c r="W38" s="438" t="n">
        <f aca="false">W34*$B$38</f>
        <v>4498.29552</v>
      </c>
      <c r="X38" s="439" t="n">
        <f aca="false">X34*$B$38</f>
        <v>4498.29552</v>
      </c>
      <c r="Y38" s="438"/>
      <c r="Z38" s="438"/>
      <c r="AA38" s="713"/>
      <c r="AB38" s="713"/>
      <c r="AC38" s="927"/>
      <c r="AD38" s="927"/>
      <c r="AE38" s="927"/>
    </row>
    <row r="39" customFormat="false" ht="12" hidden="false" customHeight="true" outlineLevel="0" collapsed="false">
      <c r="A39" s="791" t="s">
        <v>654</v>
      </c>
      <c r="B39" s="438" t="n">
        <f aca="false">B12</f>
        <v>3020.094</v>
      </c>
      <c r="C39" s="385"/>
      <c r="D39" s="557" t="n">
        <f aca="false">D35*$B$39</f>
        <v>251.6745</v>
      </c>
      <c r="E39" s="557" t="n">
        <f aca="false">E35*$B$39</f>
        <v>604.0188</v>
      </c>
      <c r="F39" s="557" t="n">
        <f aca="false">F35*$B$39</f>
        <v>604.0188</v>
      </c>
      <c r="G39" s="557" t="n">
        <f aca="false">G35*$B$39</f>
        <v>604.0188</v>
      </c>
      <c r="H39" s="557" t="n">
        <f aca="false">H35*$B$39</f>
        <v>604.0188</v>
      </c>
      <c r="I39" s="557" t="n">
        <f aca="false">I35*$B$39</f>
        <v>352.3443</v>
      </c>
      <c r="J39" s="557" t="n">
        <f aca="false">J35*$B$39</f>
        <v>0</v>
      </c>
      <c r="K39" s="557" t="n">
        <f aca="false">K35*$B$39</f>
        <v>0</v>
      </c>
      <c r="L39" s="557" t="n">
        <f aca="false">L35*$B$39</f>
        <v>0</v>
      </c>
      <c r="M39" s="557" t="n">
        <f aca="false">M35*$B$39</f>
        <v>0</v>
      </c>
      <c r="N39" s="557" t="n">
        <f aca="false">N35*$B$39</f>
        <v>0</v>
      </c>
      <c r="O39" s="557" t="n">
        <f aca="false">O35*$B$39</f>
        <v>0</v>
      </c>
      <c r="P39" s="557" t="n">
        <f aca="false">P35*$B$39</f>
        <v>0</v>
      </c>
      <c r="Q39" s="557" t="n">
        <f aca="false">Q35*$B$39</f>
        <v>0</v>
      </c>
      <c r="R39" s="557" t="n">
        <f aca="false">R35*$B$39</f>
        <v>0</v>
      </c>
      <c r="S39" s="557" t="n">
        <f aca="false">S35*$B$39</f>
        <v>0</v>
      </c>
      <c r="T39" s="557" t="n">
        <f aca="false">T35*$B$39</f>
        <v>0</v>
      </c>
      <c r="U39" s="557" t="n">
        <f aca="false">U35*$B$39</f>
        <v>0</v>
      </c>
      <c r="V39" s="557" t="n">
        <f aca="false">V35*$B$39</f>
        <v>0</v>
      </c>
      <c r="W39" s="557" t="n">
        <f aca="false">W35*$B$39</f>
        <v>0</v>
      </c>
      <c r="X39" s="795" t="n">
        <f aca="false">X35*$B$39</f>
        <v>0</v>
      </c>
      <c r="Y39" s="557"/>
      <c r="Z39" s="557"/>
      <c r="AA39" s="558"/>
      <c r="AB39" s="558"/>
      <c r="AC39" s="927"/>
      <c r="AD39" s="927"/>
      <c r="AE39" s="928"/>
    </row>
    <row r="40" customFormat="false" ht="12" hidden="false" customHeight="true" outlineLevel="0" collapsed="false">
      <c r="A40" s="791" t="s">
        <v>655</v>
      </c>
      <c r="B40" s="557" t="n">
        <f aca="false">B13</f>
        <v>1243</v>
      </c>
      <c r="C40" s="385"/>
      <c r="D40" s="557" t="n">
        <f aca="false">D36*$B$40</f>
        <v>25.8958333333333</v>
      </c>
      <c r="E40" s="557" t="n">
        <f aca="false">E36*$B$40</f>
        <v>62.15</v>
      </c>
      <c r="F40" s="557" t="n">
        <f aca="false">F36*$B$40</f>
        <v>62.15</v>
      </c>
      <c r="G40" s="557" t="n">
        <f aca="false">G36*$B$40</f>
        <v>62.15</v>
      </c>
      <c r="H40" s="557" t="n">
        <f aca="false">H36*$B$40</f>
        <v>62.15</v>
      </c>
      <c r="I40" s="557" t="n">
        <f aca="false">I36*$B$40</f>
        <v>62.15</v>
      </c>
      <c r="J40" s="557" t="n">
        <f aca="false">J36*$B$40</f>
        <v>62.15</v>
      </c>
      <c r="K40" s="557" t="n">
        <f aca="false">K36*$B$40</f>
        <v>62.15</v>
      </c>
      <c r="L40" s="557" t="n">
        <f aca="false">L36*$B$40</f>
        <v>62.15</v>
      </c>
      <c r="M40" s="557" t="n">
        <f aca="false">M36*$B$40</f>
        <v>62.15</v>
      </c>
      <c r="N40" s="557" t="n">
        <f aca="false">N36*$B$40</f>
        <v>62.15</v>
      </c>
      <c r="O40" s="557" t="n">
        <f aca="false">O36*$B$40</f>
        <v>62.15</v>
      </c>
      <c r="P40" s="557" t="n">
        <f aca="false">P36*$B$40</f>
        <v>62.15</v>
      </c>
      <c r="Q40" s="557" t="n">
        <f aca="false">Q36*$B$40</f>
        <v>62.15</v>
      </c>
      <c r="R40" s="557" t="n">
        <f aca="false">R36*$B$40</f>
        <v>62.15</v>
      </c>
      <c r="S40" s="557" t="n">
        <f aca="false">S36*$B$40</f>
        <v>62.15</v>
      </c>
      <c r="T40" s="557" t="n">
        <f aca="false">T36*$B$40</f>
        <v>62.15</v>
      </c>
      <c r="U40" s="557" t="n">
        <f aca="false">U36*$B$40</f>
        <v>62.15</v>
      </c>
      <c r="V40" s="557" t="n">
        <f aca="false">V36*$B$40</f>
        <v>62.15</v>
      </c>
      <c r="W40" s="557" t="n">
        <f aca="false">W36*$B$40</f>
        <v>62.15</v>
      </c>
      <c r="X40" s="795" t="n">
        <f aca="false">X36*$B$40</f>
        <v>36.2541666666667</v>
      </c>
      <c r="Y40" s="807"/>
      <c r="Z40" s="807"/>
      <c r="AA40" s="940"/>
      <c r="AB40" s="940"/>
      <c r="AC40" s="927"/>
      <c r="AD40" s="927"/>
      <c r="AE40" s="928"/>
    </row>
    <row r="41" customFormat="false" ht="12" hidden="false" customHeight="true" outlineLevel="0" collapsed="false">
      <c r="A41" s="791" t="s">
        <v>656</v>
      </c>
      <c r="B41" s="557" t="n">
        <f aca="false">B14</f>
        <v>3000</v>
      </c>
      <c r="C41" s="385"/>
      <c r="D41" s="557"/>
      <c r="E41" s="557" t="n">
        <f aca="false">D34*$B$41</f>
        <v>37.5</v>
      </c>
      <c r="F41" s="557" t="n">
        <f aca="false">E34*$B$41</f>
        <v>90</v>
      </c>
      <c r="G41" s="557" t="n">
        <f aca="false">F34*$B$41</f>
        <v>90</v>
      </c>
      <c r="H41" s="557" t="n">
        <f aca="false">G34*$B$41</f>
        <v>90</v>
      </c>
      <c r="I41" s="557" t="n">
        <f aca="false">H34*$B$41</f>
        <v>90</v>
      </c>
      <c r="J41" s="557" t="n">
        <f aca="false">I34*$B$41</f>
        <v>90</v>
      </c>
      <c r="K41" s="557" t="n">
        <f aca="false">J34*$B$41</f>
        <v>90</v>
      </c>
      <c r="L41" s="557" t="n">
        <f aca="false">K34*$B$41</f>
        <v>90</v>
      </c>
      <c r="M41" s="557" t="n">
        <f aca="false">L34*$B$41</f>
        <v>90</v>
      </c>
      <c r="N41" s="557" t="n">
        <f aca="false">M34*$B$41</f>
        <v>90</v>
      </c>
      <c r="O41" s="557" t="n">
        <f aca="false">N34*$B$41</f>
        <v>90</v>
      </c>
      <c r="P41" s="557" t="n">
        <f aca="false">O34*$B$41</f>
        <v>90</v>
      </c>
      <c r="Q41" s="557" t="n">
        <f aca="false">P34*$B$41</f>
        <v>90</v>
      </c>
      <c r="R41" s="557" t="n">
        <f aca="false">Q34*$B$41</f>
        <v>90</v>
      </c>
      <c r="S41" s="557" t="n">
        <f aca="false">R34*$B$41</f>
        <v>90</v>
      </c>
      <c r="T41" s="557" t="n">
        <f aca="false">S34*$B$41</f>
        <v>90</v>
      </c>
      <c r="U41" s="557" t="n">
        <f aca="false">T34*$B$41</f>
        <v>90</v>
      </c>
      <c r="V41" s="557" t="n">
        <f aca="false">U34*$B$41</f>
        <v>90</v>
      </c>
      <c r="W41" s="557" t="n">
        <f aca="false">V34*$B$41</f>
        <v>90</v>
      </c>
      <c r="X41" s="795" t="n">
        <f aca="false">W34*$B$41</f>
        <v>90</v>
      </c>
      <c r="Y41" s="807"/>
      <c r="Z41" s="807"/>
      <c r="AA41" s="940"/>
      <c r="AB41" s="940"/>
      <c r="AC41" s="927"/>
      <c r="AD41" s="927"/>
      <c r="AE41" s="928"/>
    </row>
    <row r="42" customFormat="false" ht="12" hidden="false" customHeight="true" outlineLevel="0" collapsed="false">
      <c r="A42" s="791" t="s">
        <v>657</v>
      </c>
      <c r="B42" s="807" t="n">
        <f aca="false">B15</f>
        <v>0</v>
      </c>
      <c r="C42" s="385"/>
      <c r="D42" s="807" t="n">
        <f aca="false">B42</f>
        <v>0</v>
      </c>
      <c r="E42" s="930" t="n">
        <v>0</v>
      </c>
      <c r="F42" s="930" t="n">
        <v>0</v>
      </c>
      <c r="G42" s="930" t="n">
        <v>0</v>
      </c>
      <c r="H42" s="930" t="n">
        <v>0</v>
      </c>
      <c r="I42" s="930" t="n">
        <v>0</v>
      </c>
      <c r="J42" s="930" t="n">
        <v>0</v>
      </c>
      <c r="K42" s="930" t="n">
        <v>0</v>
      </c>
      <c r="L42" s="930" t="n">
        <v>0</v>
      </c>
      <c r="M42" s="930" t="n">
        <v>0</v>
      </c>
      <c r="N42" s="930" t="n">
        <v>0</v>
      </c>
      <c r="O42" s="930" t="n">
        <v>0</v>
      </c>
      <c r="P42" s="930" t="n">
        <v>0</v>
      </c>
      <c r="Q42" s="930" t="n">
        <v>0</v>
      </c>
      <c r="R42" s="930" t="n">
        <v>0</v>
      </c>
      <c r="S42" s="930" t="n">
        <v>0</v>
      </c>
      <c r="T42" s="930" t="n">
        <v>0</v>
      </c>
      <c r="U42" s="930" t="n">
        <v>0</v>
      </c>
      <c r="V42" s="930" t="n">
        <v>0</v>
      </c>
      <c r="W42" s="930" t="n">
        <v>0</v>
      </c>
      <c r="X42" s="931" t="n">
        <v>0</v>
      </c>
      <c r="Y42" s="807"/>
      <c r="Z42" s="807"/>
      <c r="AA42" s="940"/>
      <c r="AB42" s="940"/>
      <c r="AC42" s="927"/>
      <c r="AD42" s="927"/>
      <c r="AE42" s="928"/>
    </row>
    <row r="43" customFormat="false" ht="12" hidden="false" customHeight="true" outlineLevel="0" collapsed="false">
      <c r="A43" s="791" t="s">
        <v>664</v>
      </c>
      <c r="B43" s="438" t="n">
        <f aca="false">SUM(B38:B42)</f>
        <v>157206.278</v>
      </c>
      <c r="C43" s="385"/>
      <c r="D43" s="438" t="n">
        <f aca="false">SUM(D38:D42)</f>
        <v>2151.86013333333</v>
      </c>
      <c r="E43" s="438" t="n">
        <f aca="false">SUM(E38:E42)</f>
        <v>5201.96432</v>
      </c>
      <c r="F43" s="438" t="n">
        <f aca="false">SUM(F38:F42)</f>
        <v>5254.46432</v>
      </c>
      <c r="G43" s="438" t="n">
        <f aca="false">SUM(G38:G42)</f>
        <v>5254.46432</v>
      </c>
      <c r="H43" s="438" t="n">
        <f aca="false">SUM(H38:H42)</f>
        <v>5254.46432</v>
      </c>
      <c r="I43" s="438" t="n">
        <f aca="false">SUM(I38:I42)</f>
        <v>5002.78982</v>
      </c>
      <c r="J43" s="438" t="n">
        <f aca="false">SUM(J38:J42)</f>
        <v>4650.44552</v>
      </c>
      <c r="K43" s="438" t="n">
        <f aca="false">SUM(K38:K42)</f>
        <v>4650.44552</v>
      </c>
      <c r="L43" s="438" t="n">
        <f aca="false">SUM(L38:L42)</f>
        <v>4650.44552</v>
      </c>
      <c r="M43" s="438" t="n">
        <f aca="false">SUM(M38:M42)</f>
        <v>4650.44552</v>
      </c>
      <c r="N43" s="438" t="n">
        <f aca="false">SUM(N38:N42)</f>
        <v>4650.44552</v>
      </c>
      <c r="O43" s="438" t="n">
        <f aca="false">SUM(O38:O42)</f>
        <v>4650.44552</v>
      </c>
      <c r="P43" s="438" t="n">
        <f aca="false">SUM(P38:P42)</f>
        <v>4650.44552</v>
      </c>
      <c r="Q43" s="438" t="n">
        <f aca="false">SUM(Q38:Q42)</f>
        <v>4650.44552</v>
      </c>
      <c r="R43" s="438" t="n">
        <f aca="false">SUM(R38:R42)</f>
        <v>4650.44552</v>
      </c>
      <c r="S43" s="438" t="n">
        <f aca="false">SUM(S38:S42)</f>
        <v>4650.44552</v>
      </c>
      <c r="T43" s="438" t="n">
        <f aca="false">SUM(T38:T42)</f>
        <v>4650.44552</v>
      </c>
      <c r="U43" s="438" t="n">
        <f aca="false">SUM(U38:U42)</f>
        <v>4650.44552</v>
      </c>
      <c r="V43" s="438" t="n">
        <f aca="false">SUM(V38:V42)</f>
        <v>4650.44552</v>
      </c>
      <c r="W43" s="438" t="n">
        <f aca="false">SUM(W38:W42)</f>
        <v>4650.44552</v>
      </c>
      <c r="X43" s="439" t="n">
        <f aca="false">SUM(X38:X42)</f>
        <v>4624.54968666667</v>
      </c>
      <c r="Y43" s="438"/>
      <c r="Z43" s="438"/>
      <c r="AA43" s="713"/>
      <c r="AB43" s="713"/>
      <c r="AC43" s="927"/>
      <c r="AD43" s="927"/>
      <c r="AE43" s="928"/>
    </row>
    <row r="44" customFormat="false" ht="12" hidden="false" customHeight="true" outlineLevel="0" collapsed="false">
      <c r="A44" s="791"/>
      <c r="B44" s="438"/>
      <c r="C44" s="385"/>
      <c r="D44" s="438"/>
      <c r="E44" s="438"/>
      <c r="F44" s="438"/>
      <c r="G44" s="438"/>
      <c r="H44" s="438"/>
      <c r="I44" s="438"/>
      <c r="J44" s="438"/>
      <c r="K44" s="438"/>
      <c r="L44" s="438"/>
      <c r="M44" s="438"/>
      <c r="N44" s="438"/>
      <c r="O44" s="438"/>
      <c r="P44" s="438"/>
      <c r="Q44" s="438"/>
      <c r="R44" s="438"/>
      <c r="S44" s="438"/>
      <c r="T44" s="438"/>
      <c r="U44" s="438"/>
      <c r="V44" s="438"/>
      <c r="W44" s="438"/>
      <c r="X44" s="439"/>
      <c r="Y44" s="438"/>
      <c r="Z44" s="438"/>
      <c r="AA44" s="713"/>
      <c r="AB44" s="713"/>
      <c r="AC44" s="927"/>
      <c r="AD44" s="927"/>
      <c r="AE44" s="928"/>
    </row>
    <row r="45" customFormat="false" ht="12" hidden="false" customHeight="true" outlineLevel="0" collapsed="false">
      <c r="A45" s="932" t="s">
        <v>665</v>
      </c>
      <c r="B45" s="720"/>
      <c r="C45" s="772"/>
      <c r="D45" s="720" t="n">
        <f aca="false">B43-D43</f>
        <v>155054.417866667</v>
      </c>
      <c r="E45" s="720" t="n">
        <f aca="false">D45-E43</f>
        <v>149852.453546667</v>
      </c>
      <c r="F45" s="720" t="n">
        <f aca="false">E45-F43</f>
        <v>144597.989226667</v>
      </c>
      <c r="G45" s="720" t="n">
        <f aca="false">F45-G43</f>
        <v>139343.524906667</v>
      </c>
      <c r="H45" s="720" t="n">
        <f aca="false">G45-H43</f>
        <v>134089.060586667</v>
      </c>
      <c r="I45" s="720" t="n">
        <f aca="false">H45-I43</f>
        <v>129086.270766667</v>
      </c>
      <c r="J45" s="720" t="n">
        <f aca="false">I45-J43</f>
        <v>124435.825246667</v>
      </c>
      <c r="K45" s="720" t="n">
        <f aca="false">J45-K43</f>
        <v>119785.379726667</v>
      </c>
      <c r="L45" s="720" t="n">
        <f aca="false">K45-L43</f>
        <v>115134.934206667</v>
      </c>
      <c r="M45" s="720" t="n">
        <f aca="false">L45-M43</f>
        <v>110484.488686667</v>
      </c>
      <c r="N45" s="720" t="n">
        <f aca="false">M45-N43</f>
        <v>105834.043166667</v>
      </c>
      <c r="O45" s="720" t="n">
        <f aca="false">N45-O43</f>
        <v>101183.597646667</v>
      </c>
      <c r="P45" s="720" t="n">
        <f aca="false">O45-P43</f>
        <v>96533.1521266667</v>
      </c>
      <c r="Q45" s="720" t="n">
        <f aca="false">P45-Q43</f>
        <v>91882.7066066667</v>
      </c>
      <c r="R45" s="720" t="n">
        <f aca="false">Q45-R43</f>
        <v>87232.2610866667</v>
      </c>
      <c r="S45" s="720" t="n">
        <f aca="false">R45-S43</f>
        <v>82581.8155666667</v>
      </c>
      <c r="T45" s="720" t="n">
        <f aca="false">S45-T43</f>
        <v>77931.3700466668</v>
      </c>
      <c r="U45" s="720" t="n">
        <f aca="false">T45-U43</f>
        <v>73280.9245266668</v>
      </c>
      <c r="V45" s="720" t="n">
        <f aca="false">U45-V43</f>
        <v>68630.4790066668</v>
      </c>
      <c r="W45" s="720" t="n">
        <f aca="false">V45-W43</f>
        <v>63980.0334866668</v>
      </c>
      <c r="X45" s="721" t="n">
        <f aca="false">W45-X43</f>
        <v>59355.4838000001</v>
      </c>
      <c r="Y45" s="438"/>
      <c r="Z45" s="438"/>
      <c r="AA45" s="713"/>
      <c r="AB45" s="713"/>
      <c r="AC45" s="927"/>
      <c r="AD45" s="927"/>
      <c r="AE45" s="928"/>
    </row>
    <row r="46" customFormat="false" ht="12" hidden="false" customHeight="true" outlineLevel="0" collapsed="false"/>
    <row r="47" customFormat="false" ht="12" hidden="false" customHeight="true" outlineLevel="0" collapsed="false">
      <c r="A47" s="915" t="s">
        <v>666</v>
      </c>
      <c r="B47" s="942" t="s">
        <v>310</v>
      </c>
      <c r="C47" s="380" t="s">
        <v>667</v>
      </c>
      <c r="D47" s="500" t="n">
        <v>1</v>
      </c>
      <c r="E47" s="500" t="n">
        <f aca="false">D47+1</f>
        <v>2</v>
      </c>
      <c r="F47" s="500" t="n">
        <f aca="false">E47+1</f>
        <v>3</v>
      </c>
      <c r="G47" s="500" t="n">
        <f aca="false">F47+1</f>
        <v>4</v>
      </c>
      <c r="H47" s="500" t="n">
        <f aca="false">G47+1</f>
        <v>5</v>
      </c>
      <c r="I47" s="500" t="n">
        <f aca="false">H47+1</f>
        <v>6</v>
      </c>
      <c r="J47" s="500" t="n">
        <f aca="false">I47+1</f>
        <v>7</v>
      </c>
      <c r="K47" s="943" t="n">
        <f aca="false">J47+1</f>
        <v>8</v>
      </c>
      <c r="L47" s="500" t="n">
        <f aca="false">K47+1</f>
        <v>9</v>
      </c>
      <c r="M47" s="500" t="n">
        <f aca="false">L47+1</f>
        <v>10</v>
      </c>
      <c r="N47" s="500" t="n">
        <f aca="false">M47+1</f>
        <v>11</v>
      </c>
      <c r="O47" s="500" t="n">
        <f aca="false">N47+1</f>
        <v>12</v>
      </c>
      <c r="P47" s="500" t="n">
        <f aca="false">O47+1</f>
        <v>13</v>
      </c>
      <c r="Q47" s="943" t="n">
        <f aca="false">P47+1</f>
        <v>14</v>
      </c>
      <c r="R47" s="500" t="n">
        <f aca="false">Q47+1</f>
        <v>15</v>
      </c>
      <c r="S47" s="500" t="n">
        <f aca="false">R47+1</f>
        <v>16</v>
      </c>
      <c r="T47" s="500" t="n">
        <f aca="false">S47+1</f>
        <v>17</v>
      </c>
      <c r="U47" s="500" t="n">
        <f aca="false">T47+1</f>
        <v>18</v>
      </c>
      <c r="V47" s="500" t="n">
        <f aca="false">U47+1</f>
        <v>19</v>
      </c>
      <c r="W47" s="943" t="n">
        <f aca="false">V47+1</f>
        <v>20</v>
      </c>
      <c r="X47" s="944" t="n">
        <f aca="false">W47+1</f>
        <v>21</v>
      </c>
      <c r="Y47" s="450"/>
      <c r="Z47" s="450"/>
      <c r="AA47" s="691"/>
      <c r="AB47" s="691"/>
      <c r="AC47" s="497"/>
      <c r="AE47" s="920"/>
    </row>
    <row r="48" customFormat="false" ht="12" hidden="false" customHeight="true" outlineLevel="0" collapsed="false">
      <c r="A48" s="791" t="s">
        <v>668</v>
      </c>
      <c r="B48" s="438" t="n">
        <f aca="false">('Project Assumptions'!C14+'Project Assumptions'!C15)*'Project Assumptions'!$U$6</f>
        <v>16787.37435</v>
      </c>
      <c r="C48" s="697" t="n">
        <f aca="false">AVERAGE(D48:W48)</f>
        <v>0.6545</v>
      </c>
      <c r="D48" s="937" t="n">
        <v>0</v>
      </c>
      <c r="E48" s="937" t="n">
        <v>0.99</v>
      </c>
      <c r="F48" s="937" t="n">
        <v>0.97</v>
      </c>
      <c r="G48" s="937" t="n">
        <v>0.95</v>
      </c>
      <c r="H48" s="937" t="n">
        <v>0.93</v>
      </c>
      <c r="I48" s="937" t="n">
        <v>0.91</v>
      </c>
      <c r="J48" s="937" t="n">
        <v>0.89</v>
      </c>
      <c r="K48" s="937" t="n">
        <v>0.86</v>
      </c>
      <c r="L48" s="937" t="n">
        <v>0.83</v>
      </c>
      <c r="M48" s="937" t="n">
        <v>0.8</v>
      </c>
      <c r="N48" s="937" t="n">
        <v>0.76</v>
      </c>
      <c r="O48" s="937" t="n">
        <v>0.72</v>
      </c>
      <c r="P48" s="937" t="n">
        <v>0.67</v>
      </c>
      <c r="Q48" s="937" t="n">
        <v>0.61</v>
      </c>
      <c r="R48" s="937" t="n">
        <v>0.55</v>
      </c>
      <c r="S48" s="937" t="n">
        <v>0.49</v>
      </c>
      <c r="T48" s="937" t="n">
        <v>0.41</v>
      </c>
      <c r="U48" s="937" t="n">
        <v>0.32</v>
      </c>
      <c r="V48" s="937" t="n">
        <v>0.23</v>
      </c>
      <c r="W48" s="937" t="n">
        <v>0.2</v>
      </c>
      <c r="X48" s="938" t="n">
        <v>0.2</v>
      </c>
      <c r="Y48" s="937"/>
      <c r="Z48" s="937"/>
      <c r="AA48" s="939"/>
      <c r="AB48" s="939"/>
      <c r="AC48" s="922"/>
      <c r="AD48" s="923"/>
      <c r="AE48" s="924"/>
    </row>
    <row r="49" customFormat="false" ht="11.25" hidden="false" customHeight="true" outlineLevel="0" collapsed="false">
      <c r="A49" s="791" t="s">
        <v>669</v>
      </c>
      <c r="B49" s="783"/>
      <c r="C49" s="385"/>
      <c r="D49" s="438" t="n">
        <v>0</v>
      </c>
      <c r="E49" s="438" t="n">
        <f aca="false">$B$48*E48</f>
        <v>16619.5006065</v>
      </c>
      <c r="F49" s="438" t="n">
        <f aca="false">$B$48*F48</f>
        <v>16283.7531195</v>
      </c>
      <c r="G49" s="438" t="n">
        <f aca="false">$B$48*G48</f>
        <v>15948.0056325</v>
      </c>
      <c r="H49" s="438" t="n">
        <f aca="false">$B$48*H48</f>
        <v>15612.2581455</v>
      </c>
      <c r="I49" s="438" t="n">
        <f aca="false">$B$48*I48</f>
        <v>15276.5106585</v>
      </c>
      <c r="J49" s="438" t="n">
        <f aca="false">$B$48*J48</f>
        <v>14940.7631715</v>
      </c>
      <c r="K49" s="438" t="n">
        <f aca="false">$B$48*K48</f>
        <v>14437.141941</v>
      </c>
      <c r="L49" s="438" t="n">
        <f aca="false">$B$48*L48</f>
        <v>13933.5207105</v>
      </c>
      <c r="M49" s="438" t="n">
        <f aca="false">$B$48*M48</f>
        <v>13429.89948</v>
      </c>
      <c r="N49" s="438" t="n">
        <f aca="false">$B$48*N48</f>
        <v>12758.404506</v>
      </c>
      <c r="O49" s="438" t="n">
        <f aca="false">$B$48*O48</f>
        <v>12086.909532</v>
      </c>
      <c r="P49" s="438" t="n">
        <f aca="false">$B$48*P48</f>
        <v>11247.5408145</v>
      </c>
      <c r="Q49" s="438" t="n">
        <f aca="false">$B$48*Q48</f>
        <v>10240.2983535</v>
      </c>
      <c r="R49" s="438" t="n">
        <f aca="false">$B$48*R48</f>
        <v>9233.0558925</v>
      </c>
      <c r="S49" s="438" t="n">
        <f aca="false">$B$48*S48</f>
        <v>8225.8134315</v>
      </c>
      <c r="T49" s="438" t="n">
        <f aca="false">$B$48*T48</f>
        <v>6882.8234835</v>
      </c>
      <c r="U49" s="438" t="n">
        <f aca="false">$B$48*U48</f>
        <v>5371.959792</v>
      </c>
      <c r="V49" s="438" t="n">
        <f aca="false">$B$48*V48</f>
        <v>3861.0961005</v>
      </c>
      <c r="W49" s="438" t="n">
        <f aca="false">$B$48*W48</f>
        <v>3357.47487</v>
      </c>
      <c r="X49" s="439" t="n">
        <f aca="false">$B$48*X48</f>
        <v>3357.47487</v>
      </c>
      <c r="Y49" s="438"/>
      <c r="Z49" s="438"/>
      <c r="AA49" s="713"/>
      <c r="AB49" s="713"/>
      <c r="AC49" s="928"/>
    </row>
    <row r="50" customFormat="false" ht="11.25" hidden="false" customHeight="true" outlineLevel="0" collapsed="false">
      <c r="A50" s="791"/>
      <c r="B50" s="789"/>
      <c r="C50" s="385"/>
      <c r="D50" s="797"/>
      <c r="E50" s="797"/>
      <c r="F50" s="797"/>
      <c r="G50" s="797"/>
      <c r="H50" s="797"/>
      <c r="I50" s="797"/>
      <c r="J50" s="797"/>
      <c r="K50" s="797"/>
      <c r="L50" s="797"/>
      <c r="M50" s="797"/>
      <c r="N50" s="797"/>
      <c r="O50" s="797"/>
      <c r="P50" s="797"/>
      <c r="Q50" s="797"/>
      <c r="R50" s="797"/>
      <c r="S50" s="797"/>
      <c r="T50" s="797"/>
      <c r="U50" s="797"/>
      <c r="V50" s="797"/>
      <c r="W50" s="797"/>
      <c r="X50" s="798"/>
      <c r="Y50" s="945"/>
      <c r="Z50" s="945"/>
      <c r="AA50" s="928"/>
      <c r="AB50" s="928"/>
      <c r="AC50" s="928"/>
      <c r="AD50" s="927"/>
      <c r="AE50" s="927"/>
    </row>
    <row r="51" customFormat="false" ht="12" hidden="false" customHeight="true" outlineLevel="0" collapsed="false">
      <c r="A51" s="791" t="s">
        <v>670</v>
      </c>
      <c r="B51" s="946"/>
      <c r="C51" s="385"/>
      <c r="D51" s="438" t="n">
        <f aca="false">IF(D4=1,0,IF(D47&gt;ProjectLife,0,IF(ISNUMBER(SchoolTaxAbatementTerm),IF(C47&gt;SchoolTaxAbatementTerm,D49*SchoolMillageRate,D49*SchoolMillageRate*SchoolAbatementRate))))</f>
        <v>0</v>
      </c>
      <c r="E51" s="438" t="n">
        <f aca="false">IF(E4=1,0,IF(E47&gt;ProjectLife,0,IF(ISNUMBER(SchoolTaxAbatementTerm),IF(D47&gt;SchoolTaxAbatementTerm,E49*SchoolMillageRate,E49*SchoolMillageRate*SchoolAbatementRate))))</f>
        <v>271.285648233435</v>
      </c>
      <c r="F51" s="438" t="n">
        <f aca="false">IF(F4=1,0,IF(F47&gt;ProjectLife,0,IF(ISNUMBER(SchoolTaxAbatementTerm),IF(E47&gt;SchoolTaxAbatementTerm,F49*SchoolMillageRate,F49*SchoolMillageRate*SchoolAbatementRate))))</f>
        <v>265.805130087305</v>
      </c>
      <c r="G51" s="438" t="n">
        <f aca="false">IF(G4=1,0,IF(G47&gt;ProjectLife,0,IF(ISNUMBER(SchoolTaxAbatementTerm),IF(F47&gt;SchoolTaxAbatementTerm,G49*SchoolMillageRate,G49*SchoolMillageRate*SchoolAbatementRate))))</f>
        <v>260.324611941175</v>
      </c>
      <c r="H51" s="438" t="n">
        <f aca="false">IF(H4=1,0,IF(H47&gt;ProjectLife,0,IF(ISNUMBER(SchoolTaxAbatementTerm),IF(G47&gt;SchoolTaxAbatementTerm,H49*SchoolMillageRate,H49*SchoolMillageRate*SchoolAbatementRate))))</f>
        <v>254.844093795045</v>
      </c>
      <c r="I51" s="438" t="n">
        <f aca="false">IF(I4=1,0,IF(I47&gt;ProjectLife,0,IF(ISNUMBER(SchoolTaxAbatementTerm),IF(H47&gt;SchoolTaxAbatementTerm,I49*SchoolMillageRate,I49*SchoolMillageRate*SchoolAbatementRate))))</f>
        <v>249.363575648915</v>
      </c>
      <c r="J51" s="438" t="n">
        <f aca="false">IF(J4=1,0,IF(J47&gt;ProjectLife,0,IF(ISNUMBER(SchoolTaxAbatementTerm),IF(I47&gt;SchoolTaxAbatementTerm,J49*SchoolMillageRate,J49*SchoolMillageRate*SchoolAbatementRate))))</f>
        <v>243.883057502785</v>
      </c>
      <c r="K51" s="438" t="n">
        <f aca="false">IF(K4=1,0,IF(K47&gt;ProjectLife,0,IF(ISNUMBER(SchoolTaxAbatementTerm),IF(J47&gt;SchoolTaxAbatementTerm,K49*SchoolMillageRate,K49*SchoolMillageRate*SchoolAbatementRate))))</f>
        <v>235.66228028359</v>
      </c>
      <c r="L51" s="438" t="n">
        <f aca="false">IF(L4=1,0,IF(L47&gt;ProjectLife,0,IF(ISNUMBER(SchoolTaxAbatementTerm),IF(K47&gt;SchoolTaxAbatementTerm,L49*SchoolMillageRate,L49*SchoolMillageRate*SchoolAbatementRate))))</f>
        <v>227.441503064395</v>
      </c>
      <c r="M51" s="438" t="n">
        <f aca="false">IF(M4=1,0,IF(M47&gt;ProjectLife,0,IF(ISNUMBER(SchoolTaxAbatementTerm),IF(L47&gt;SchoolTaxAbatementTerm,M49*SchoolMillageRate,M49*SchoolMillageRate*SchoolAbatementRate))))</f>
        <v>219.2207258452</v>
      </c>
      <c r="N51" s="438" t="n">
        <f aca="false">IF(N4=1,0,IF(N47&gt;ProjectLife,0,IF(ISNUMBER(SchoolTaxAbatementTerm),IF(M47&gt;SchoolTaxAbatementTerm,N49*SchoolMillageRate,N49*SchoolMillageRate*SchoolAbatementRate))))</f>
        <v>208.25968955294</v>
      </c>
      <c r="O51" s="438" t="n">
        <f aca="false">IF(O4=1,0,IF(O47&gt;ProjectLife,0,IF(ISNUMBER(SchoolTaxAbatementTerm),IF(N47&gt;SchoolTaxAbatementTerm,O49*SchoolMillageRate,O49*SchoolMillageRate*SchoolAbatementRate))))</f>
        <v>591.89595978204</v>
      </c>
      <c r="P51" s="438" t="n">
        <f aca="false">IF(P4=1,0,IF(P47&gt;ProjectLife,0,IF(ISNUMBER(SchoolTaxAbatementTerm),IF(O47&gt;SchoolTaxAbatementTerm,P49*SchoolMillageRate,P49*SchoolMillageRate*SchoolAbatementRate))))</f>
        <v>550.792073686065</v>
      </c>
      <c r="Q51" s="438" t="n">
        <f aca="false">IF(Q4=1,0,IF(Q47&gt;ProjectLife,0,IF(ISNUMBER(SchoolTaxAbatementTerm),IF(P47&gt;SchoolTaxAbatementTerm,Q49*SchoolMillageRate,Q49*SchoolMillageRate*SchoolAbatementRate))))</f>
        <v>501.467410370895</v>
      </c>
      <c r="R51" s="438" t="n">
        <f aca="false">IF(R4=1,0,IF(R47&gt;ProjectLife,0,IF(ISNUMBER(SchoolTaxAbatementTerm),IF(Q47&gt;SchoolTaxAbatementTerm,R49*SchoolMillageRate,R49*SchoolMillageRate*SchoolAbatementRate))))</f>
        <v>452.142747055725</v>
      </c>
      <c r="S51" s="438" t="n">
        <f aca="false">IF(S4=1,0,IF(S47&gt;ProjectLife,0,IF(ISNUMBER(SchoolTaxAbatementTerm),IF(R47&gt;SchoolTaxAbatementTerm,S49*SchoolMillageRate,S49*SchoolMillageRate*SchoolAbatementRate))))</f>
        <v>402.818083740555</v>
      </c>
      <c r="T51" s="438" t="n">
        <f aca="false">IF(T4=1,0,IF(T47&gt;ProjectLife,0,IF(ISNUMBER(SchoolTaxAbatementTerm),IF(S47&gt;SchoolTaxAbatementTerm,T49*SchoolMillageRate,T49*SchoolMillageRate*SchoolAbatementRate))))</f>
        <v>337.051865986995</v>
      </c>
      <c r="U51" s="438" t="n">
        <f aca="false">IF(U4=1,0,IF(U47&gt;ProjectLife,0,IF(ISNUMBER(SchoolTaxAbatementTerm),IF(T47&gt;SchoolTaxAbatementTerm,U49*SchoolMillageRate,U49*SchoolMillageRate*SchoolAbatementRate))))</f>
        <v>263.06487101424</v>
      </c>
      <c r="V51" s="438" t="n">
        <f aca="false">IF(V4=1,0,IF(V47&gt;ProjectLife,0,IF(ISNUMBER(SchoolTaxAbatementTerm),IF(U47&gt;SchoolTaxAbatementTerm,V49*SchoolMillageRate,V49*SchoolMillageRate*SchoolAbatementRate))))</f>
        <v>189.077876041485</v>
      </c>
      <c r="W51" s="438" t="n">
        <f aca="false">IF(W4=1,0,IF(W47&gt;ProjectLife,0,IF(ISNUMBER(SchoolTaxAbatementTerm),IF(V47&gt;SchoolTaxAbatementTerm,W49*SchoolMillageRate,W49*SchoolMillageRate*SchoolAbatementRate))))</f>
        <v>164.4155443839</v>
      </c>
      <c r="X51" s="439" t="n">
        <f aca="false">IF(X4=1,0,IF(X47&gt;ProjectLife+1,0,IF(ISNUMBER(SchoolTaxAbatementTerm),IF(W47&gt;SchoolTaxAbatementTerm,X49*SchoolMillageRate,X49*SchoolMillageRate*SchoolAbatementRate))))</f>
        <v>164.4155443839</v>
      </c>
      <c r="Y51" s="438"/>
      <c r="Z51" s="438"/>
      <c r="AA51" s="713"/>
      <c r="AB51" s="713"/>
      <c r="AC51" s="713"/>
      <c r="AD51" s="923"/>
      <c r="AE51" s="924"/>
    </row>
    <row r="52" customFormat="false" ht="12" hidden="false" customHeight="true" outlineLevel="0" collapsed="false">
      <c r="A52" s="791" t="s">
        <v>671</v>
      </c>
      <c r="B52" s="946"/>
      <c r="C52" s="385"/>
      <c r="D52" s="438" t="n">
        <f aca="false">IF(D47=1,0,IF(D47&gt;ProjectLife,0,IF(ISNUMBER(CountyTaxAbatementTerm),IF(C47&gt;CountyTaxAbatementTerm,D49*CountyMillageRate,D49*CountyMillageRate*CountyAbatementRate))))</f>
        <v>0</v>
      </c>
      <c r="E52" s="438" t="n">
        <f aca="false">IF(E47=1,0,IF(E47&gt;ProjectLife,0,IF(ISNUMBER(CountyTaxAbatementTerm),IF(D47&gt;CountyTaxAbatementTerm,E49*CountyMillageRate,E49*CountyMillageRate*CountyAbatementRate))))</f>
        <v>277.87805014068</v>
      </c>
      <c r="F52" s="438" t="n">
        <f aca="false">IF(F47=1,0,IF(F47&gt;ProjectLife,0,IF(ISNUMBER(CountyTaxAbatementTerm),IF(E47&gt;CountyTaxAbatementTerm,F49*CountyMillageRate,F49*CountyMillageRate*CountyAbatementRate))))</f>
        <v>272.26435215804</v>
      </c>
      <c r="G52" s="438" t="n">
        <f aca="false">IF(G47=1,0,IF(G47&gt;ProjectLife,0,IF(ISNUMBER(CountyTaxAbatementTerm),IF(F47&gt;CountyTaxAbatementTerm,G49*CountyMillageRate,G49*CountyMillageRate*CountyAbatementRate))))</f>
        <v>266.6506541754</v>
      </c>
      <c r="H52" s="438" t="n">
        <f aca="false">IF(H47=1,0,IF(H47&gt;ProjectLife,0,IF(ISNUMBER(CountyTaxAbatementTerm),IF(G47&gt;CountyTaxAbatementTerm,H49*CountyMillageRate,H49*CountyMillageRate*CountyAbatementRate))))</f>
        <v>261.03695619276</v>
      </c>
      <c r="I52" s="438" t="n">
        <f aca="false">IF(I47=1,0,IF(I47&gt;ProjectLife,0,IF(ISNUMBER(CountyTaxAbatementTerm),IF(H47&gt;CountyTaxAbatementTerm,I49*CountyMillageRate,I49*CountyMillageRate*CountyAbatementRate))))</f>
        <v>255.42325821012</v>
      </c>
      <c r="J52" s="438" t="n">
        <f aca="false">IF(J47=1,0,IF(J47&gt;ProjectLife,0,IF(ISNUMBER(CountyTaxAbatementTerm),IF(I47&gt;CountyTaxAbatementTerm,J49*CountyMillageRate,J49*CountyMillageRate*CountyAbatementRate))))</f>
        <v>249.80956022748</v>
      </c>
      <c r="K52" s="438" t="n">
        <f aca="false">IF(K47=1,0,IF(K47&gt;ProjectLife,0,IF(ISNUMBER(CountyTaxAbatementTerm),IF(J47&gt;CountyTaxAbatementTerm,K49*CountyMillageRate,K49*CountyMillageRate*CountyAbatementRate))))</f>
        <v>241.38901325352</v>
      </c>
      <c r="L52" s="438" t="n">
        <f aca="false">IF(L47=1,0,IF(L47&gt;ProjectLife,0,IF(ISNUMBER(CountyTaxAbatementTerm),IF(K47&gt;CountyTaxAbatementTerm,L49*CountyMillageRate,L49*CountyMillageRate*CountyAbatementRate))))</f>
        <v>232.96846627956</v>
      </c>
      <c r="M52" s="438" t="n">
        <f aca="false">IF(M47=1,0,IF(M47&gt;ProjectLife,0,IF(ISNUMBER(CountyTaxAbatementTerm),IF(L47&gt;CountyTaxAbatementTerm,M49*CountyMillageRate,M49*CountyMillageRate*CountyAbatementRate))))</f>
        <v>224.5479193056</v>
      </c>
      <c r="N52" s="438" t="n">
        <f aca="false">IF(N47=1,0,IF(N47&gt;ProjectLife,0,IF(ISNUMBER(CountyTaxAbatementTerm),IF(M47&gt;CountyTaxAbatementTerm,N49*CountyMillageRate,N49*CountyMillageRate*CountyAbatementRate))))</f>
        <v>213.32052334032</v>
      </c>
      <c r="O52" s="438" t="n">
        <f aca="false">IF(O47=1,0,IF(O47&gt;ProjectLife,0,IF(ISNUMBER(CountyTaxAbatementTerm),IF(N47&gt;CountyTaxAbatementTerm,O49*CountyMillageRate,O49*CountyMillageRate*CountyAbatementRate))))</f>
        <v>606.27938212512</v>
      </c>
      <c r="P52" s="438" t="n">
        <f aca="false">IF(P47=1,0,IF(P47&gt;ProjectLife,0,IF(ISNUMBER(CountyTaxAbatementTerm),IF(O47&gt;CountyTaxAbatementTerm,P49*CountyMillageRate,P49*CountyMillageRate*CountyAbatementRate))))</f>
        <v>564.17664725532</v>
      </c>
      <c r="Q52" s="438" t="n">
        <f aca="false">IF(Q47=1,0,IF(Q47&gt;ProjectLife,0,IF(ISNUMBER(CountyTaxAbatementTerm),IF(P47&gt;CountyTaxAbatementTerm,Q49*CountyMillageRate,Q49*CountyMillageRate*CountyAbatementRate))))</f>
        <v>513.65336541156</v>
      </c>
      <c r="R52" s="438" t="n">
        <f aca="false">IF(R47=1,0,IF(R47&gt;ProjectLife,0,IF(ISNUMBER(CountyTaxAbatementTerm),IF(Q47&gt;CountyTaxAbatementTerm,R49*CountyMillageRate,R49*CountyMillageRate*CountyAbatementRate))))</f>
        <v>463.1300835678</v>
      </c>
      <c r="S52" s="438" t="n">
        <f aca="false">IF(S47=1,0,IF(S47&gt;ProjectLife,0,IF(ISNUMBER(CountyTaxAbatementTerm),IF(R47&gt;CountyTaxAbatementTerm,S49*CountyMillageRate,S49*CountyMillageRate*CountyAbatementRate))))</f>
        <v>412.60680172404</v>
      </c>
      <c r="T52" s="438" t="n">
        <f aca="false">IF(T47=1,0,IF(T47&gt;ProjectLife,0,IF(ISNUMBER(CountyTaxAbatementTerm),IF(S47&gt;CountyTaxAbatementTerm,T49*CountyMillageRate,T49*CountyMillageRate*CountyAbatementRate))))</f>
        <v>345.24242593236</v>
      </c>
      <c r="U52" s="438" t="n">
        <f aca="false">IF(U47=1,0,IF(U47&gt;ProjectLife,0,IF(ISNUMBER(CountyTaxAbatementTerm),IF(T47&gt;CountyTaxAbatementTerm,U49*CountyMillageRate,U49*CountyMillageRate*CountyAbatementRate))))</f>
        <v>269.45750316672</v>
      </c>
      <c r="V52" s="438" t="n">
        <f aca="false">IF(V47=1,0,IF(V47&gt;ProjectLife,0,IF(ISNUMBER(CountyTaxAbatementTerm),IF(U47&gt;CountyTaxAbatementTerm,V49*CountyMillageRate,V49*CountyMillageRate*CountyAbatementRate))))</f>
        <v>193.67258040108</v>
      </c>
      <c r="W52" s="438" t="n">
        <f aca="false">IF(W47=1,0,IF(W47&gt;ProjectLife,0,IF(ISNUMBER(CountyTaxAbatementTerm),IF(V47&gt;CountyTaxAbatementTerm,W49*CountyMillageRate,W49*CountyMillageRate*CountyAbatementRate))))</f>
        <v>168.4109394792</v>
      </c>
      <c r="X52" s="439" t="n">
        <f aca="false">IF(X47=1,0,IF(X47&gt;ProjectLife+1,0,IF(ISNUMBER(CountyTaxAbatementTerm),IF(W47&gt;CountyTaxAbatementTerm,X49*CountyMillageRate,X49*CountyMillageRate*CountyAbatementRate))))</f>
        <v>168.4109394792</v>
      </c>
      <c r="Y52" s="438"/>
      <c r="Z52" s="438"/>
      <c r="AA52" s="713"/>
      <c r="AB52" s="713"/>
      <c r="AC52" s="558"/>
      <c r="AD52" s="923"/>
      <c r="AE52" s="924"/>
    </row>
    <row r="53" customFormat="false" ht="12" hidden="false" customHeight="true" outlineLevel="0" collapsed="false">
      <c r="A53" s="932" t="s">
        <v>672</v>
      </c>
      <c r="B53" s="947"/>
      <c r="C53" s="772"/>
      <c r="D53" s="948" t="n">
        <v>0</v>
      </c>
      <c r="E53" s="948" t="n">
        <v>0</v>
      </c>
      <c r="F53" s="948" t="n">
        <v>0</v>
      </c>
      <c r="G53" s="948" t="n">
        <v>0</v>
      </c>
      <c r="H53" s="948" t="n">
        <v>0</v>
      </c>
      <c r="I53" s="948" t="n">
        <v>0</v>
      </c>
      <c r="J53" s="948" t="n">
        <v>0</v>
      </c>
      <c r="K53" s="948" t="n">
        <v>0</v>
      </c>
      <c r="L53" s="948" t="n">
        <v>0</v>
      </c>
      <c r="M53" s="948" t="n">
        <v>0</v>
      </c>
      <c r="N53" s="948" t="n">
        <v>0</v>
      </c>
      <c r="O53" s="948" t="n">
        <v>0</v>
      </c>
      <c r="P53" s="948" t="n">
        <v>0</v>
      </c>
      <c r="Q53" s="948" t="n">
        <v>0</v>
      </c>
      <c r="R53" s="948" t="n">
        <v>0</v>
      </c>
      <c r="S53" s="948" t="n">
        <v>0</v>
      </c>
      <c r="T53" s="948" t="n">
        <v>0</v>
      </c>
      <c r="U53" s="948" t="n">
        <v>0</v>
      </c>
      <c r="V53" s="948" t="n">
        <v>0</v>
      </c>
      <c r="W53" s="948" t="n">
        <v>0</v>
      </c>
      <c r="X53" s="949" t="n">
        <v>0</v>
      </c>
      <c r="Y53" s="557"/>
      <c r="Z53" s="557"/>
      <c r="AA53" s="558"/>
      <c r="AB53" s="558"/>
      <c r="AC53" s="940"/>
      <c r="AD53" s="923"/>
      <c r="AE53" s="924"/>
    </row>
    <row r="54" customFormat="false" ht="12" hidden="false" customHeight="true" outlineLevel="0" collapsed="false">
      <c r="A54" s="892"/>
      <c r="B54" s="950"/>
      <c r="D54" s="807"/>
      <c r="G54" s="807"/>
      <c r="H54" s="807"/>
      <c r="I54" s="807"/>
      <c r="J54" s="807"/>
      <c r="K54" s="807"/>
      <c r="L54" s="807"/>
      <c r="M54" s="807"/>
      <c r="N54" s="807"/>
      <c r="O54" s="807"/>
      <c r="P54" s="807"/>
      <c r="Q54" s="807"/>
      <c r="R54" s="807"/>
      <c r="S54" s="807"/>
      <c r="T54" s="807"/>
      <c r="U54" s="807"/>
      <c r="V54" s="807"/>
      <c r="W54" s="807"/>
      <c r="X54" s="807"/>
      <c r="Y54" s="807"/>
      <c r="Z54" s="807"/>
      <c r="AA54" s="940"/>
      <c r="AB54" s="940"/>
      <c r="AC54" s="940"/>
      <c r="AD54" s="923"/>
      <c r="AE54" s="924"/>
    </row>
    <row r="55" customFormat="false" ht="12" hidden="false" customHeight="true" outlineLevel="0" collapsed="false">
      <c r="A55" s="951"/>
      <c r="B55" s="952"/>
      <c r="D55" s="807"/>
      <c r="G55" s="807"/>
      <c r="H55" s="807"/>
      <c r="I55" s="807"/>
      <c r="J55" s="807"/>
      <c r="K55" s="807"/>
      <c r="L55" s="807"/>
      <c r="M55" s="807"/>
      <c r="N55" s="807"/>
      <c r="O55" s="807"/>
      <c r="P55" s="807"/>
      <c r="Q55" s="807"/>
      <c r="R55" s="807"/>
      <c r="S55" s="807"/>
      <c r="T55" s="807"/>
      <c r="U55" s="807"/>
      <c r="V55" s="807"/>
      <c r="W55" s="807"/>
      <c r="X55" s="807"/>
      <c r="Y55" s="807"/>
      <c r="Z55" s="807"/>
      <c r="AA55" s="940"/>
      <c r="AB55" s="940"/>
      <c r="AC55" s="940"/>
      <c r="AD55" s="923"/>
      <c r="AE55" s="924"/>
    </row>
    <row r="56" customFormat="false" ht="12" hidden="false" customHeight="true" outlineLevel="0" collapsed="false">
      <c r="A56" s="951"/>
      <c r="B56" s="953"/>
      <c r="C56" s="1" t="s">
        <v>667</v>
      </c>
      <c r="D56" s="954"/>
      <c r="E56" s="954"/>
      <c r="F56" s="954"/>
      <c r="G56" s="954"/>
      <c r="H56" s="954"/>
      <c r="I56" s="954"/>
      <c r="J56" s="954"/>
      <c r="K56" s="954"/>
      <c r="L56" s="954"/>
      <c r="M56" s="954"/>
      <c r="N56" s="954"/>
      <c r="O56" s="954"/>
      <c r="P56" s="954"/>
      <c r="Q56" s="954"/>
      <c r="R56" s="954"/>
      <c r="S56" s="954"/>
      <c r="T56" s="954"/>
      <c r="U56" s="954"/>
      <c r="V56" s="954"/>
      <c r="W56" s="954"/>
      <c r="X56" s="954"/>
      <c r="Y56" s="807"/>
      <c r="Z56" s="807"/>
      <c r="AA56" s="940"/>
      <c r="AB56" s="940"/>
      <c r="AC56" s="940"/>
      <c r="AD56" s="923"/>
      <c r="AE56" s="924"/>
    </row>
    <row r="57" customFormat="false" ht="11.25" hidden="false" customHeight="false" outlineLevel="0" collapsed="false">
      <c r="A57" s="1" t="s">
        <v>673</v>
      </c>
      <c r="C57" s="955" t="n">
        <f aca="false">AVERAGE(D57:W57)</f>
        <v>596.036761518168</v>
      </c>
      <c r="D57" s="438" t="n">
        <f aca="false">SUM(D51:D53)</f>
        <v>0</v>
      </c>
      <c r="E57" s="438" t="n">
        <f aca="false">SUM(E51:E53)</f>
        <v>549.163698374115</v>
      </c>
      <c r="F57" s="438" t="n">
        <f aca="false">SUM(F51:F53)</f>
        <v>538.069482245345</v>
      </c>
      <c r="G57" s="438" t="n">
        <f aca="false">SUM(G51:G53)</f>
        <v>526.975266116575</v>
      </c>
      <c r="H57" s="438" t="n">
        <f aca="false">SUM(H51:H53)</f>
        <v>515.881049987805</v>
      </c>
      <c r="I57" s="438" t="n">
        <f aca="false">SUM(I51:I53)</f>
        <v>504.786833859035</v>
      </c>
      <c r="J57" s="438" t="n">
        <f aca="false">SUM(J51:J53)</f>
        <v>493.692617730265</v>
      </c>
      <c r="K57" s="438" t="n">
        <f aca="false">SUM(K51:K53)</f>
        <v>477.05129353711</v>
      </c>
      <c r="L57" s="438" t="n">
        <f aca="false">SUM(L51:L53)</f>
        <v>460.409969343955</v>
      </c>
      <c r="M57" s="438" t="n">
        <f aca="false">SUM(M51:M53)</f>
        <v>443.7686451508</v>
      </c>
      <c r="N57" s="438" t="n">
        <f aca="false">SUM(N51:N53)</f>
        <v>421.58021289326</v>
      </c>
      <c r="O57" s="438" t="n">
        <f aca="false">SUM(O51:O53)</f>
        <v>1198.17534190716</v>
      </c>
      <c r="P57" s="438" t="n">
        <f aca="false">SUM(P51:P53)</f>
        <v>1114.96872094139</v>
      </c>
      <c r="Q57" s="438" t="n">
        <f aca="false">SUM(Q51:Q53)</f>
        <v>1015.12077578246</v>
      </c>
      <c r="R57" s="438" t="n">
        <f aca="false">SUM(R51:R53)</f>
        <v>915.272830623525</v>
      </c>
      <c r="S57" s="438" t="n">
        <f aca="false">SUM(S51:S53)</f>
        <v>815.424885464595</v>
      </c>
      <c r="T57" s="438" t="n">
        <f aca="false">SUM(T51:T53)</f>
        <v>682.294291919355</v>
      </c>
      <c r="U57" s="438" t="n">
        <f aca="false">SUM(U51:U53)</f>
        <v>532.52237418096</v>
      </c>
      <c r="V57" s="438" t="n">
        <f aca="false">SUM(V51:V53)</f>
        <v>382.750456442565</v>
      </c>
      <c r="W57" s="438" t="n">
        <f aca="false">SUM(W51:W53)</f>
        <v>332.8264838631</v>
      </c>
      <c r="X57" s="438" t="n">
        <f aca="false">SUM(X51:X53)</f>
        <v>332.8264838631</v>
      </c>
      <c r="Y57" s="438"/>
      <c r="Z57" s="438"/>
      <c r="AA57" s="520"/>
      <c r="AB57" s="520"/>
      <c r="AC57" s="520"/>
      <c r="AD57" s="548"/>
      <c r="AE57" s="548"/>
      <c r="AF57" s="548"/>
      <c r="AG57" s="548"/>
      <c r="AH57" s="548"/>
      <c r="AI57" s="548"/>
      <c r="AJ57" s="548"/>
      <c r="AK57" s="548"/>
      <c r="AL57" s="548"/>
      <c r="AM57" s="548"/>
      <c r="AN57" s="548"/>
      <c r="AO57" s="548"/>
      <c r="AP57" s="548"/>
      <c r="AQ57" s="548"/>
      <c r="AR57" s="548"/>
      <c r="AS57" s="548"/>
      <c r="AT57" s="548"/>
      <c r="AU57" s="548"/>
      <c r="AV57" s="548"/>
      <c r="AW57" s="548"/>
      <c r="AX57" s="548"/>
      <c r="AY57" s="548"/>
      <c r="AZ57" s="548"/>
      <c r="BA57" s="548"/>
      <c r="BB57" s="548"/>
      <c r="BC57" s="548"/>
      <c r="BD57" s="548"/>
      <c r="BE57" s="548"/>
      <c r="BF57" s="548"/>
      <c r="BG57" s="548"/>
      <c r="BH57" s="548"/>
      <c r="BI57" s="548"/>
      <c r="BJ57" s="548"/>
      <c r="BK57" s="548"/>
      <c r="BL57" s="548"/>
      <c r="BM57" s="548"/>
      <c r="BN57" s="548"/>
      <c r="BO57" s="548"/>
      <c r="BP57" s="548"/>
      <c r="BQ57" s="548"/>
      <c r="BR57" s="548"/>
      <c r="BS57" s="548"/>
      <c r="BT57" s="548"/>
      <c r="BU57" s="548"/>
      <c r="BV57" s="548"/>
      <c r="BW57" s="548"/>
      <c r="BX57" s="548"/>
      <c r="BY57" s="548"/>
      <c r="BZ57" s="548"/>
      <c r="CA57" s="548"/>
      <c r="CB57" s="548"/>
      <c r="CC57" s="548"/>
      <c r="CD57" s="548"/>
      <c r="CE57" s="548"/>
      <c r="CF57" s="548"/>
      <c r="CG57" s="548"/>
      <c r="CH57" s="548"/>
      <c r="CI57" s="548"/>
      <c r="CJ57" s="548"/>
      <c r="CK57" s="548"/>
      <c r="CL57" s="548"/>
      <c r="CM57" s="548"/>
      <c r="CN57" s="548"/>
      <c r="CO57" s="548"/>
      <c r="CP57" s="548"/>
      <c r="CQ57" s="548"/>
      <c r="CR57" s="548"/>
      <c r="CS57" s="548"/>
      <c r="CT57" s="548"/>
      <c r="CU57" s="548"/>
      <c r="CV57" s="548"/>
      <c r="CW57" s="548"/>
      <c r="CX57" s="548"/>
      <c r="CY57" s="548"/>
      <c r="CZ57" s="548"/>
      <c r="DA57" s="548"/>
      <c r="DB57" s="548"/>
      <c r="DC57" s="548"/>
      <c r="DD57" s="548"/>
      <c r="DE57" s="548"/>
      <c r="DF57" s="548"/>
      <c r="DG57" s="548"/>
      <c r="DH57" s="548"/>
      <c r="DI57" s="548"/>
      <c r="DJ57" s="548"/>
      <c r="DK57" s="548"/>
      <c r="DL57" s="548"/>
      <c r="DM57" s="548"/>
      <c r="DN57" s="548"/>
      <c r="DO57" s="548"/>
      <c r="DP57" s="548"/>
      <c r="DQ57" s="548"/>
      <c r="DR57" s="548"/>
      <c r="DS57" s="548"/>
      <c r="DT57" s="548"/>
      <c r="DU57" s="548"/>
      <c r="DV57" s="548"/>
      <c r="DW57" s="548"/>
      <c r="DX57" s="548"/>
      <c r="DY57" s="548"/>
      <c r="DZ57" s="548"/>
      <c r="EA57" s="548"/>
      <c r="EB57" s="548"/>
      <c r="EC57" s="548"/>
      <c r="ED57" s="548"/>
      <c r="EE57" s="548"/>
      <c r="EF57" s="548"/>
      <c r="EG57" s="548"/>
      <c r="EH57" s="548"/>
      <c r="EI57" s="548"/>
      <c r="EJ57" s="548"/>
      <c r="EK57" s="548"/>
      <c r="EL57" s="548"/>
      <c r="EM57" s="548"/>
      <c r="EN57" s="548"/>
      <c r="EO57" s="548"/>
      <c r="EP57" s="548"/>
      <c r="EQ57" s="548"/>
      <c r="ER57" s="548"/>
      <c r="ES57" s="548"/>
      <c r="ET57" s="548"/>
      <c r="EU57" s="548"/>
      <c r="EV57" s="548"/>
      <c r="EW57" s="548"/>
      <c r="EX57" s="548"/>
      <c r="EY57" s="548"/>
      <c r="EZ57" s="548"/>
      <c r="FA57" s="548"/>
      <c r="FB57" s="548"/>
      <c r="FC57" s="548"/>
      <c r="FD57" s="548"/>
      <c r="FE57" s="548"/>
      <c r="FF57" s="548"/>
      <c r="FG57" s="548"/>
      <c r="FH57" s="548"/>
      <c r="FI57" s="548"/>
      <c r="FJ57" s="548"/>
      <c r="FK57" s="548"/>
      <c r="FL57" s="548"/>
      <c r="FM57" s="548"/>
      <c r="FN57" s="548"/>
      <c r="FO57" s="548"/>
      <c r="FP57" s="548"/>
      <c r="FQ57" s="548"/>
      <c r="FR57" s="548"/>
      <c r="FS57" s="548"/>
      <c r="FT57" s="548"/>
      <c r="FU57" s="548"/>
      <c r="FV57" s="548"/>
      <c r="FW57" s="548"/>
      <c r="FX57" s="548"/>
      <c r="FY57" s="548"/>
      <c r="FZ57" s="548"/>
      <c r="GA57" s="548"/>
      <c r="GB57" s="548"/>
      <c r="GC57" s="548"/>
      <c r="GD57" s="548"/>
      <c r="GE57" s="548"/>
      <c r="GF57" s="548"/>
      <c r="GG57" s="548"/>
      <c r="GH57" s="548"/>
      <c r="GI57" s="548"/>
      <c r="GJ57" s="548"/>
      <c r="GK57" s="548"/>
      <c r="GL57" s="548"/>
      <c r="GM57" s="548"/>
      <c r="GN57" s="548"/>
      <c r="GO57" s="548"/>
      <c r="GP57" s="548"/>
      <c r="GQ57" s="548"/>
      <c r="GR57" s="548"/>
      <c r="GS57" s="548"/>
      <c r="GT57" s="548"/>
      <c r="GU57" s="548"/>
      <c r="GV57" s="548"/>
      <c r="GW57" s="548"/>
      <c r="GX57" s="548"/>
      <c r="GY57" s="548"/>
      <c r="GZ57" s="548"/>
      <c r="HA57" s="548"/>
      <c r="HB57" s="548"/>
      <c r="HC57" s="548"/>
      <c r="HD57" s="548"/>
      <c r="HE57" s="548"/>
      <c r="HF57" s="548"/>
      <c r="HG57" s="548"/>
      <c r="HH57" s="548"/>
      <c r="HI57" s="548"/>
      <c r="HJ57" s="548"/>
      <c r="HK57" s="548"/>
      <c r="HL57" s="548"/>
      <c r="HM57" s="548"/>
      <c r="HN57" s="548"/>
      <c r="HO57" s="548"/>
      <c r="HP57" s="548"/>
      <c r="HQ57" s="548"/>
      <c r="HR57" s="548"/>
      <c r="HS57" s="548"/>
      <c r="HT57" s="548"/>
      <c r="HU57" s="548"/>
      <c r="HV57" s="548"/>
      <c r="HW57" s="548"/>
      <c r="HX57" s="548"/>
      <c r="HY57" s="548"/>
      <c r="HZ57" s="548"/>
      <c r="IA57" s="548"/>
      <c r="IB57" s="548"/>
      <c r="IC57" s="548"/>
      <c r="ID57" s="548"/>
      <c r="IE57" s="548"/>
      <c r="IF57" s="548"/>
      <c r="IG57" s="548"/>
      <c r="IH57" s="548"/>
      <c r="II57" s="548"/>
      <c r="IJ57" s="548"/>
      <c r="IK57" s="548"/>
      <c r="IL57" s="548"/>
      <c r="IM57" s="548"/>
      <c r="IN57" s="548"/>
      <c r="IO57" s="548"/>
      <c r="IP57" s="548"/>
      <c r="IQ57" s="548"/>
      <c r="IR57" s="548"/>
      <c r="IS57" s="548"/>
      <c r="IT57" s="548"/>
      <c r="IU57" s="548"/>
      <c r="IV57" s="548"/>
      <c r="IW57" s="548"/>
    </row>
    <row r="58" customFormat="false" ht="11.25" hidden="false" customHeight="true" outlineLevel="0" collapsed="false">
      <c r="A58" s="892"/>
      <c r="B58" s="956"/>
      <c r="D58" s="438"/>
      <c r="E58" s="438"/>
      <c r="F58" s="438"/>
      <c r="G58" s="438"/>
      <c r="H58" s="438"/>
      <c r="I58" s="438"/>
      <c r="J58" s="438"/>
      <c r="K58" s="438"/>
      <c r="L58" s="438"/>
      <c r="M58" s="438"/>
      <c r="N58" s="438"/>
      <c r="O58" s="438"/>
      <c r="P58" s="438"/>
      <c r="Q58" s="438"/>
      <c r="R58" s="438"/>
      <c r="S58" s="438"/>
      <c r="T58" s="438"/>
      <c r="U58" s="438"/>
      <c r="V58" s="438"/>
      <c r="W58" s="438"/>
      <c r="X58" s="438"/>
      <c r="Y58" s="438"/>
      <c r="Z58" s="438"/>
      <c r="AA58" s="713"/>
      <c r="AB58" s="713"/>
      <c r="AC58" s="923"/>
      <c r="AD58" s="923"/>
      <c r="AE58" s="924"/>
    </row>
    <row r="59" customFormat="false" ht="12.75" hidden="false" customHeight="false" outlineLevel="0" collapsed="false">
      <c r="A59" s="5"/>
      <c r="B59" s="5"/>
      <c r="C59" s="5"/>
      <c r="D59" s="5"/>
      <c r="E59" s="5"/>
      <c r="F59" s="5"/>
      <c r="G59" s="5"/>
      <c r="H59" s="5"/>
      <c r="I59" s="5"/>
      <c r="J59" s="5"/>
      <c r="K59" s="5"/>
      <c r="L59" s="5"/>
      <c r="M59" s="5"/>
      <c r="N59" s="5"/>
      <c r="O59" s="5"/>
      <c r="P59" s="5"/>
      <c r="Q59" s="5"/>
      <c r="R59" s="5"/>
      <c r="S59" s="5"/>
      <c r="T59" s="5"/>
      <c r="U59" s="5"/>
      <c r="V59" s="5"/>
      <c r="W59" s="5"/>
      <c r="X59" s="5"/>
      <c r="Y59" s="5"/>
      <c r="Z59" s="5"/>
      <c r="AA59" s="0"/>
      <c r="AB59" s="0"/>
      <c r="AC59" s="0"/>
      <c r="AD59" s="0"/>
      <c r="AE59" s="0"/>
      <c r="AF59" s="0"/>
      <c r="AG59" s="0"/>
      <c r="AH59" s="0"/>
      <c r="AI59" s="0"/>
      <c r="AJ59" s="0"/>
      <c r="AK59" s="0"/>
      <c r="AL59" s="0"/>
      <c r="AM59" s="0"/>
      <c r="AN59" s="0"/>
      <c r="AO59" s="0"/>
      <c r="AP59" s="0"/>
      <c r="AQ59" s="0"/>
      <c r="AR59" s="0"/>
      <c r="AS59" s="0"/>
      <c r="AT59" s="0"/>
      <c r="AU59" s="0"/>
      <c r="AV59" s="0"/>
      <c r="AW59" s="0"/>
      <c r="AX59" s="0"/>
      <c r="AY59" s="0"/>
      <c r="AZ59" s="0"/>
      <c r="BA59" s="0"/>
      <c r="BB59" s="0"/>
      <c r="BC59" s="0"/>
      <c r="BD59" s="0"/>
      <c r="BE59" s="0"/>
      <c r="BF59" s="0"/>
      <c r="BG59" s="0"/>
      <c r="BH59" s="0"/>
      <c r="BI59" s="0"/>
      <c r="BJ59" s="0"/>
      <c r="BK59" s="0"/>
      <c r="BL59" s="0"/>
      <c r="BM59" s="0"/>
      <c r="BN59" s="0"/>
      <c r="BO59" s="0"/>
      <c r="BP59" s="0"/>
      <c r="BQ59" s="0"/>
      <c r="BR59" s="0"/>
      <c r="BS59" s="0"/>
      <c r="BT59" s="0"/>
      <c r="BU59" s="0"/>
      <c r="BV59" s="0"/>
      <c r="BW59" s="0"/>
      <c r="BX59" s="0"/>
      <c r="BY59" s="0"/>
      <c r="BZ59" s="0"/>
      <c r="CA59" s="0"/>
      <c r="CB59" s="0"/>
      <c r="CC59" s="0"/>
      <c r="CD59" s="0"/>
      <c r="CE59" s="0"/>
      <c r="CF59" s="0"/>
      <c r="CG59" s="0"/>
      <c r="CH59" s="0"/>
      <c r="CI59" s="0"/>
      <c r="CJ59" s="0"/>
      <c r="CK59" s="0"/>
      <c r="CL59" s="0"/>
      <c r="CM59" s="0"/>
      <c r="CN59" s="0"/>
      <c r="CO59" s="0"/>
      <c r="CP59" s="0"/>
      <c r="CQ59" s="0"/>
      <c r="CR59" s="0"/>
      <c r="CS59" s="0"/>
      <c r="CT59" s="0"/>
      <c r="CU59" s="0"/>
      <c r="CV59" s="0"/>
      <c r="CW59" s="0"/>
      <c r="CX59" s="0"/>
      <c r="CY59" s="0"/>
      <c r="CZ59" s="0"/>
      <c r="DA59" s="0"/>
      <c r="DB59" s="0"/>
      <c r="DC59" s="0"/>
      <c r="DD59" s="0"/>
      <c r="DE59" s="0"/>
      <c r="DF59" s="0"/>
      <c r="DG59" s="0"/>
      <c r="DH59" s="0"/>
      <c r="DI59" s="0"/>
      <c r="DJ59" s="0"/>
      <c r="DK59" s="0"/>
      <c r="DL59" s="0"/>
      <c r="DM59" s="0"/>
      <c r="DN59" s="0"/>
      <c r="DO59" s="0"/>
      <c r="DP59" s="0"/>
      <c r="DQ59" s="0"/>
      <c r="DR59" s="0"/>
      <c r="DS59" s="0"/>
      <c r="DT59" s="0"/>
      <c r="DU59" s="0"/>
      <c r="DV59" s="0"/>
      <c r="DW59" s="0"/>
      <c r="DX59" s="0"/>
      <c r="DY59" s="0"/>
      <c r="DZ59" s="0"/>
      <c r="EA59" s="0"/>
      <c r="EB59" s="0"/>
      <c r="EC59" s="0"/>
      <c r="ED59" s="0"/>
      <c r="EE59" s="0"/>
      <c r="EF59" s="0"/>
      <c r="EG59" s="0"/>
      <c r="EH59" s="0"/>
      <c r="EI59" s="0"/>
      <c r="EJ59" s="0"/>
      <c r="EK59" s="0"/>
      <c r="EL59" s="0"/>
      <c r="EM59" s="0"/>
      <c r="EN59" s="0"/>
      <c r="EO59" s="0"/>
      <c r="EP59" s="0"/>
      <c r="EQ59" s="0"/>
      <c r="ER59" s="0"/>
      <c r="ES59" s="0"/>
      <c r="ET59" s="0"/>
      <c r="EU59" s="0"/>
      <c r="EV59" s="0"/>
      <c r="EW59" s="0"/>
      <c r="EX59" s="0"/>
      <c r="EY59" s="0"/>
      <c r="EZ59" s="0"/>
      <c r="FA59" s="0"/>
      <c r="FB59" s="0"/>
      <c r="FC59" s="0"/>
      <c r="FD59" s="0"/>
      <c r="FE59" s="0"/>
      <c r="FF59" s="0"/>
      <c r="FG59" s="0"/>
      <c r="FH59" s="0"/>
      <c r="FI59" s="0"/>
      <c r="FJ59" s="0"/>
      <c r="FK59" s="0"/>
      <c r="FL59" s="0"/>
      <c r="FM59" s="0"/>
      <c r="FN59" s="0"/>
      <c r="FO59" s="0"/>
      <c r="FP59" s="0"/>
      <c r="FQ59" s="0"/>
      <c r="FR59" s="0"/>
      <c r="FS59" s="0"/>
      <c r="FT59" s="0"/>
      <c r="FU59" s="0"/>
      <c r="FV59" s="0"/>
      <c r="FW59" s="0"/>
      <c r="FX59" s="0"/>
      <c r="FY59" s="0"/>
      <c r="FZ59" s="0"/>
      <c r="GA59" s="0"/>
      <c r="GB59" s="0"/>
      <c r="GC59" s="0"/>
      <c r="GD59" s="0"/>
      <c r="GE59" s="0"/>
      <c r="GF59" s="0"/>
      <c r="GG59" s="0"/>
      <c r="GH59" s="0"/>
      <c r="GI59" s="0"/>
      <c r="GJ59" s="0"/>
      <c r="GK59" s="0"/>
      <c r="GL59" s="0"/>
      <c r="GM59" s="0"/>
      <c r="GN59" s="0"/>
      <c r="GO59" s="0"/>
      <c r="GP59" s="0"/>
      <c r="GQ59" s="0"/>
      <c r="GR59" s="0"/>
      <c r="GS59" s="0"/>
      <c r="GT59" s="0"/>
      <c r="GU59" s="0"/>
      <c r="GV59" s="0"/>
      <c r="GW59" s="0"/>
      <c r="GX59" s="0"/>
      <c r="GY59" s="0"/>
      <c r="GZ59" s="0"/>
      <c r="HA59" s="0"/>
      <c r="HB59" s="0"/>
      <c r="HC59" s="0"/>
      <c r="HD59" s="0"/>
      <c r="HE59" s="0"/>
      <c r="HF59" s="0"/>
      <c r="HG59" s="0"/>
      <c r="HH59" s="0"/>
      <c r="HI59" s="0"/>
      <c r="HJ59" s="0"/>
      <c r="HK59" s="0"/>
      <c r="HL59" s="0"/>
      <c r="HM59" s="0"/>
      <c r="HN59" s="0"/>
      <c r="HO59" s="0"/>
      <c r="HP59" s="0"/>
      <c r="HQ59" s="0"/>
      <c r="HR59" s="0"/>
      <c r="HS59" s="0"/>
      <c r="HT59" s="0"/>
      <c r="HU59" s="0"/>
      <c r="HV59" s="0"/>
      <c r="HW59" s="0"/>
      <c r="HX59" s="0"/>
      <c r="HY59" s="0"/>
      <c r="HZ59" s="0"/>
      <c r="IA59" s="0"/>
      <c r="IB59" s="0"/>
      <c r="IC59" s="0"/>
      <c r="ID59" s="0"/>
      <c r="IE59" s="0"/>
      <c r="IF59" s="0"/>
      <c r="IG59" s="0"/>
      <c r="IH59" s="0"/>
      <c r="II59" s="0"/>
      <c r="IJ59" s="0"/>
      <c r="IK59" s="0"/>
      <c r="IL59" s="0"/>
      <c r="IM59" s="0"/>
      <c r="IN59" s="0"/>
      <c r="IO59" s="0"/>
      <c r="IP59" s="0"/>
      <c r="IQ59" s="0"/>
      <c r="IR59" s="0"/>
      <c r="IS59" s="0"/>
      <c r="IT59" s="0"/>
      <c r="IU59" s="0"/>
      <c r="IV59" s="0"/>
      <c r="IW59" s="0"/>
    </row>
    <row r="60" customFormat="false" ht="12.75" hidden="false" customHeight="false" outlineLevel="0" collapsed="false">
      <c r="A60" s="5"/>
      <c r="B60" s="5"/>
      <c r="C60" s="5"/>
      <c r="D60" s="5"/>
      <c r="E60" s="5"/>
      <c r="F60" s="5"/>
      <c r="G60" s="5"/>
      <c r="H60" s="5"/>
      <c r="I60" s="5"/>
      <c r="J60" s="5"/>
      <c r="K60" s="5"/>
      <c r="L60" s="5"/>
      <c r="M60" s="5"/>
      <c r="N60" s="5"/>
      <c r="O60" s="5"/>
      <c r="P60" s="5"/>
      <c r="Q60" s="5"/>
      <c r="R60" s="5"/>
      <c r="S60" s="5"/>
      <c r="T60" s="5"/>
      <c r="U60" s="5"/>
      <c r="V60" s="5"/>
      <c r="W60" s="5"/>
      <c r="X60" s="5"/>
      <c r="Y60" s="5"/>
      <c r="Z60" s="5"/>
      <c r="AA60" s="0"/>
      <c r="AB60" s="0"/>
      <c r="AC60" s="0"/>
      <c r="AD60" s="0"/>
      <c r="AE60" s="0"/>
      <c r="AF60" s="0"/>
      <c r="AG60" s="0"/>
      <c r="AH60" s="0"/>
      <c r="AI60" s="0"/>
      <c r="AJ60" s="0"/>
      <c r="AK60" s="0"/>
      <c r="AL60" s="0"/>
      <c r="AM60" s="0"/>
      <c r="AN60" s="0"/>
      <c r="AO60" s="0"/>
      <c r="AP60" s="0"/>
      <c r="AQ60" s="0"/>
      <c r="AR60" s="0"/>
      <c r="AS60" s="0"/>
      <c r="AT60" s="0"/>
      <c r="AU60" s="0"/>
      <c r="AV60" s="0"/>
      <c r="AW60" s="0"/>
      <c r="AX60" s="0"/>
      <c r="AY60" s="0"/>
      <c r="AZ60" s="0"/>
      <c r="BA60" s="0"/>
      <c r="BB60" s="0"/>
      <c r="BC60" s="0"/>
      <c r="BD60" s="0"/>
      <c r="BE60" s="0"/>
      <c r="BF60" s="0"/>
      <c r="BG60" s="0"/>
      <c r="BH60" s="0"/>
      <c r="BI60" s="0"/>
      <c r="BJ60" s="0"/>
      <c r="BK60" s="0"/>
      <c r="BL60" s="0"/>
      <c r="BM60" s="0"/>
      <c r="BN60" s="0"/>
      <c r="BO60" s="0"/>
      <c r="BP60" s="0"/>
      <c r="BQ60" s="0"/>
      <c r="BR60" s="0"/>
      <c r="BS60" s="0"/>
      <c r="BT60" s="0"/>
      <c r="BU60" s="0"/>
      <c r="BV60" s="0"/>
      <c r="BW60" s="0"/>
      <c r="BX60" s="0"/>
      <c r="BY60" s="0"/>
      <c r="BZ60" s="0"/>
      <c r="CA60" s="0"/>
      <c r="CB60" s="0"/>
      <c r="CC60" s="0"/>
      <c r="CD60" s="0"/>
      <c r="CE60" s="0"/>
      <c r="CF60" s="0"/>
      <c r="CG60" s="0"/>
      <c r="CH60" s="0"/>
      <c r="CI60" s="0"/>
      <c r="CJ60" s="0"/>
      <c r="CK60" s="0"/>
      <c r="CL60" s="0"/>
      <c r="CM60" s="0"/>
      <c r="CN60" s="0"/>
      <c r="CO60" s="0"/>
      <c r="CP60" s="0"/>
      <c r="CQ60" s="0"/>
      <c r="CR60" s="0"/>
      <c r="CS60" s="0"/>
      <c r="CT60" s="0"/>
      <c r="CU60" s="0"/>
      <c r="CV60" s="0"/>
      <c r="CW60" s="0"/>
      <c r="CX60" s="0"/>
      <c r="CY60" s="0"/>
      <c r="CZ60" s="0"/>
      <c r="DA60" s="0"/>
      <c r="DB60" s="0"/>
      <c r="DC60" s="0"/>
      <c r="DD60" s="0"/>
      <c r="DE60" s="0"/>
      <c r="DF60" s="0"/>
      <c r="DG60" s="0"/>
      <c r="DH60" s="0"/>
      <c r="DI60" s="0"/>
      <c r="DJ60" s="0"/>
      <c r="DK60" s="0"/>
      <c r="DL60" s="0"/>
      <c r="DM60" s="0"/>
      <c r="DN60" s="0"/>
      <c r="DO60" s="0"/>
      <c r="DP60" s="0"/>
      <c r="DQ60" s="0"/>
      <c r="DR60" s="0"/>
      <c r="DS60" s="0"/>
      <c r="DT60" s="0"/>
      <c r="DU60" s="0"/>
      <c r="DV60" s="0"/>
      <c r="DW60" s="0"/>
      <c r="DX60" s="0"/>
      <c r="DY60" s="0"/>
      <c r="DZ60" s="0"/>
      <c r="EA60" s="0"/>
      <c r="EB60" s="0"/>
      <c r="EC60" s="0"/>
      <c r="ED60" s="0"/>
      <c r="EE60" s="0"/>
      <c r="EF60" s="0"/>
      <c r="EG60" s="0"/>
      <c r="EH60" s="0"/>
      <c r="EI60" s="0"/>
      <c r="EJ60" s="0"/>
      <c r="EK60" s="0"/>
      <c r="EL60" s="0"/>
      <c r="EM60" s="0"/>
      <c r="EN60" s="0"/>
      <c r="EO60" s="0"/>
      <c r="EP60" s="0"/>
      <c r="EQ60" s="0"/>
      <c r="ER60" s="0"/>
      <c r="ES60" s="0"/>
      <c r="ET60" s="0"/>
      <c r="EU60" s="0"/>
      <c r="EV60" s="0"/>
      <c r="EW60" s="0"/>
      <c r="EX60" s="0"/>
      <c r="EY60" s="0"/>
      <c r="EZ60" s="0"/>
      <c r="FA60" s="0"/>
      <c r="FB60" s="0"/>
      <c r="FC60" s="0"/>
      <c r="FD60" s="0"/>
      <c r="FE60" s="0"/>
      <c r="FF60" s="0"/>
      <c r="FG60" s="0"/>
      <c r="FH60" s="0"/>
      <c r="FI60" s="0"/>
      <c r="FJ60" s="0"/>
      <c r="FK60" s="0"/>
      <c r="FL60" s="0"/>
      <c r="FM60" s="0"/>
      <c r="FN60" s="0"/>
      <c r="FO60" s="0"/>
      <c r="FP60" s="0"/>
      <c r="FQ60" s="0"/>
      <c r="FR60" s="0"/>
      <c r="FS60" s="0"/>
      <c r="FT60" s="0"/>
      <c r="FU60" s="0"/>
      <c r="FV60" s="0"/>
      <c r="FW60" s="0"/>
      <c r="FX60" s="0"/>
      <c r="FY60" s="0"/>
      <c r="FZ60" s="0"/>
      <c r="GA60" s="0"/>
      <c r="GB60" s="0"/>
      <c r="GC60" s="0"/>
      <c r="GD60" s="0"/>
      <c r="GE60" s="0"/>
      <c r="GF60" s="0"/>
      <c r="GG60" s="0"/>
      <c r="GH60" s="0"/>
      <c r="GI60" s="0"/>
      <c r="GJ60" s="0"/>
      <c r="GK60" s="0"/>
      <c r="GL60" s="0"/>
      <c r="GM60" s="0"/>
      <c r="GN60" s="0"/>
      <c r="GO60" s="0"/>
      <c r="GP60" s="0"/>
      <c r="GQ60" s="0"/>
      <c r="GR60" s="0"/>
      <c r="GS60" s="0"/>
      <c r="GT60" s="0"/>
      <c r="GU60" s="0"/>
      <c r="GV60" s="0"/>
      <c r="GW60" s="0"/>
      <c r="GX60" s="0"/>
      <c r="GY60" s="0"/>
      <c r="GZ60" s="0"/>
      <c r="HA60" s="0"/>
      <c r="HB60" s="0"/>
      <c r="HC60" s="0"/>
      <c r="HD60" s="0"/>
      <c r="HE60" s="0"/>
      <c r="HF60" s="0"/>
      <c r="HG60" s="0"/>
      <c r="HH60" s="0"/>
      <c r="HI60" s="0"/>
      <c r="HJ60" s="0"/>
      <c r="HK60" s="0"/>
      <c r="HL60" s="0"/>
      <c r="HM60" s="0"/>
      <c r="HN60" s="0"/>
      <c r="HO60" s="0"/>
      <c r="HP60" s="0"/>
      <c r="HQ60" s="0"/>
      <c r="HR60" s="0"/>
      <c r="HS60" s="0"/>
      <c r="HT60" s="0"/>
      <c r="HU60" s="0"/>
      <c r="HV60" s="0"/>
      <c r="HW60" s="0"/>
      <c r="HX60" s="0"/>
      <c r="HY60" s="0"/>
      <c r="HZ60" s="0"/>
      <c r="IA60" s="0"/>
      <c r="IB60" s="0"/>
      <c r="IC60" s="0"/>
      <c r="ID60" s="0"/>
      <c r="IE60" s="0"/>
      <c r="IF60" s="0"/>
      <c r="IG60" s="0"/>
      <c r="IH60" s="0"/>
      <c r="II60" s="0"/>
      <c r="IJ60" s="0"/>
      <c r="IK60" s="0"/>
      <c r="IL60" s="0"/>
      <c r="IM60" s="0"/>
      <c r="IN60" s="0"/>
      <c r="IO60" s="0"/>
      <c r="IP60" s="0"/>
      <c r="IQ60" s="0"/>
      <c r="IR60" s="0"/>
      <c r="IS60" s="0"/>
      <c r="IT60" s="0"/>
      <c r="IU60" s="0"/>
      <c r="IV60" s="0"/>
      <c r="IW60" s="0"/>
    </row>
    <row r="61" customFormat="false" ht="12" hidden="false" customHeight="true" outlineLevel="0" collapsed="false">
      <c r="A61" s="5"/>
      <c r="B61" s="5"/>
      <c r="C61" s="5"/>
      <c r="D61" s="5"/>
      <c r="E61" s="5"/>
      <c r="F61" s="5"/>
      <c r="G61" s="5"/>
      <c r="H61" s="5"/>
      <c r="I61" s="5"/>
      <c r="J61" s="5"/>
      <c r="K61" s="5"/>
      <c r="L61" s="5"/>
      <c r="M61" s="5"/>
      <c r="N61" s="5"/>
      <c r="O61" s="5"/>
      <c r="P61" s="5"/>
      <c r="Q61" s="5"/>
      <c r="R61" s="5"/>
      <c r="S61" s="5"/>
      <c r="T61" s="5"/>
      <c r="U61" s="5"/>
      <c r="V61" s="5"/>
      <c r="W61" s="5"/>
      <c r="X61" s="5"/>
      <c r="Y61" s="5"/>
      <c r="Z61" s="5"/>
      <c r="AA61" s="0"/>
      <c r="AB61" s="0"/>
      <c r="AC61" s="0"/>
      <c r="AD61" s="0"/>
      <c r="AE61" s="0"/>
      <c r="AF61" s="0"/>
      <c r="AG61" s="0"/>
      <c r="AH61" s="0"/>
      <c r="AI61" s="0"/>
      <c r="AJ61" s="0"/>
      <c r="AK61" s="0"/>
      <c r="AL61" s="0"/>
      <c r="AM61" s="0"/>
      <c r="AN61" s="0"/>
      <c r="AO61" s="0"/>
      <c r="AP61" s="0"/>
      <c r="AQ61" s="0"/>
      <c r="AR61" s="0"/>
      <c r="AS61" s="0"/>
      <c r="AT61" s="0"/>
      <c r="AU61" s="0"/>
      <c r="AV61" s="0"/>
      <c r="AW61" s="0"/>
      <c r="AX61" s="0"/>
      <c r="AY61" s="0"/>
      <c r="AZ61" s="0"/>
      <c r="BA61" s="0"/>
      <c r="BB61" s="0"/>
      <c r="BC61" s="0"/>
      <c r="BD61" s="0"/>
      <c r="BE61" s="0"/>
      <c r="BF61" s="0"/>
      <c r="BG61" s="0"/>
      <c r="BH61" s="0"/>
      <c r="BI61" s="0"/>
      <c r="BJ61" s="0"/>
      <c r="BK61" s="0"/>
      <c r="BL61" s="0"/>
      <c r="BM61" s="0"/>
      <c r="BN61" s="0"/>
      <c r="BO61" s="0"/>
      <c r="BP61" s="0"/>
      <c r="BQ61" s="0"/>
      <c r="BR61" s="0"/>
      <c r="BS61" s="0"/>
      <c r="BT61" s="0"/>
      <c r="BU61" s="0"/>
      <c r="BV61" s="0"/>
      <c r="BW61" s="0"/>
      <c r="BX61" s="0"/>
      <c r="BY61" s="0"/>
      <c r="BZ61" s="0"/>
      <c r="CA61" s="0"/>
      <c r="CB61" s="0"/>
      <c r="CC61" s="0"/>
      <c r="CD61" s="0"/>
      <c r="CE61" s="0"/>
      <c r="CF61" s="0"/>
      <c r="CG61" s="0"/>
      <c r="CH61" s="0"/>
      <c r="CI61" s="0"/>
      <c r="CJ61" s="0"/>
      <c r="CK61" s="0"/>
      <c r="CL61" s="0"/>
      <c r="CM61" s="0"/>
      <c r="CN61" s="0"/>
      <c r="CO61" s="0"/>
      <c r="CP61" s="0"/>
      <c r="CQ61" s="0"/>
      <c r="CR61" s="0"/>
      <c r="CS61" s="0"/>
      <c r="CT61" s="0"/>
      <c r="CU61" s="0"/>
      <c r="CV61" s="0"/>
      <c r="CW61" s="0"/>
      <c r="CX61" s="0"/>
      <c r="CY61" s="0"/>
      <c r="CZ61" s="0"/>
      <c r="DA61" s="0"/>
      <c r="DB61" s="0"/>
      <c r="DC61" s="0"/>
      <c r="DD61" s="0"/>
      <c r="DE61" s="0"/>
      <c r="DF61" s="0"/>
      <c r="DG61" s="0"/>
      <c r="DH61" s="0"/>
      <c r="DI61" s="0"/>
      <c r="DJ61" s="0"/>
      <c r="DK61" s="0"/>
      <c r="DL61" s="0"/>
      <c r="DM61" s="0"/>
      <c r="DN61" s="0"/>
      <c r="DO61" s="0"/>
      <c r="DP61" s="0"/>
      <c r="DQ61" s="0"/>
      <c r="DR61" s="0"/>
      <c r="DS61" s="0"/>
      <c r="DT61" s="0"/>
      <c r="DU61" s="0"/>
      <c r="DV61" s="0"/>
      <c r="DW61" s="0"/>
      <c r="DX61" s="0"/>
      <c r="DY61" s="0"/>
      <c r="DZ61" s="0"/>
      <c r="EA61" s="0"/>
      <c r="EB61" s="0"/>
      <c r="EC61" s="0"/>
      <c r="ED61" s="0"/>
      <c r="EE61" s="0"/>
      <c r="EF61" s="0"/>
      <c r="EG61" s="0"/>
      <c r="EH61" s="0"/>
      <c r="EI61" s="0"/>
      <c r="EJ61" s="0"/>
      <c r="EK61" s="0"/>
      <c r="EL61" s="0"/>
      <c r="EM61" s="0"/>
      <c r="EN61" s="0"/>
      <c r="EO61" s="0"/>
      <c r="EP61" s="0"/>
      <c r="EQ61" s="0"/>
      <c r="ER61" s="0"/>
      <c r="ES61" s="0"/>
      <c r="ET61" s="0"/>
      <c r="EU61" s="0"/>
      <c r="EV61" s="0"/>
      <c r="EW61" s="0"/>
      <c r="EX61" s="0"/>
      <c r="EY61" s="0"/>
      <c r="EZ61" s="0"/>
      <c r="FA61" s="0"/>
      <c r="FB61" s="0"/>
      <c r="FC61" s="0"/>
      <c r="FD61" s="0"/>
      <c r="FE61" s="0"/>
      <c r="FF61" s="0"/>
      <c r="FG61" s="0"/>
      <c r="FH61" s="0"/>
      <c r="FI61" s="0"/>
      <c r="FJ61" s="0"/>
      <c r="FK61" s="0"/>
      <c r="FL61" s="0"/>
      <c r="FM61" s="0"/>
      <c r="FN61" s="0"/>
      <c r="FO61" s="0"/>
      <c r="FP61" s="0"/>
      <c r="FQ61" s="0"/>
      <c r="FR61" s="0"/>
      <c r="FS61" s="0"/>
      <c r="FT61" s="0"/>
      <c r="FU61" s="0"/>
      <c r="FV61" s="0"/>
      <c r="FW61" s="0"/>
      <c r="FX61" s="0"/>
      <c r="FY61" s="0"/>
      <c r="FZ61" s="0"/>
      <c r="GA61" s="0"/>
      <c r="GB61" s="0"/>
      <c r="GC61" s="0"/>
      <c r="GD61" s="0"/>
      <c r="GE61" s="0"/>
      <c r="GF61" s="0"/>
      <c r="GG61" s="0"/>
      <c r="GH61" s="0"/>
      <c r="GI61" s="0"/>
      <c r="GJ61" s="0"/>
      <c r="GK61" s="0"/>
      <c r="GL61" s="0"/>
      <c r="GM61" s="0"/>
      <c r="GN61" s="0"/>
      <c r="GO61" s="0"/>
      <c r="GP61" s="0"/>
      <c r="GQ61" s="0"/>
      <c r="GR61" s="0"/>
      <c r="GS61" s="0"/>
      <c r="GT61" s="0"/>
      <c r="GU61" s="0"/>
      <c r="GV61" s="0"/>
      <c r="GW61" s="0"/>
      <c r="GX61" s="0"/>
      <c r="GY61" s="0"/>
      <c r="GZ61" s="0"/>
      <c r="HA61" s="0"/>
      <c r="HB61" s="0"/>
      <c r="HC61" s="0"/>
      <c r="HD61" s="0"/>
      <c r="HE61" s="0"/>
      <c r="HF61" s="0"/>
      <c r="HG61" s="0"/>
      <c r="HH61" s="0"/>
      <c r="HI61" s="0"/>
      <c r="HJ61" s="0"/>
      <c r="HK61" s="0"/>
      <c r="HL61" s="0"/>
      <c r="HM61" s="0"/>
      <c r="HN61" s="0"/>
      <c r="HO61" s="0"/>
      <c r="HP61" s="0"/>
      <c r="HQ61" s="0"/>
      <c r="HR61" s="0"/>
      <c r="HS61" s="0"/>
      <c r="HT61" s="0"/>
      <c r="HU61" s="0"/>
      <c r="HV61" s="0"/>
      <c r="HW61" s="0"/>
      <c r="HX61" s="0"/>
      <c r="HY61" s="0"/>
      <c r="HZ61" s="0"/>
      <c r="IA61" s="0"/>
      <c r="IB61" s="0"/>
      <c r="IC61" s="0"/>
      <c r="ID61" s="0"/>
      <c r="IE61" s="0"/>
      <c r="IF61" s="0"/>
      <c r="IG61" s="0"/>
      <c r="IH61" s="0"/>
      <c r="II61" s="0"/>
      <c r="IJ61" s="0"/>
      <c r="IK61" s="0"/>
      <c r="IL61" s="0"/>
      <c r="IM61" s="0"/>
      <c r="IN61" s="0"/>
      <c r="IO61" s="0"/>
      <c r="IP61" s="0"/>
      <c r="IQ61" s="0"/>
      <c r="IR61" s="0"/>
      <c r="IS61" s="0"/>
      <c r="IT61" s="0"/>
      <c r="IU61" s="0"/>
      <c r="IV61" s="0"/>
      <c r="IW61" s="0"/>
    </row>
    <row r="62" customFormat="false" ht="12" hidden="false" customHeight="true" outlineLevel="0" collapsed="false">
      <c r="A62" s="5"/>
      <c r="B62" s="5"/>
      <c r="C62" s="5"/>
      <c r="D62" s="5"/>
      <c r="E62" s="5"/>
      <c r="F62" s="5"/>
      <c r="G62" s="5"/>
      <c r="H62" s="5"/>
      <c r="I62" s="5"/>
      <c r="J62" s="5"/>
      <c r="K62" s="5"/>
      <c r="L62" s="5"/>
      <c r="M62" s="5"/>
      <c r="N62" s="5"/>
      <c r="O62" s="5"/>
      <c r="P62" s="5"/>
      <c r="Q62" s="5"/>
      <c r="R62" s="5"/>
      <c r="S62" s="5"/>
      <c r="T62" s="5"/>
      <c r="U62" s="5"/>
      <c r="V62" s="5"/>
      <c r="W62" s="5"/>
      <c r="X62" s="5"/>
      <c r="Y62" s="5"/>
      <c r="Z62" s="5"/>
      <c r="AA62" s="0"/>
      <c r="AB62" s="0"/>
      <c r="AC62" s="0"/>
      <c r="AD62" s="0"/>
      <c r="AE62" s="0"/>
      <c r="AF62" s="0"/>
      <c r="AG62" s="0"/>
      <c r="AH62" s="0"/>
      <c r="AI62" s="0"/>
      <c r="AJ62" s="0"/>
      <c r="AK62" s="0"/>
      <c r="AL62" s="0"/>
      <c r="AM62" s="0"/>
      <c r="AN62" s="0"/>
      <c r="AO62" s="0"/>
      <c r="AP62" s="0"/>
      <c r="AQ62" s="0"/>
      <c r="AR62" s="0"/>
      <c r="AS62" s="0"/>
      <c r="AT62" s="0"/>
      <c r="AU62" s="0"/>
      <c r="AV62" s="0"/>
      <c r="AW62" s="0"/>
      <c r="AX62" s="0"/>
      <c r="AY62" s="0"/>
      <c r="AZ62" s="0"/>
      <c r="BA62" s="0"/>
      <c r="BB62" s="0"/>
      <c r="BC62" s="0"/>
      <c r="BD62" s="0"/>
      <c r="BE62" s="0"/>
      <c r="BF62" s="0"/>
      <c r="BG62" s="0"/>
      <c r="BH62" s="0"/>
      <c r="BI62" s="0"/>
      <c r="BJ62" s="0"/>
      <c r="BK62" s="0"/>
      <c r="BL62" s="0"/>
      <c r="BM62" s="0"/>
      <c r="BN62" s="0"/>
      <c r="BO62" s="0"/>
      <c r="BP62" s="0"/>
      <c r="BQ62" s="0"/>
      <c r="BR62" s="0"/>
      <c r="BS62" s="0"/>
      <c r="BT62" s="0"/>
      <c r="BU62" s="0"/>
      <c r="BV62" s="0"/>
      <c r="BW62" s="0"/>
      <c r="BX62" s="0"/>
      <c r="BY62" s="0"/>
      <c r="BZ62" s="0"/>
      <c r="CA62" s="0"/>
      <c r="CB62" s="0"/>
      <c r="CC62" s="0"/>
      <c r="CD62" s="0"/>
      <c r="CE62" s="0"/>
      <c r="CF62" s="0"/>
      <c r="CG62" s="0"/>
      <c r="CH62" s="0"/>
      <c r="CI62" s="0"/>
      <c r="CJ62" s="0"/>
      <c r="CK62" s="0"/>
      <c r="CL62" s="0"/>
      <c r="CM62" s="0"/>
      <c r="CN62" s="0"/>
      <c r="CO62" s="0"/>
      <c r="CP62" s="0"/>
      <c r="CQ62" s="0"/>
      <c r="CR62" s="0"/>
      <c r="CS62" s="0"/>
      <c r="CT62" s="0"/>
      <c r="CU62" s="0"/>
      <c r="CV62" s="0"/>
      <c r="CW62" s="0"/>
      <c r="CX62" s="0"/>
      <c r="CY62" s="0"/>
      <c r="CZ62" s="0"/>
      <c r="DA62" s="0"/>
      <c r="DB62" s="0"/>
      <c r="DC62" s="0"/>
      <c r="DD62" s="0"/>
      <c r="DE62" s="0"/>
      <c r="DF62" s="0"/>
      <c r="DG62" s="0"/>
      <c r="DH62" s="0"/>
      <c r="DI62" s="0"/>
      <c r="DJ62" s="0"/>
      <c r="DK62" s="0"/>
      <c r="DL62" s="0"/>
      <c r="DM62" s="0"/>
      <c r="DN62" s="0"/>
      <c r="DO62" s="0"/>
      <c r="DP62" s="0"/>
      <c r="DQ62" s="0"/>
      <c r="DR62" s="0"/>
      <c r="DS62" s="0"/>
      <c r="DT62" s="0"/>
      <c r="DU62" s="0"/>
      <c r="DV62" s="0"/>
      <c r="DW62" s="0"/>
      <c r="DX62" s="0"/>
      <c r="DY62" s="0"/>
      <c r="DZ62" s="0"/>
      <c r="EA62" s="0"/>
      <c r="EB62" s="0"/>
      <c r="EC62" s="0"/>
      <c r="ED62" s="0"/>
      <c r="EE62" s="0"/>
      <c r="EF62" s="0"/>
      <c r="EG62" s="0"/>
      <c r="EH62" s="0"/>
      <c r="EI62" s="0"/>
      <c r="EJ62" s="0"/>
      <c r="EK62" s="0"/>
      <c r="EL62" s="0"/>
      <c r="EM62" s="0"/>
      <c r="EN62" s="0"/>
      <c r="EO62" s="0"/>
      <c r="EP62" s="0"/>
      <c r="EQ62" s="0"/>
      <c r="ER62" s="0"/>
      <c r="ES62" s="0"/>
      <c r="ET62" s="0"/>
      <c r="EU62" s="0"/>
      <c r="EV62" s="0"/>
      <c r="EW62" s="0"/>
      <c r="EX62" s="0"/>
      <c r="EY62" s="0"/>
      <c r="EZ62" s="0"/>
      <c r="FA62" s="0"/>
      <c r="FB62" s="0"/>
      <c r="FC62" s="0"/>
      <c r="FD62" s="0"/>
      <c r="FE62" s="0"/>
      <c r="FF62" s="0"/>
      <c r="FG62" s="0"/>
      <c r="FH62" s="0"/>
      <c r="FI62" s="0"/>
      <c r="FJ62" s="0"/>
      <c r="FK62" s="0"/>
      <c r="FL62" s="0"/>
      <c r="FM62" s="0"/>
      <c r="FN62" s="0"/>
      <c r="FO62" s="0"/>
      <c r="FP62" s="0"/>
      <c r="FQ62" s="0"/>
      <c r="FR62" s="0"/>
      <c r="FS62" s="0"/>
      <c r="FT62" s="0"/>
      <c r="FU62" s="0"/>
      <c r="FV62" s="0"/>
      <c r="FW62" s="0"/>
      <c r="FX62" s="0"/>
      <c r="FY62" s="0"/>
      <c r="FZ62" s="0"/>
      <c r="GA62" s="0"/>
      <c r="GB62" s="0"/>
      <c r="GC62" s="0"/>
      <c r="GD62" s="0"/>
      <c r="GE62" s="0"/>
      <c r="GF62" s="0"/>
      <c r="GG62" s="0"/>
      <c r="GH62" s="0"/>
      <c r="GI62" s="0"/>
      <c r="GJ62" s="0"/>
      <c r="GK62" s="0"/>
      <c r="GL62" s="0"/>
      <c r="GM62" s="0"/>
      <c r="GN62" s="0"/>
      <c r="GO62" s="0"/>
      <c r="GP62" s="0"/>
      <c r="GQ62" s="0"/>
      <c r="GR62" s="0"/>
      <c r="GS62" s="0"/>
      <c r="GT62" s="0"/>
      <c r="GU62" s="0"/>
      <c r="GV62" s="0"/>
      <c r="GW62" s="0"/>
      <c r="GX62" s="0"/>
      <c r="GY62" s="0"/>
      <c r="GZ62" s="0"/>
      <c r="HA62" s="0"/>
      <c r="HB62" s="0"/>
      <c r="HC62" s="0"/>
      <c r="HD62" s="0"/>
      <c r="HE62" s="0"/>
      <c r="HF62" s="0"/>
      <c r="HG62" s="0"/>
      <c r="HH62" s="0"/>
      <c r="HI62" s="0"/>
      <c r="HJ62" s="0"/>
      <c r="HK62" s="0"/>
      <c r="HL62" s="0"/>
      <c r="HM62" s="0"/>
      <c r="HN62" s="0"/>
      <c r="HO62" s="0"/>
      <c r="HP62" s="0"/>
      <c r="HQ62" s="0"/>
      <c r="HR62" s="0"/>
      <c r="HS62" s="0"/>
      <c r="HT62" s="0"/>
      <c r="HU62" s="0"/>
      <c r="HV62" s="0"/>
      <c r="HW62" s="0"/>
      <c r="HX62" s="0"/>
      <c r="HY62" s="0"/>
      <c r="HZ62" s="0"/>
      <c r="IA62" s="0"/>
      <c r="IB62" s="0"/>
      <c r="IC62" s="0"/>
      <c r="ID62" s="0"/>
      <c r="IE62" s="0"/>
      <c r="IF62" s="0"/>
      <c r="IG62" s="0"/>
      <c r="IH62" s="0"/>
      <c r="II62" s="0"/>
      <c r="IJ62" s="0"/>
      <c r="IK62" s="0"/>
      <c r="IL62" s="0"/>
      <c r="IM62" s="0"/>
      <c r="IN62" s="0"/>
      <c r="IO62" s="0"/>
      <c r="IP62" s="0"/>
      <c r="IQ62" s="0"/>
      <c r="IR62" s="0"/>
      <c r="IS62" s="0"/>
      <c r="IT62" s="0"/>
      <c r="IU62" s="0"/>
      <c r="IV62" s="0"/>
      <c r="IW62" s="0"/>
    </row>
    <row r="63" customFormat="false" ht="12" hidden="false" customHeight="true" outlineLevel="0" collapsed="false">
      <c r="A63" s="5"/>
      <c r="B63" s="5"/>
      <c r="C63" s="5"/>
      <c r="D63" s="5"/>
      <c r="E63" s="5"/>
      <c r="F63" s="5"/>
      <c r="G63" s="5"/>
      <c r="H63" s="5"/>
      <c r="I63" s="5"/>
      <c r="J63" s="5"/>
      <c r="K63" s="5"/>
      <c r="L63" s="5"/>
      <c r="M63" s="5"/>
      <c r="N63" s="5"/>
      <c r="O63" s="5"/>
      <c r="P63" s="5"/>
      <c r="Q63" s="5"/>
      <c r="R63" s="5"/>
      <c r="S63" s="5"/>
      <c r="T63" s="5"/>
      <c r="U63" s="5"/>
      <c r="V63" s="5"/>
      <c r="W63" s="5"/>
      <c r="X63" s="5"/>
      <c r="Y63" s="5"/>
      <c r="Z63" s="5"/>
      <c r="AA63" s="0"/>
      <c r="AB63" s="0"/>
      <c r="AC63" s="0"/>
      <c r="AD63" s="0"/>
      <c r="AE63" s="0"/>
      <c r="AF63" s="0"/>
      <c r="AG63" s="0"/>
      <c r="AH63" s="0"/>
      <c r="AI63" s="0"/>
      <c r="AJ63" s="0"/>
      <c r="AK63" s="0"/>
      <c r="AL63" s="0"/>
      <c r="AM63" s="0"/>
      <c r="AN63" s="0"/>
      <c r="AO63" s="0"/>
      <c r="AP63" s="0"/>
      <c r="AQ63" s="0"/>
      <c r="AR63" s="0"/>
      <c r="AS63" s="0"/>
      <c r="AT63" s="0"/>
      <c r="AU63" s="0"/>
      <c r="AV63" s="0"/>
      <c r="AW63" s="0"/>
      <c r="AX63" s="0"/>
      <c r="AY63" s="0"/>
      <c r="AZ63" s="0"/>
      <c r="BA63" s="0"/>
      <c r="BB63" s="0"/>
      <c r="BC63" s="0"/>
      <c r="BD63" s="0"/>
      <c r="BE63" s="0"/>
      <c r="BF63" s="0"/>
      <c r="BG63" s="0"/>
      <c r="BH63" s="0"/>
      <c r="BI63" s="0"/>
      <c r="BJ63" s="0"/>
      <c r="BK63" s="0"/>
      <c r="BL63" s="0"/>
      <c r="BM63" s="0"/>
      <c r="BN63" s="0"/>
      <c r="BO63" s="0"/>
      <c r="BP63" s="0"/>
      <c r="BQ63" s="0"/>
      <c r="BR63" s="0"/>
      <c r="BS63" s="0"/>
      <c r="BT63" s="0"/>
      <c r="BU63" s="0"/>
      <c r="BV63" s="0"/>
      <c r="BW63" s="0"/>
      <c r="BX63" s="0"/>
      <c r="BY63" s="0"/>
      <c r="BZ63" s="0"/>
      <c r="CA63" s="0"/>
      <c r="CB63" s="0"/>
      <c r="CC63" s="0"/>
      <c r="CD63" s="0"/>
      <c r="CE63" s="0"/>
      <c r="CF63" s="0"/>
      <c r="CG63" s="0"/>
      <c r="CH63" s="0"/>
      <c r="CI63" s="0"/>
      <c r="CJ63" s="0"/>
      <c r="CK63" s="0"/>
      <c r="CL63" s="0"/>
      <c r="CM63" s="0"/>
      <c r="CN63" s="0"/>
      <c r="CO63" s="0"/>
      <c r="CP63" s="0"/>
      <c r="CQ63" s="0"/>
      <c r="CR63" s="0"/>
      <c r="CS63" s="0"/>
      <c r="CT63" s="0"/>
      <c r="CU63" s="0"/>
      <c r="CV63" s="0"/>
      <c r="CW63" s="0"/>
      <c r="CX63" s="0"/>
      <c r="CY63" s="0"/>
      <c r="CZ63" s="0"/>
      <c r="DA63" s="0"/>
      <c r="DB63" s="0"/>
      <c r="DC63" s="0"/>
      <c r="DD63" s="0"/>
      <c r="DE63" s="0"/>
      <c r="DF63" s="0"/>
      <c r="DG63" s="0"/>
      <c r="DH63" s="0"/>
      <c r="DI63" s="0"/>
      <c r="DJ63" s="0"/>
      <c r="DK63" s="0"/>
      <c r="DL63" s="0"/>
      <c r="DM63" s="0"/>
      <c r="DN63" s="0"/>
      <c r="DO63" s="0"/>
      <c r="DP63" s="0"/>
      <c r="DQ63" s="0"/>
      <c r="DR63" s="0"/>
      <c r="DS63" s="0"/>
      <c r="DT63" s="0"/>
      <c r="DU63" s="0"/>
      <c r="DV63" s="0"/>
      <c r="DW63" s="0"/>
      <c r="DX63" s="0"/>
      <c r="DY63" s="0"/>
      <c r="DZ63" s="0"/>
      <c r="EA63" s="0"/>
      <c r="EB63" s="0"/>
      <c r="EC63" s="0"/>
      <c r="ED63" s="0"/>
      <c r="EE63" s="0"/>
      <c r="EF63" s="0"/>
      <c r="EG63" s="0"/>
      <c r="EH63" s="0"/>
      <c r="EI63" s="0"/>
      <c r="EJ63" s="0"/>
      <c r="EK63" s="0"/>
      <c r="EL63" s="0"/>
      <c r="EM63" s="0"/>
      <c r="EN63" s="0"/>
      <c r="EO63" s="0"/>
      <c r="EP63" s="0"/>
      <c r="EQ63" s="0"/>
      <c r="ER63" s="0"/>
      <c r="ES63" s="0"/>
      <c r="ET63" s="0"/>
      <c r="EU63" s="0"/>
      <c r="EV63" s="0"/>
      <c r="EW63" s="0"/>
      <c r="EX63" s="0"/>
      <c r="EY63" s="0"/>
      <c r="EZ63" s="0"/>
      <c r="FA63" s="0"/>
      <c r="FB63" s="0"/>
      <c r="FC63" s="0"/>
      <c r="FD63" s="0"/>
      <c r="FE63" s="0"/>
      <c r="FF63" s="0"/>
      <c r="FG63" s="0"/>
      <c r="FH63" s="0"/>
      <c r="FI63" s="0"/>
      <c r="FJ63" s="0"/>
      <c r="FK63" s="0"/>
      <c r="FL63" s="0"/>
      <c r="FM63" s="0"/>
      <c r="FN63" s="0"/>
      <c r="FO63" s="0"/>
      <c r="FP63" s="0"/>
      <c r="FQ63" s="0"/>
      <c r="FR63" s="0"/>
      <c r="FS63" s="0"/>
      <c r="FT63" s="0"/>
      <c r="FU63" s="0"/>
      <c r="FV63" s="0"/>
      <c r="FW63" s="0"/>
      <c r="FX63" s="0"/>
      <c r="FY63" s="0"/>
      <c r="FZ63" s="0"/>
      <c r="GA63" s="0"/>
      <c r="GB63" s="0"/>
      <c r="GC63" s="0"/>
      <c r="GD63" s="0"/>
      <c r="GE63" s="0"/>
      <c r="GF63" s="0"/>
      <c r="GG63" s="0"/>
      <c r="GH63" s="0"/>
      <c r="GI63" s="0"/>
      <c r="GJ63" s="0"/>
      <c r="GK63" s="0"/>
      <c r="GL63" s="0"/>
      <c r="GM63" s="0"/>
      <c r="GN63" s="0"/>
      <c r="GO63" s="0"/>
      <c r="GP63" s="0"/>
      <c r="GQ63" s="0"/>
      <c r="GR63" s="0"/>
      <c r="GS63" s="0"/>
      <c r="GT63" s="0"/>
      <c r="GU63" s="0"/>
      <c r="GV63" s="0"/>
      <c r="GW63" s="0"/>
      <c r="GX63" s="0"/>
      <c r="GY63" s="0"/>
      <c r="GZ63" s="0"/>
      <c r="HA63" s="0"/>
      <c r="HB63" s="0"/>
      <c r="HC63" s="0"/>
      <c r="HD63" s="0"/>
      <c r="HE63" s="0"/>
      <c r="HF63" s="0"/>
      <c r="HG63" s="0"/>
      <c r="HH63" s="0"/>
      <c r="HI63" s="0"/>
      <c r="HJ63" s="0"/>
      <c r="HK63" s="0"/>
      <c r="HL63" s="0"/>
      <c r="HM63" s="0"/>
      <c r="HN63" s="0"/>
      <c r="HO63" s="0"/>
      <c r="HP63" s="0"/>
      <c r="HQ63" s="0"/>
      <c r="HR63" s="0"/>
      <c r="HS63" s="0"/>
      <c r="HT63" s="0"/>
      <c r="HU63" s="0"/>
      <c r="HV63" s="0"/>
      <c r="HW63" s="0"/>
      <c r="HX63" s="0"/>
      <c r="HY63" s="0"/>
      <c r="HZ63" s="0"/>
      <c r="IA63" s="0"/>
      <c r="IB63" s="0"/>
      <c r="IC63" s="0"/>
      <c r="ID63" s="0"/>
      <c r="IE63" s="0"/>
      <c r="IF63" s="0"/>
      <c r="IG63" s="0"/>
      <c r="IH63" s="0"/>
      <c r="II63" s="0"/>
      <c r="IJ63" s="0"/>
      <c r="IK63" s="0"/>
      <c r="IL63" s="0"/>
      <c r="IM63" s="0"/>
      <c r="IN63" s="0"/>
      <c r="IO63" s="0"/>
      <c r="IP63" s="0"/>
      <c r="IQ63" s="0"/>
      <c r="IR63" s="0"/>
      <c r="IS63" s="0"/>
      <c r="IT63" s="0"/>
      <c r="IU63" s="0"/>
      <c r="IV63" s="0"/>
      <c r="IW63" s="0"/>
    </row>
    <row r="64" customFormat="false" ht="12" hidden="false" customHeight="true" outlineLevel="0" collapsed="false">
      <c r="A64" s="5"/>
      <c r="B64" s="5"/>
      <c r="C64" s="5"/>
      <c r="D64" s="5"/>
      <c r="E64" s="5"/>
      <c r="F64" s="5"/>
      <c r="G64" s="5"/>
      <c r="H64" s="5"/>
      <c r="I64" s="5"/>
      <c r="J64" s="5"/>
      <c r="K64" s="5"/>
      <c r="L64" s="5"/>
      <c r="M64" s="5"/>
      <c r="N64" s="5"/>
      <c r="O64" s="5"/>
      <c r="P64" s="5"/>
      <c r="Q64" s="5"/>
      <c r="R64" s="5"/>
      <c r="S64" s="5"/>
      <c r="T64" s="5"/>
      <c r="U64" s="5"/>
      <c r="V64" s="5"/>
      <c r="W64" s="5"/>
      <c r="X64" s="5"/>
      <c r="Y64" s="5"/>
      <c r="Z64" s="5"/>
      <c r="AA64" s="0"/>
      <c r="AB64" s="0"/>
      <c r="AC64" s="0"/>
      <c r="AD64" s="0"/>
      <c r="AE64" s="0"/>
      <c r="AF64" s="0"/>
      <c r="AG64" s="0"/>
      <c r="AH64" s="0"/>
      <c r="AI64" s="0"/>
      <c r="AJ64" s="0"/>
      <c r="AK64" s="0"/>
      <c r="AL64" s="0"/>
      <c r="AM64" s="0"/>
      <c r="AN64" s="0"/>
      <c r="AO64" s="0"/>
      <c r="AP64" s="0"/>
      <c r="AQ64" s="0"/>
      <c r="AR64" s="0"/>
      <c r="AS64" s="0"/>
      <c r="AT64" s="0"/>
      <c r="AU64" s="0"/>
      <c r="AV64" s="0"/>
      <c r="AW64" s="0"/>
      <c r="AX64" s="0"/>
      <c r="AY64" s="0"/>
      <c r="AZ64" s="0"/>
      <c r="BA64" s="0"/>
      <c r="BB64" s="0"/>
      <c r="BC64" s="0"/>
      <c r="BD64" s="0"/>
      <c r="BE64" s="0"/>
      <c r="BF64" s="0"/>
      <c r="BG64" s="0"/>
      <c r="BH64" s="0"/>
      <c r="BI64" s="0"/>
      <c r="BJ64" s="0"/>
      <c r="BK64" s="0"/>
      <c r="BL64" s="0"/>
      <c r="BM64" s="0"/>
      <c r="BN64" s="0"/>
      <c r="BO64" s="0"/>
      <c r="BP64" s="0"/>
      <c r="BQ64" s="0"/>
      <c r="BR64" s="0"/>
      <c r="BS64" s="0"/>
      <c r="BT64" s="0"/>
      <c r="BU64" s="0"/>
      <c r="BV64" s="0"/>
      <c r="BW64" s="0"/>
      <c r="BX64" s="0"/>
      <c r="BY64" s="0"/>
      <c r="BZ64" s="0"/>
      <c r="CA64" s="0"/>
      <c r="CB64" s="0"/>
      <c r="CC64" s="0"/>
      <c r="CD64" s="0"/>
      <c r="CE64" s="0"/>
      <c r="CF64" s="0"/>
      <c r="CG64" s="0"/>
      <c r="CH64" s="0"/>
      <c r="CI64" s="0"/>
      <c r="CJ64" s="0"/>
      <c r="CK64" s="0"/>
      <c r="CL64" s="0"/>
      <c r="CM64" s="0"/>
      <c r="CN64" s="0"/>
      <c r="CO64" s="0"/>
      <c r="CP64" s="0"/>
      <c r="CQ64" s="0"/>
      <c r="CR64" s="0"/>
      <c r="CS64" s="0"/>
      <c r="CT64" s="0"/>
      <c r="CU64" s="0"/>
      <c r="CV64" s="0"/>
      <c r="CW64" s="0"/>
      <c r="CX64" s="0"/>
      <c r="CY64" s="0"/>
      <c r="CZ64" s="0"/>
      <c r="DA64" s="0"/>
      <c r="DB64" s="0"/>
      <c r="DC64" s="0"/>
      <c r="DD64" s="0"/>
      <c r="DE64" s="0"/>
      <c r="DF64" s="0"/>
      <c r="DG64" s="0"/>
      <c r="DH64" s="0"/>
      <c r="DI64" s="0"/>
      <c r="DJ64" s="0"/>
      <c r="DK64" s="0"/>
      <c r="DL64" s="0"/>
      <c r="DM64" s="0"/>
      <c r="DN64" s="0"/>
      <c r="DO64" s="0"/>
      <c r="DP64" s="0"/>
      <c r="DQ64" s="0"/>
      <c r="DR64" s="0"/>
      <c r="DS64" s="0"/>
      <c r="DT64" s="0"/>
      <c r="DU64" s="0"/>
      <c r="DV64" s="0"/>
      <c r="DW64" s="0"/>
      <c r="DX64" s="0"/>
      <c r="DY64" s="0"/>
      <c r="DZ64" s="0"/>
      <c r="EA64" s="0"/>
      <c r="EB64" s="0"/>
      <c r="EC64" s="0"/>
      <c r="ED64" s="0"/>
      <c r="EE64" s="0"/>
      <c r="EF64" s="0"/>
      <c r="EG64" s="0"/>
      <c r="EH64" s="0"/>
      <c r="EI64" s="0"/>
      <c r="EJ64" s="0"/>
      <c r="EK64" s="0"/>
      <c r="EL64" s="0"/>
      <c r="EM64" s="0"/>
      <c r="EN64" s="0"/>
      <c r="EO64" s="0"/>
      <c r="EP64" s="0"/>
      <c r="EQ64" s="0"/>
      <c r="ER64" s="0"/>
      <c r="ES64" s="0"/>
      <c r="ET64" s="0"/>
      <c r="EU64" s="0"/>
      <c r="EV64" s="0"/>
      <c r="EW64" s="0"/>
      <c r="EX64" s="0"/>
      <c r="EY64" s="0"/>
      <c r="EZ64" s="0"/>
      <c r="FA64" s="0"/>
      <c r="FB64" s="0"/>
      <c r="FC64" s="0"/>
      <c r="FD64" s="0"/>
      <c r="FE64" s="0"/>
      <c r="FF64" s="0"/>
      <c r="FG64" s="0"/>
      <c r="FH64" s="0"/>
      <c r="FI64" s="0"/>
      <c r="FJ64" s="0"/>
      <c r="FK64" s="0"/>
      <c r="FL64" s="0"/>
      <c r="FM64" s="0"/>
      <c r="FN64" s="0"/>
      <c r="FO64" s="0"/>
      <c r="FP64" s="0"/>
      <c r="FQ64" s="0"/>
      <c r="FR64" s="0"/>
      <c r="FS64" s="0"/>
      <c r="FT64" s="0"/>
      <c r="FU64" s="0"/>
      <c r="FV64" s="0"/>
      <c r="FW64" s="0"/>
      <c r="FX64" s="0"/>
      <c r="FY64" s="0"/>
      <c r="FZ64" s="0"/>
      <c r="GA64" s="0"/>
      <c r="GB64" s="0"/>
      <c r="GC64" s="0"/>
      <c r="GD64" s="0"/>
      <c r="GE64" s="0"/>
      <c r="GF64" s="0"/>
      <c r="GG64" s="0"/>
      <c r="GH64" s="0"/>
      <c r="GI64" s="0"/>
      <c r="GJ64" s="0"/>
      <c r="GK64" s="0"/>
      <c r="GL64" s="0"/>
      <c r="GM64" s="0"/>
      <c r="GN64" s="0"/>
      <c r="GO64" s="0"/>
      <c r="GP64" s="0"/>
      <c r="GQ64" s="0"/>
      <c r="GR64" s="0"/>
      <c r="GS64" s="0"/>
      <c r="GT64" s="0"/>
      <c r="GU64" s="0"/>
      <c r="GV64" s="0"/>
      <c r="GW64" s="0"/>
      <c r="GX64" s="0"/>
      <c r="GY64" s="0"/>
      <c r="GZ64" s="0"/>
      <c r="HA64" s="0"/>
      <c r="HB64" s="0"/>
      <c r="HC64" s="0"/>
      <c r="HD64" s="0"/>
      <c r="HE64" s="0"/>
      <c r="HF64" s="0"/>
      <c r="HG64" s="0"/>
      <c r="HH64" s="0"/>
      <c r="HI64" s="0"/>
      <c r="HJ64" s="0"/>
      <c r="HK64" s="0"/>
      <c r="HL64" s="0"/>
      <c r="HM64" s="0"/>
      <c r="HN64" s="0"/>
      <c r="HO64" s="0"/>
      <c r="HP64" s="0"/>
      <c r="HQ64" s="0"/>
      <c r="HR64" s="0"/>
      <c r="HS64" s="0"/>
      <c r="HT64" s="0"/>
      <c r="HU64" s="0"/>
      <c r="HV64" s="0"/>
      <c r="HW64" s="0"/>
      <c r="HX64" s="0"/>
      <c r="HY64" s="0"/>
      <c r="HZ64" s="0"/>
      <c r="IA64" s="0"/>
      <c r="IB64" s="0"/>
      <c r="IC64" s="0"/>
      <c r="ID64" s="0"/>
      <c r="IE64" s="0"/>
      <c r="IF64" s="0"/>
      <c r="IG64" s="0"/>
      <c r="IH64" s="0"/>
      <c r="II64" s="0"/>
      <c r="IJ64" s="0"/>
      <c r="IK64" s="0"/>
      <c r="IL64" s="0"/>
      <c r="IM64" s="0"/>
      <c r="IN64" s="0"/>
      <c r="IO64" s="0"/>
      <c r="IP64" s="0"/>
      <c r="IQ64" s="0"/>
      <c r="IR64" s="0"/>
      <c r="IS64" s="0"/>
      <c r="IT64" s="0"/>
      <c r="IU64" s="0"/>
      <c r="IV64" s="0"/>
      <c r="IW64" s="0"/>
    </row>
    <row r="65" customFormat="false" ht="12.75" hidden="false" customHeight="false" outlineLevel="0" collapsed="false">
      <c r="A65" s="5"/>
      <c r="B65" s="5"/>
      <c r="C65" s="5"/>
      <c r="D65" s="5"/>
      <c r="E65" s="5"/>
      <c r="F65" s="5"/>
      <c r="G65" s="5"/>
      <c r="H65" s="5"/>
      <c r="I65" s="5"/>
      <c r="J65" s="5"/>
      <c r="K65" s="5"/>
      <c r="L65" s="5"/>
      <c r="M65" s="5"/>
      <c r="N65" s="5"/>
      <c r="O65" s="5"/>
      <c r="P65" s="5"/>
      <c r="Q65" s="5"/>
      <c r="R65" s="5"/>
      <c r="S65" s="5"/>
      <c r="T65" s="5"/>
      <c r="U65" s="5"/>
      <c r="V65" s="5"/>
      <c r="W65" s="5"/>
      <c r="X65" s="5"/>
      <c r="Y65" s="5"/>
      <c r="Z65" s="5"/>
      <c r="AA65" s="0"/>
      <c r="AB65" s="0"/>
      <c r="AC65" s="0"/>
      <c r="AD65" s="0"/>
      <c r="AE65" s="0"/>
      <c r="AF65" s="0"/>
      <c r="AG65" s="0"/>
      <c r="AH65" s="0"/>
      <c r="AI65" s="0"/>
      <c r="AJ65" s="0"/>
      <c r="AK65" s="0"/>
      <c r="AL65" s="0"/>
      <c r="AM65" s="0"/>
      <c r="AN65" s="0"/>
      <c r="AO65" s="0"/>
      <c r="AP65" s="0"/>
      <c r="AQ65" s="0"/>
      <c r="AR65" s="0"/>
      <c r="AS65" s="0"/>
      <c r="AT65" s="0"/>
      <c r="AU65" s="0"/>
      <c r="AV65" s="0"/>
      <c r="AW65" s="0"/>
      <c r="AX65" s="0"/>
      <c r="AY65" s="0"/>
      <c r="AZ65" s="0"/>
      <c r="BA65" s="0"/>
      <c r="BB65" s="0"/>
      <c r="BC65" s="0"/>
      <c r="BD65" s="0"/>
      <c r="BE65" s="0"/>
      <c r="BF65" s="0"/>
      <c r="BG65" s="0"/>
      <c r="BH65" s="0"/>
      <c r="BI65" s="0"/>
      <c r="BJ65" s="0"/>
      <c r="BK65" s="0"/>
      <c r="BL65" s="0"/>
      <c r="BM65" s="0"/>
      <c r="BN65" s="0"/>
      <c r="BO65" s="0"/>
      <c r="BP65" s="0"/>
      <c r="BQ65" s="0"/>
      <c r="BR65" s="0"/>
      <c r="BS65" s="0"/>
      <c r="BT65" s="0"/>
      <c r="BU65" s="0"/>
      <c r="BV65" s="0"/>
      <c r="BW65" s="0"/>
      <c r="BX65" s="0"/>
      <c r="BY65" s="0"/>
      <c r="BZ65" s="0"/>
      <c r="CA65" s="0"/>
      <c r="CB65" s="0"/>
      <c r="CC65" s="0"/>
      <c r="CD65" s="0"/>
      <c r="CE65" s="0"/>
      <c r="CF65" s="0"/>
      <c r="CG65" s="0"/>
      <c r="CH65" s="0"/>
      <c r="CI65" s="0"/>
      <c r="CJ65" s="0"/>
      <c r="CK65" s="0"/>
      <c r="CL65" s="0"/>
      <c r="CM65" s="0"/>
      <c r="CN65" s="0"/>
      <c r="CO65" s="0"/>
      <c r="CP65" s="0"/>
      <c r="CQ65" s="0"/>
      <c r="CR65" s="0"/>
      <c r="CS65" s="0"/>
      <c r="CT65" s="0"/>
      <c r="CU65" s="0"/>
      <c r="CV65" s="0"/>
      <c r="CW65" s="0"/>
      <c r="CX65" s="0"/>
      <c r="CY65" s="0"/>
      <c r="CZ65" s="0"/>
      <c r="DA65" s="0"/>
      <c r="DB65" s="0"/>
      <c r="DC65" s="0"/>
      <c r="DD65" s="0"/>
      <c r="DE65" s="0"/>
      <c r="DF65" s="0"/>
      <c r="DG65" s="0"/>
      <c r="DH65" s="0"/>
      <c r="DI65" s="0"/>
      <c r="DJ65" s="0"/>
      <c r="DK65" s="0"/>
      <c r="DL65" s="0"/>
      <c r="DM65" s="0"/>
      <c r="DN65" s="0"/>
      <c r="DO65" s="0"/>
      <c r="DP65" s="0"/>
      <c r="DQ65" s="0"/>
      <c r="DR65" s="0"/>
      <c r="DS65" s="0"/>
      <c r="DT65" s="0"/>
      <c r="DU65" s="0"/>
      <c r="DV65" s="0"/>
      <c r="DW65" s="0"/>
      <c r="DX65" s="0"/>
      <c r="DY65" s="0"/>
      <c r="DZ65" s="0"/>
      <c r="EA65" s="0"/>
      <c r="EB65" s="0"/>
      <c r="EC65" s="0"/>
      <c r="ED65" s="0"/>
      <c r="EE65" s="0"/>
      <c r="EF65" s="0"/>
      <c r="EG65" s="0"/>
      <c r="EH65" s="0"/>
      <c r="EI65" s="0"/>
      <c r="EJ65" s="0"/>
      <c r="EK65" s="0"/>
      <c r="EL65" s="0"/>
      <c r="EM65" s="0"/>
      <c r="EN65" s="0"/>
      <c r="EO65" s="0"/>
      <c r="EP65" s="0"/>
      <c r="EQ65" s="0"/>
      <c r="ER65" s="0"/>
      <c r="ES65" s="0"/>
      <c r="ET65" s="0"/>
      <c r="EU65" s="0"/>
      <c r="EV65" s="0"/>
      <c r="EW65" s="0"/>
      <c r="EX65" s="0"/>
      <c r="EY65" s="0"/>
      <c r="EZ65" s="0"/>
      <c r="FA65" s="0"/>
      <c r="FB65" s="0"/>
      <c r="FC65" s="0"/>
      <c r="FD65" s="0"/>
      <c r="FE65" s="0"/>
      <c r="FF65" s="0"/>
      <c r="FG65" s="0"/>
      <c r="FH65" s="0"/>
      <c r="FI65" s="0"/>
      <c r="FJ65" s="0"/>
      <c r="FK65" s="0"/>
      <c r="FL65" s="0"/>
      <c r="FM65" s="0"/>
      <c r="FN65" s="0"/>
      <c r="FO65" s="0"/>
      <c r="FP65" s="0"/>
      <c r="FQ65" s="0"/>
      <c r="FR65" s="0"/>
      <c r="FS65" s="0"/>
      <c r="FT65" s="0"/>
      <c r="FU65" s="0"/>
      <c r="FV65" s="0"/>
      <c r="FW65" s="0"/>
      <c r="FX65" s="0"/>
      <c r="FY65" s="0"/>
      <c r="FZ65" s="0"/>
      <c r="GA65" s="0"/>
      <c r="GB65" s="0"/>
      <c r="GC65" s="0"/>
      <c r="GD65" s="0"/>
      <c r="GE65" s="0"/>
      <c r="GF65" s="0"/>
      <c r="GG65" s="0"/>
      <c r="GH65" s="0"/>
      <c r="GI65" s="0"/>
      <c r="GJ65" s="0"/>
      <c r="GK65" s="0"/>
      <c r="GL65" s="0"/>
      <c r="GM65" s="0"/>
      <c r="GN65" s="0"/>
      <c r="GO65" s="0"/>
      <c r="GP65" s="0"/>
      <c r="GQ65" s="0"/>
      <c r="GR65" s="0"/>
      <c r="GS65" s="0"/>
      <c r="GT65" s="0"/>
      <c r="GU65" s="0"/>
      <c r="GV65" s="0"/>
      <c r="GW65" s="0"/>
      <c r="GX65" s="0"/>
      <c r="GY65" s="0"/>
      <c r="GZ65" s="0"/>
      <c r="HA65" s="0"/>
      <c r="HB65" s="0"/>
      <c r="HC65" s="0"/>
      <c r="HD65" s="0"/>
      <c r="HE65" s="0"/>
      <c r="HF65" s="0"/>
      <c r="HG65" s="0"/>
      <c r="HH65" s="0"/>
      <c r="HI65" s="0"/>
      <c r="HJ65" s="0"/>
      <c r="HK65" s="0"/>
      <c r="HL65" s="0"/>
      <c r="HM65" s="0"/>
      <c r="HN65" s="0"/>
      <c r="HO65" s="0"/>
      <c r="HP65" s="0"/>
      <c r="HQ65" s="0"/>
      <c r="HR65" s="0"/>
      <c r="HS65" s="0"/>
      <c r="HT65" s="0"/>
      <c r="HU65" s="0"/>
      <c r="HV65" s="0"/>
      <c r="HW65" s="0"/>
      <c r="HX65" s="0"/>
      <c r="HY65" s="0"/>
      <c r="HZ65" s="0"/>
      <c r="IA65" s="0"/>
      <c r="IB65" s="0"/>
      <c r="IC65" s="0"/>
      <c r="ID65" s="0"/>
      <c r="IE65" s="0"/>
      <c r="IF65" s="0"/>
      <c r="IG65" s="0"/>
      <c r="IH65" s="0"/>
      <c r="II65" s="0"/>
      <c r="IJ65" s="0"/>
      <c r="IK65" s="0"/>
      <c r="IL65" s="0"/>
      <c r="IM65" s="0"/>
      <c r="IN65" s="0"/>
      <c r="IO65" s="0"/>
      <c r="IP65" s="0"/>
      <c r="IQ65" s="0"/>
      <c r="IR65" s="0"/>
      <c r="IS65" s="0"/>
      <c r="IT65" s="0"/>
      <c r="IU65" s="0"/>
      <c r="IV65" s="0"/>
      <c r="IW65" s="0"/>
    </row>
    <row r="66" customFormat="false" ht="18" hidden="false" customHeight="true" outlineLevel="0" collapsed="false">
      <c r="A66" s="5"/>
      <c r="B66" s="5"/>
      <c r="C66" s="5"/>
      <c r="D66" s="5"/>
      <c r="E66" s="5"/>
      <c r="F66" s="5"/>
      <c r="G66" s="5"/>
      <c r="H66" s="5"/>
      <c r="I66" s="5"/>
      <c r="J66" s="5"/>
      <c r="K66" s="5"/>
      <c r="L66" s="5"/>
      <c r="M66" s="5"/>
      <c r="N66" s="5"/>
      <c r="O66" s="5"/>
      <c r="P66" s="5"/>
      <c r="Q66" s="5"/>
      <c r="R66" s="5"/>
      <c r="S66" s="5"/>
      <c r="T66" s="5"/>
      <c r="U66" s="5"/>
      <c r="V66" s="5"/>
      <c r="W66" s="5"/>
      <c r="X66" s="5"/>
      <c r="Y66" s="5"/>
      <c r="Z66" s="5"/>
      <c r="AA66" s="0"/>
      <c r="AB66" s="0"/>
      <c r="AC66" s="0"/>
      <c r="AD66" s="0"/>
      <c r="AE66" s="0"/>
      <c r="AF66" s="0"/>
      <c r="AG66" s="0"/>
      <c r="AH66" s="0"/>
      <c r="AI66" s="0"/>
      <c r="AJ66" s="0"/>
      <c r="AK66" s="0"/>
      <c r="AL66" s="0"/>
      <c r="AM66" s="0"/>
      <c r="AN66" s="0"/>
      <c r="AO66" s="0"/>
      <c r="AP66" s="0"/>
      <c r="AQ66" s="0"/>
      <c r="AR66" s="0"/>
      <c r="AS66" s="0"/>
      <c r="AT66" s="0"/>
      <c r="AU66" s="0"/>
      <c r="AV66" s="0"/>
      <c r="AW66" s="0"/>
      <c r="AX66" s="0"/>
      <c r="AY66" s="0"/>
      <c r="AZ66" s="0"/>
      <c r="BA66" s="0"/>
      <c r="BB66" s="0"/>
      <c r="BC66" s="0"/>
      <c r="BD66" s="0"/>
      <c r="BE66" s="0"/>
      <c r="BF66" s="0"/>
      <c r="BG66" s="0"/>
      <c r="BH66" s="0"/>
      <c r="BI66" s="0"/>
      <c r="BJ66" s="0"/>
      <c r="BK66" s="0"/>
      <c r="BL66" s="0"/>
      <c r="BM66" s="0"/>
      <c r="BN66" s="0"/>
      <c r="BO66" s="0"/>
      <c r="BP66" s="0"/>
      <c r="BQ66" s="0"/>
      <c r="BR66" s="0"/>
      <c r="BS66" s="0"/>
      <c r="BT66" s="0"/>
      <c r="BU66" s="0"/>
      <c r="BV66" s="0"/>
      <c r="BW66" s="0"/>
      <c r="BX66" s="0"/>
      <c r="BY66" s="0"/>
      <c r="BZ66" s="0"/>
      <c r="CA66" s="0"/>
      <c r="CB66" s="0"/>
      <c r="CC66" s="0"/>
      <c r="CD66" s="0"/>
      <c r="CE66" s="0"/>
      <c r="CF66" s="0"/>
      <c r="CG66" s="0"/>
      <c r="CH66" s="0"/>
      <c r="CI66" s="0"/>
      <c r="CJ66" s="0"/>
      <c r="CK66" s="0"/>
      <c r="CL66" s="0"/>
      <c r="CM66" s="0"/>
      <c r="CN66" s="0"/>
      <c r="CO66" s="0"/>
      <c r="CP66" s="0"/>
      <c r="CQ66" s="0"/>
      <c r="CR66" s="0"/>
      <c r="CS66" s="0"/>
      <c r="CT66" s="0"/>
      <c r="CU66" s="0"/>
      <c r="CV66" s="0"/>
      <c r="CW66" s="0"/>
      <c r="CX66" s="0"/>
      <c r="CY66" s="0"/>
      <c r="CZ66" s="0"/>
      <c r="DA66" s="0"/>
      <c r="DB66" s="0"/>
      <c r="DC66" s="0"/>
      <c r="DD66" s="0"/>
      <c r="DE66" s="0"/>
      <c r="DF66" s="0"/>
      <c r="DG66" s="0"/>
      <c r="DH66" s="0"/>
      <c r="DI66" s="0"/>
      <c r="DJ66" s="0"/>
      <c r="DK66" s="0"/>
      <c r="DL66" s="0"/>
      <c r="DM66" s="0"/>
      <c r="DN66" s="0"/>
      <c r="DO66" s="0"/>
      <c r="DP66" s="0"/>
      <c r="DQ66" s="0"/>
      <c r="DR66" s="0"/>
      <c r="DS66" s="0"/>
      <c r="DT66" s="0"/>
      <c r="DU66" s="0"/>
      <c r="DV66" s="0"/>
      <c r="DW66" s="0"/>
      <c r="DX66" s="0"/>
      <c r="DY66" s="0"/>
      <c r="DZ66" s="0"/>
      <c r="EA66" s="0"/>
      <c r="EB66" s="0"/>
      <c r="EC66" s="0"/>
      <c r="ED66" s="0"/>
      <c r="EE66" s="0"/>
      <c r="EF66" s="0"/>
      <c r="EG66" s="0"/>
      <c r="EH66" s="0"/>
      <c r="EI66" s="0"/>
      <c r="EJ66" s="0"/>
      <c r="EK66" s="0"/>
      <c r="EL66" s="0"/>
      <c r="EM66" s="0"/>
      <c r="EN66" s="0"/>
      <c r="EO66" s="0"/>
      <c r="EP66" s="0"/>
      <c r="EQ66" s="0"/>
      <c r="ER66" s="0"/>
      <c r="ES66" s="0"/>
      <c r="ET66" s="0"/>
      <c r="EU66" s="0"/>
      <c r="EV66" s="0"/>
      <c r="EW66" s="0"/>
      <c r="EX66" s="0"/>
      <c r="EY66" s="0"/>
      <c r="EZ66" s="0"/>
      <c r="FA66" s="0"/>
      <c r="FB66" s="0"/>
      <c r="FC66" s="0"/>
      <c r="FD66" s="0"/>
      <c r="FE66" s="0"/>
      <c r="FF66" s="0"/>
      <c r="FG66" s="0"/>
      <c r="FH66" s="0"/>
      <c r="FI66" s="0"/>
      <c r="FJ66" s="0"/>
      <c r="FK66" s="0"/>
      <c r="FL66" s="0"/>
      <c r="FM66" s="0"/>
      <c r="FN66" s="0"/>
      <c r="FO66" s="0"/>
      <c r="FP66" s="0"/>
      <c r="FQ66" s="0"/>
      <c r="FR66" s="0"/>
      <c r="FS66" s="0"/>
      <c r="FT66" s="0"/>
      <c r="FU66" s="0"/>
      <c r="FV66" s="0"/>
      <c r="FW66" s="0"/>
      <c r="FX66" s="0"/>
      <c r="FY66" s="0"/>
      <c r="FZ66" s="0"/>
      <c r="GA66" s="0"/>
      <c r="GB66" s="0"/>
      <c r="GC66" s="0"/>
      <c r="GD66" s="0"/>
      <c r="GE66" s="0"/>
      <c r="GF66" s="0"/>
      <c r="GG66" s="0"/>
      <c r="GH66" s="0"/>
      <c r="GI66" s="0"/>
      <c r="GJ66" s="0"/>
      <c r="GK66" s="0"/>
      <c r="GL66" s="0"/>
      <c r="GM66" s="0"/>
      <c r="GN66" s="0"/>
      <c r="GO66" s="0"/>
      <c r="GP66" s="0"/>
      <c r="GQ66" s="0"/>
      <c r="GR66" s="0"/>
      <c r="GS66" s="0"/>
      <c r="GT66" s="0"/>
      <c r="GU66" s="0"/>
      <c r="GV66" s="0"/>
      <c r="GW66" s="0"/>
      <c r="GX66" s="0"/>
      <c r="GY66" s="0"/>
      <c r="GZ66" s="0"/>
      <c r="HA66" s="0"/>
      <c r="HB66" s="0"/>
      <c r="HC66" s="0"/>
      <c r="HD66" s="0"/>
      <c r="HE66" s="0"/>
      <c r="HF66" s="0"/>
      <c r="HG66" s="0"/>
      <c r="HH66" s="0"/>
      <c r="HI66" s="0"/>
      <c r="HJ66" s="0"/>
      <c r="HK66" s="0"/>
      <c r="HL66" s="0"/>
      <c r="HM66" s="0"/>
      <c r="HN66" s="0"/>
      <c r="HO66" s="0"/>
      <c r="HP66" s="0"/>
      <c r="HQ66" s="0"/>
      <c r="HR66" s="0"/>
      <c r="HS66" s="0"/>
      <c r="HT66" s="0"/>
      <c r="HU66" s="0"/>
      <c r="HV66" s="0"/>
      <c r="HW66" s="0"/>
      <c r="HX66" s="0"/>
      <c r="HY66" s="0"/>
      <c r="HZ66" s="0"/>
      <c r="IA66" s="0"/>
      <c r="IB66" s="0"/>
      <c r="IC66" s="0"/>
      <c r="ID66" s="0"/>
      <c r="IE66" s="0"/>
      <c r="IF66" s="0"/>
      <c r="IG66" s="0"/>
      <c r="IH66" s="0"/>
      <c r="II66" s="0"/>
      <c r="IJ66" s="0"/>
      <c r="IK66" s="0"/>
      <c r="IL66" s="0"/>
      <c r="IM66" s="0"/>
      <c r="IN66" s="0"/>
      <c r="IO66" s="0"/>
      <c r="IP66" s="0"/>
      <c r="IQ66" s="0"/>
      <c r="IR66" s="0"/>
      <c r="IS66" s="0"/>
      <c r="IT66" s="0"/>
      <c r="IU66" s="0"/>
      <c r="IV66" s="0"/>
      <c r="IW66" s="0"/>
    </row>
    <row r="67" customFormat="false" ht="12.75" hidden="false" customHeight="false" outlineLevel="0" collapsed="false">
      <c r="A67" s="5"/>
      <c r="B67" s="5"/>
      <c r="C67" s="5"/>
      <c r="D67" s="5"/>
      <c r="E67" s="5"/>
      <c r="F67" s="5"/>
      <c r="G67" s="5"/>
      <c r="H67" s="5"/>
      <c r="I67" s="5"/>
      <c r="J67" s="5"/>
      <c r="K67" s="5"/>
      <c r="L67" s="5"/>
      <c r="M67" s="5"/>
      <c r="N67" s="5"/>
      <c r="O67" s="5"/>
      <c r="P67" s="5"/>
      <c r="Q67" s="5"/>
      <c r="R67" s="5"/>
      <c r="S67" s="5"/>
      <c r="T67" s="5"/>
      <c r="U67" s="5"/>
      <c r="V67" s="5"/>
      <c r="W67" s="5"/>
      <c r="X67" s="5"/>
      <c r="Y67" s="5"/>
      <c r="Z67" s="5"/>
      <c r="AA67" s="0"/>
      <c r="AB67" s="0"/>
      <c r="AC67" s="0"/>
      <c r="AD67" s="0"/>
      <c r="AE67" s="0"/>
      <c r="AF67" s="0"/>
      <c r="AG67" s="0"/>
      <c r="AH67" s="0"/>
      <c r="AI67" s="0"/>
      <c r="AJ67" s="0"/>
      <c r="AK67" s="0"/>
      <c r="AL67" s="0"/>
      <c r="AM67" s="0"/>
      <c r="AN67" s="0"/>
      <c r="AO67" s="0"/>
      <c r="AP67" s="0"/>
      <c r="AQ67" s="0"/>
      <c r="AR67" s="0"/>
      <c r="AS67" s="0"/>
      <c r="AT67" s="0"/>
      <c r="AU67" s="0"/>
      <c r="AV67" s="0"/>
      <c r="AW67" s="0"/>
      <c r="AX67" s="0"/>
      <c r="AY67" s="0"/>
      <c r="AZ67" s="0"/>
      <c r="BA67" s="0"/>
      <c r="BB67" s="0"/>
      <c r="BC67" s="0"/>
      <c r="BD67" s="0"/>
      <c r="BE67" s="0"/>
      <c r="BF67" s="0"/>
      <c r="BG67" s="0"/>
      <c r="BH67" s="0"/>
      <c r="BI67" s="0"/>
      <c r="BJ67" s="0"/>
      <c r="BK67" s="0"/>
      <c r="BL67" s="0"/>
      <c r="BM67" s="0"/>
      <c r="BN67" s="0"/>
      <c r="BO67" s="0"/>
      <c r="BP67" s="0"/>
      <c r="BQ67" s="0"/>
      <c r="BR67" s="0"/>
      <c r="BS67" s="0"/>
      <c r="BT67" s="0"/>
      <c r="BU67" s="0"/>
      <c r="BV67" s="0"/>
      <c r="BW67" s="0"/>
      <c r="BX67" s="0"/>
      <c r="BY67" s="0"/>
      <c r="BZ67" s="0"/>
      <c r="CA67" s="0"/>
      <c r="CB67" s="0"/>
      <c r="CC67" s="0"/>
      <c r="CD67" s="0"/>
      <c r="CE67" s="0"/>
      <c r="CF67" s="0"/>
      <c r="CG67" s="0"/>
      <c r="CH67" s="0"/>
      <c r="CI67" s="0"/>
      <c r="CJ67" s="0"/>
      <c r="CK67" s="0"/>
      <c r="CL67" s="0"/>
      <c r="CM67" s="0"/>
      <c r="CN67" s="0"/>
      <c r="CO67" s="0"/>
      <c r="CP67" s="0"/>
      <c r="CQ67" s="0"/>
      <c r="CR67" s="0"/>
      <c r="CS67" s="0"/>
      <c r="CT67" s="0"/>
      <c r="CU67" s="0"/>
      <c r="CV67" s="0"/>
      <c r="CW67" s="0"/>
      <c r="CX67" s="0"/>
      <c r="CY67" s="0"/>
      <c r="CZ67" s="0"/>
      <c r="DA67" s="0"/>
      <c r="DB67" s="0"/>
      <c r="DC67" s="0"/>
      <c r="DD67" s="0"/>
      <c r="DE67" s="0"/>
      <c r="DF67" s="0"/>
      <c r="DG67" s="0"/>
      <c r="DH67" s="0"/>
      <c r="DI67" s="0"/>
      <c r="DJ67" s="0"/>
      <c r="DK67" s="0"/>
      <c r="DL67" s="0"/>
      <c r="DM67" s="0"/>
      <c r="DN67" s="0"/>
      <c r="DO67" s="0"/>
      <c r="DP67" s="0"/>
      <c r="DQ67" s="0"/>
      <c r="DR67" s="0"/>
      <c r="DS67" s="0"/>
      <c r="DT67" s="0"/>
      <c r="DU67" s="0"/>
      <c r="DV67" s="0"/>
      <c r="DW67" s="0"/>
      <c r="DX67" s="0"/>
      <c r="DY67" s="0"/>
      <c r="DZ67" s="0"/>
      <c r="EA67" s="0"/>
      <c r="EB67" s="0"/>
      <c r="EC67" s="0"/>
      <c r="ED67" s="0"/>
      <c r="EE67" s="0"/>
      <c r="EF67" s="0"/>
      <c r="EG67" s="0"/>
      <c r="EH67" s="0"/>
      <c r="EI67" s="0"/>
      <c r="EJ67" s="0"/>
      <c r="EK67" s="0"/>
      <c r="EL67" s="0"/>
      <c r="EM67" s="0"/>
      <c r="EN67" s="0"/>
      <c r="EO67" s="0"/>
      <c r="EP67" s="0"/>
      <c r="EQ67" s="0"/>
      <c r="ER67" s="0"/>
      <c r="ES67" s="0"/>
      <c r="ET67" s="0"/>
      <c r="EU67" s="0"/>
      <c r="EV67" s="0"/>
      <c r="EW67" s="0"/>
      <c r="EX67" s="0"/>
      <c r="EY67" s="0"/>
      <c r="EZ67" s="0"/>
      <c r="FA67" s="0"/>
      <c r="FB67" s="0"/>
      <c r="FC67" s="0"/>
      <c r="FD67" s="0"/>
      <c r="FE67" s="0"/>
      <c r="FF67" s="0"/>
      <c r="FG67" s="0"/>
      <c r="FH67" s="0"/>
      <c r="FI67" s="0"/>
      <c r="FJ67" s="0"/>
      <c r="FK67" s="0"/>
      <c r="FL67" s="0"/>
      <c r="FM67" s="0"/>
      <c r="FN67" s="0"/>
      <c r="FO67" s="0"/>
      <c r="FP67" s="0"/>
      <c r="FQ67" s="0"/>
      <c r="FR67" s="0"/>
      <c r="FS67" s="0"/>
      <c r="FT67" s="0"/>
      <c r="FU67" s="0"/>
      <c r="FV67" s="0"/>
      <c r="FW67" s="0"/>
      <c r="FX67" s="0"/>
      <c r="FY67" s="0"/>
      <c r="FZ67" s="0"/>
      <c r="GA67" s="0"/>
      <c r="GB67" s="0"/>
      <c r="GC67" s="0"/>
      <c r="GD67" s="0"/>
      <c r="GE67" s="0"/>
      <c r="GF67" s="0"/>
      <c r="GG67" s="0"/>
      <c r="GH67" s="0"/>
      <c r="GI67" s="0"/>
      <c r="GJ67" s="0"/>
      <c r="GK67" s="0"/>
      <c r="GL67" s="0"/>
      <c r="GM67" s="0"/>
      <c r="GN67" s="0"/>
      <c r="GO67" s="0"/>
      <c r="GP67" s="0"/>
      <c r="GQ67" s="0"/>
      <c r="GR67" s="0"/>
      <c r="GS67" s="0"/>
      <c r="GT67" s="0"/>
      <c r="GU67" s="0"/>
      <c r="GV67" s="0"/>
      <c r="GW67" s="0"/>
      <c r="GX67" s="0"/>
      <c r="GY67" s="0"/>
      <c r="GZ67" s="0"/>
      <c r="HA67" s="0"/>
      <c r="HB67" s="0"/>
      <c r="HC67" s="0"/>
      <c r="HD67" s="0"/>
      <c r="HE67" s="0"/>
      <c r="HF67" s="0"/>
      <c r="HG67" s="0"/>
      <c r="HH67" s="0"/>
      <c r="HI67" s="0"/>
      <c r="HJ67" s="0"/>
      <c r="HK67" s="0"/>
      <c r="HL67" s="0"/>
      <c r="HM67" s="0"/>
      <c r="HN67" s="0"/>
      <c r="HO67" s="0"/>
      <c r="HP67" s="0"/>
      <c r="HQ67" s="0"/>
      <c r="HR67" s="0"/>
      <c r="HS67" s="0"/>
      <c r="HT67" s="0"/>
      <c r="HU67" s="0"/>
      <c r="HV67" s="0"/>
      <c r="HW67" s="0"/>
      <c r="HX67" s="0"/>
      <c r="HY67" s="0"/>
      <c r="HZ67" s="0"/>
      <c r="IA67" s="0"/>
      <c r="IB67" s="0"/>
      <c r="IC67" s="0"/>
      <c r="ID67" s="0"/>
      <c r="IE67" s="0"/>
      <c r="IF67" s="0"/>
      <c r="IG67" s="0"/>
      <c r="IH67" s="0"/>
      <c r="II67" s="0"/>
      <c r="IJ67" s="0"/>
      <c r="IK67" s="0"/>
      <c r="IL67" s="0"/>
      <c r="IM67" s="0"/>
      <c r="IN67" s="0"/>
      <c r="IO67" s="0"/>
      <c r="IP67" s="0"/>
      <c r="IQ67" s="0"/>
      <c r="IR67" s="0"/>
      <c r="IS67" s="0"/>
      <c r="IT67" s="0"/>
      <c r="IU67" s="0"/>
      <c r="IV67" s="0"/>
      <c r="IW67" s="0"/>
    </row>
    <row r="68" customFormat="false" ht="12.75" hidden="false" customHeight="false" outlineLevel="0" collapsed="false">
      <c r="A68" s="5"/>
      <c r="B68" s="5"/>
      <c r="C68" s="5"/>
      <c r="D68" s="5"/>
      <c r="E68" s="5"/>
      <c r="F68" s="5"/>
      <c r="G68" s="5"/>
      <c r="H68" s="5"/>
      <c r="I68" s="5"/>
      <c r="J68" s="5"/>
      <c r="K68" s="5"/>
      <c r="L68" s="5"/>
      <c r="M68" s="5"/>
      <c r="N68" s="5"/>
      <c r="O68" s="5"/>
      <c r="P68" s="5"/>
      <c r="Q68" s="5"/>
      <c r="R68" s="5"/>
      <c r="S68" s="5"/>
      <c r="T68" s="5"/>
      <c r="U68" s="5"/>
      <c r="V68" s="5"/>
      <c r="W68" s="5"/>
      <c r="X68" s="5"/>
      <c r="Y68" s="5"/>
      <c r="Z68" s="5"/>
      <c r="AA68" s="0"/>
      <c r="AB68" s="0"/>
      <c r="AC68" s="0"/>
      <c r="AD68" s="0"/>
      <c r="AE68" s="0"/>
      <c r="AF68" s="0"/>
      <c r="AG68" s="0"/>
      <c r="AH68" s="0"/>
      <c r="AI68" s="0"/>
      <c r="AJ68" s="0"/>
      <c r="AK68" s="0"/>
      <c r="AL68" s="0"/>
      <c r="AM68" s="0"/>
      <c r="AN68" s="0"/>
      <c r="AO68" s="0"/>
      <c r="AP68" s="0"/>
      <c r="AQ68" s="0"/>
      <c r="AR68" s="0"/>
      <c r="AS68" s="0"/>
      <c r="AT68" s="0"/>
      <c r="AU68" s="0"/>
      <c r="AV68" s="0"/>
      <c r="AW68" s="0"/>
      <c r="AX68" s="0"/>
      <c r="AY68" s="0"/>
      <c r="AZ68" s="0"/>
      <c r="BA68" s="0"/>
      <c r="BB68" s="0"/>
      <c r="BC68" s="0"/>
      <c r="BD68" s="0"/>
      <c r="BE68" s="0"/>
      <c r="BF68" s="0"/>
      <c r="BG68" s="0"/>
      <c r="BH68" s="0"/>
      <c r="BI68" s="0"/>
      <c r="BJ68" s="0"/>
      <c r="BK68" s="0"/>
      <c r="BL68" s="0"/>
      <c r="BM68" s="0"/>
      <c r="BN68" s="0"/>
      <c r="BO68" s="0"/>
      <c r="BP68" s="0"/>
      <c r="BQ68" s="0"/>
      <c r="BR68" s="0"/>
      <c r="BS68" s="0"/>
      <c r="BT68" s="0"/>
      <c r="BU68" s="0"/>
      <c r="BV68" s="0"/>
      <c r="BW68" s="0"/>
      <c r="BX68" s="0"/>
      <c r="BY68" s="0"/>
      <c r="BZ68" s="0"/>
      <c r="CA68" s="0"/>
      <c r="CB68" s="0"/>
      <c r="CC68" s="0"/>
      <c r="CD68" s="0"/>
      <c r="CE68" s="0"/>
      <c r="CF68" s="0"/>
      <c r="CG68" s="0"/>
      <c r="CH68" s="0"/>
      <c r="CI68" s="0"/>
      <c r="CJ68" s="0"/>
      <c r="CK68" s="0"/>
      <c r="CL68" s="0"/>
      <c r="CM68" s="0"/>
      <c r="CN68" s="0"/>
      <c r="CO68" s="0"/>
      <c r="CP68" s="0"/>
      <c r="CQ68" s="0"/>
      <c r="CR68" s="0"/>
      <c r="CS68" s="0"/>
      <c r="CT68" s="0"/>
      <c r="CU68" s="0"/>
      <c r="CV68" s="0"/>
      <c r="CW68" s="0"/>
      <c r="CX68" s="0"/>
      <c r="CY68" s="0"/>
      <c r="CZ68" s="0"/>
      <c r="DA68" s="0"/>
      <c r="DB68" s="0"/>
      <c r="DC68" s="0"/>
      <c r="DD68" s="0"/>
      <c r="DE68" s="0"/>
      <c r="DF68" s="0"/>
      <c r="DG68" s="0"/>
      <c r="DH68" s="0"/>
      <c r="DI68" s="0"/>
      <c r="DJ68" s="0"/>
      <c r="DK68" s="0"/>
      <c r="DL68" s="0"/>
      <c r="DM68" s="0"/>
      <c r="DN68" s="0"/>
      <c r="DO68" s="0"/>
      <c r="DP68" s="0"/>
      <c r="DQ68" s="0"/>
      <c r="DR68" s="0"/>
      <c r="DS68" s="0"/>
      <c r="DT68" s="0"/>
      <c r="DU68" s="0"/>
      <c r="DV68" s="0"/>
      <c r="DW68" s="0"/>
      <c r="DX68" s="0"/>
      <c r="DY68" s="0"/>
      <c r="DZ68" s="0"/>
      <c r="EA68" s="0"/>
      <c r="EB68" s="0"/>
      <c r="EC68" s="0"/>
      <c r="ED68" s="0"/>
      <c r="EE68" s="0"/>
      <c r="EF68" s="0"/>
      <c r="EG68" s="0"/>
      <c r="EH68" s="0"/>
      <c r="EI68" s="0"/>
      <c r="EJ68" s="0"/>
      <c r="EK68" s="0"/>
      <c r="EL68" s="0"/>
      <c r="EM68" s="0"/>
      <c r="EN68" s="0"/>
      <c r="EO68" s="0"/>
      <c r="EP68" s="0"/>
      <c r="EQ68" s="0"/>
      <c r="ER68" s="0"/>
      <c r="ES68" s="0"/>
      <c r="ET68" s="0"/>
      <c r="EU68" s="0"/>
      <c r="EV68" s="0"/>
      <c r="EW68" s="0"/>
      <c r="EX68" s="0"/>
      <c r="EY68" s="0"/>
      <c r="EZ68" s="0"/>
      <c r="FA68" s="0"/>
      <c r="FB68" s="0"/>
      <c r="FC68" s="0"/>
      <c r="FD68" s="0"/>
      <c r="FE68" s="0"/>
      <c r="FF68" s="0"/>
      <c r="FG68" s="0"/>
      <c r="FH68" s="0"/>
      <c r="FI68" s="0"/>
      <c r="FJ68" s="0"/>
      <c r="FK68" s="0"/>
      <c r="FL68" s="0"/>
      <c r="FM68" s="0"/>
      <c r="FN68" s="0"/>
      <c r="FO68" s="0"/>
      <c r="FP68" s="0"/>
      <c r="FQ68" s="0"/>
      <c r="FR68" s="0"/>
      <c r="FS68" s="0"/>
      <c r="FT68" s="0"/>
      <c r="FU68" s="0"/>
      <c r="FV68" s="0"/>
      <c r="FW68" s="0"/>
      <c r="FX68" s="0"/>
      <c r="FY68" s="0"/>
      <c r="FZ68" s="0"/>
      <c r="GA68" s="0"/>
      <c r="GB68" s="0"/>
      <c r="GC68" s="0"/>
      <c r="GD68" s="0"/>
      <c r="GE68" s="0"/>
      <c r="GF68" s="0"/>
      <c r="GG68" s="0"/>
      <c r="GH68" s="0"/>
      <c r="GI68" s="0"/>
      <c r="GJ68" s="0"/>
      <c r="GK68" s="0"/>
      <c r="GL68" s="0"/>
      <c r="GM68" s="0"/>
      <c r="GN68" s="0"/>
      <c r="GO68" s="0"/>
      <c r="GP68" s="0"/>
      <c r="GQ68" s="0"/>
      <c r="GR68" s="0"/>
      <c r="GS68" s="0"/>
      <c r="GT68" s="0"/>
      <c r="GU68" s="0"/>
      <c r="GV68" s="0"/>
      <c r="GW68" s="0"/>
      <c r="GX68" s="0"/>
      <c r="GY68" s="0"/>
      <c r="GZ68" s="0"/>
      <c r="HA68" s="0"/>
      <c r="HB68" s="0"/>
      <c r="HC68" s="0"/>
      <c r="HD68" s="0"/>
      <c r="HE68" s="0"/>
      <c r="HF68" s="0"/>
      <c r="HG68" s="0"/>
      <c r="HH68" s="0"/>
      <c r="HI68" s="0"/>
      <c r="HJ68" s="0"/>
      <c r="HK68" s="0"/>
      <c r="HL68" s="0"/>
      <c r="HM68" s="0"/>
      <c r="HN68" s="0"/>
      <c r="HO68" s="0"/>
      <c r="HP68" s="0"/>
      <c r="HQ68" s="0"/>
      <c r="HR68" s="0"/>
      <c r="HS68" s="0"/>
      <c r="HT68" s="0"/>
      <c r="HU68" s="0"/>
      <c r="HV68" s="0"/>
      <c r="HW68" s="0"/>
      <c r="HX68" s="0"/>
      <c r="HY68" s="0"/>
      <c r="HZ68" s="0"/>
      <c r="IA68" s="0"/>
      <c r="IB68" s="0"/>
      <c r="IC68" s="0"/>
      <c r="ID68" s="0"/>
      <c r="IE68" s="0"/>
      <c r="IF68" s="0"/>
      <c r="IG68" s="0"/>
      <c r="IH68" s="0"/>
      <c r="II68" s="0"/>
      <c r="IJ68" s="0"/>
      <c r="IK68" s="0"/>
      <c r="IL68" s="0"/>
      <c r="IM68" s="0"/>
      <c r="IN68" s="0"/>
      <c r="IO68" s="0"/>
      <c r="IP68" s="0"/>
      <c r="IQ68" s="0"/>
      <c r="IR68" s="0"/>
      <c r="IS68" s="0"/>
      <c r="IT68" s="0"/>
      <c r="IU68" s="0"/>
      <c r="IV68" s="0"/>
      <c r="IW68" s="0"/>
    </row>
    <row r="69" customFormat="false" ht="12" hidden="false" customHeight="true" outlineLevel="0" collapsed="false">
      <c r="A69" s="5"/>
      <c r="B69" s="5"/>
      <c r="C69" s="5"/>
      <c r="D69" s="5"/>
      <c r="E69" s="5"/>
      <c r="F69" s="5"/>
      <c r="G69" s="5"/>
      <c r="H69" s="5"/>
      <c r="I69" s="5"/>
      <c r="J69" s="5"/>
      <c r="K69" s="5"/>
      <c r="L69" s="5"/>
      <c r="M69" s="5"/>
      <c r="N69" s="5"/>
      <c r="O69" s="5"/>
      <c r="P69" s="5"/>
      <c r="Q69" s="5"/>
      <c r="R69" s="5"/>
      <c r="S69" s="5"/>
      <c r="T69" s="5"/>
      <c r="U69" s="5"/>
      <c r="V69" s="5"/>
      <c r="W69" s="5"/>
      <c r="X69" s="5"/>
      <c r="Y69" s="5"/>
      <c r="Z69" s="5"/>
      <c r="AA69" s="0"/>
      <c r="AB69" s="0"/>
      <c r="AC69" s="0"/>
      <c r="AD69" s="0"/>
      <c r="AE69" s="0"/>
      <c r="AF69" s="0"/>
      <c r="AG69" s="0"/>
      <c r="AH69" s="0"/>
      <c r="AI69" s="0"/>
      <c r="AJ69" s="0"/>
      <c r="AK69" s="0"/>
      <c r="AL69" s="0"/>
      <c r="AM69" s="0"/>
      <c r="AN69" s="0"/>
      <c r="AO69" s="0"/>
      <c r="AP69" s="0"/>
      <c r="AQ69" s="0"/>
      <c r="AR69" s="0"/>
      <c r="AS69" s="0"/>
      <c r="AT69" s="0"/>
      <c r="AU69" s="0"/>
      <c r="AV69" s="0"/>
      <c r="AW69" s="0"/>
      <c r="AX69" s="0"/>
      <c r="AY69" s="0"/>
      <c r="AZ69" s="0"/>
      <c r="BA69" s="0"/>
      <c r="BB69" s="0"/>
      <c r="BC69" s="0"/>
      <c r="BD69" s="0"/>
      <c r="BE69" s="0"/>
      <c r="BF69" s="0"/>
      <c r="BG69" s="0"/>
      <c r="BH69" s="0"/>
      <c r="BI69" s="0"/>
      <c r="BJ69" s="0"/>
      <c r="BK69" s="0"/>
      <c r="BL69" s="0"/>
      <c r="BM69" s="0"/>
      <c r="BN69" s="0"/>
      <c r="BO69" s="0"/>
      <c r="BP69" s="0"/>
      <c r="BQ69" s="0"/>
      <c r="BR69" s="0"/>
      <c r="BS69" s="0"/>
      <c r="BT69" s="0"/>
      <c r="BU69" s="0"/>
      <c r="BV69" s="0"/>
      <c r="BW69" s="0"/>
      <c r="BX69" s="0"/>
      <c r="BY69" s="0"/>
      <c r="BZ69" s="0"/>
      <c r="CA69" s="0"/>
      <c r="CB69" s="0"/>
      <c r="CC69" s="0"/>
      <c r="CD69" s="0"/>
      <c r="CE69" s="0"/>
      <c r="CF69" s="0"/>
      <c r="CG69" s="0"/>
      <c r="CH69" s="0"/>
      <c r="CI69" s="0"/>
      <c r="CJ69" s="0"/>
      <c r="CK69" s="0"/>
      <c r="CL69" s="0"/>
      <c r="CM69" s="0"/>
      <c r="CN69" s="0"/>
      <c r="CO69" s="0"/>
      <c r="CP69" s="0"/>
      <c r="CQ69" s="0"/>
      <c r="CR69" s="0"/>
      <c r="CS69" s="0"/>
      <c r="CT69" s="0"/>
      <c r="CU69" s="0"/>
      <c r="CV69" s="0"/>
      <c r="CW69" s="0"/>
      <c r="CX69" s="0"/>
      <c r="CY69" s="0"/>
      <c r="CZ69" s="0"/>
      <c r="DA69" s="0"/>
      <c r="DB69" s="0"/>
      <c r="DC69" s="0"/>
      <c r="DD69" s="0"/>
      <c r="DE69" s="0"/>
      <c r="DF69" s="0"/>
      <c r="DG69" s="0"/>
      <c r="DH69" s="0"/>
      <c r="DI69" s="0"/>
      <c r="DJ69" s="0"/>
      <c r="DK69" s="0"/>
      <c r="DL69" s="0"/>
      <c r="DM69" s="0"/>
      <c r="DN69" s="0"/>
      <c r="DO69" s="0"/>
      <c r="DP69" s="0"/>
      <c r="DQ69" s="0"/>
      <c r="DR69" s="0"/>
      <c r="DS69" s="0"/>
      <c r="DT69" s="0"/>
      <c r="DU69" s="0"/>
      <c r="DV69" s="0"/>
      <c r="DW69" s="0"/>
      <c r="DX69" s="0"/>
      <c r="DY69" s="0"/>
      <c r="DZ69" s="0"/>
      <c r="EA69" s="0"/>
      <c r="EB69" s="0"/>
      <c r="EC69" s="0"/>
      <c r="ED69" s="0"/>
      <c r="EE69" s="0"/>
      <c r="EF69" s="0"/>
      <c r="EG69" s="0"/>
      <c r="EH69" s="0"/>
      <c r="EI69" s="0"/>
      <c r="EJ69" s="0"/>
      <c r="EK69" s="0"/>
      <c r="EL69" s="0"/>
      <c r="EM69" s="0"/>
      <c r="EN69" s="0"/>
      <c r="EO69" s="0"/>
      <c r="EP69" s="0"/>
      <c r="EQ69" s="0"/>
      <c r="ER69" s="0"/>
      <c r="ES69" s="0"/>
      <c r="ET69" s="0"/>
      <c r="EU69" s="0"/>
      <c r="EV69" s="0"/>
      <c r="EW69" s="0"/>
      <c r="EX69" s="0"/>
      <c r="EY69" s="0"/>
      <c r="EZ69" s="0"/>
      <c r="FA69" s="0"/>
      <c r="FB69" s="0"/>
      <c r="FC69" s="0"/>
      <c r="FD69" s="0"/>
      <c r="FE69" s="0"/>
      <c r="FF69" s="0"/>
      <c r="FG69" s="0"/>
      <c r="FH69" s="0"/>
      <c r="FI69" s="0"/>
      <c r="FJ69" s="0"/>
      <c r="FK69" s="0"/>
      <c r="FL69" s="0"/>
      <c r="FM69" s="0"/>
      <c r="FN69" s="0"/>
      <c r="FO69" s="0"/>
      <c r="FP69" s="0"/>
      <c r="FQ69" s="0"/>
      <c r="FR69" s="0"/>
      <c r="FS69" s="0"/>
      <c r="FT69" s="0"/>
      <c r="FU69" s="0"/>
      <c r="FV69" s="0"/>
      <c r="FW69" s="0"/>
      <c r="FX69" s="0"/>
      <c r="FY69" s="0"/>
      <c r="FZ69" s="0"/>
      <c r="GA69" s="0"/>
      <c r="GB69" s="0"/>
      <c r="GC69" s="0"/>
      <c r="GD69" s="0"/>
      <c r="GE69" s="0"/>
      <c r="GF69" s="0"/>
      <c r="GG69" s="0"/>
      <c r="GH69" s="0"/>
      <c r="GI69" s="0"/>
      <c r="GJ69" s="0"/>
      <c r="GK69" s="0"/>
      <c r="GL69" s="0"/>
      <c r="GM69" s="0"/>
      <c r="GN69" s="0"/>
      <c r="GO69" s="0"/>
      <c r="GP69" s="0"/>
      <c r="GQ69" s="0"/>
      <c r="GR69" s="0"/>
      <c r="GS69" s="0"/>
      <c r="GT69" s="0"/>
      <c r="GU69" s="0"/>
      <c r="GV69" s="0"/>
      <c r="GW69" s="0"/>
      <c r="GX69" s="0"/>
      <c r="GY69" s="0"/>
      <c r="GZ69" s="0"/>
      <c r="HA69" s="0"/>
      <c r="HB69" s="0"/>
      <c r="HC69" s="0"/>
      <c r="HD69" s="0"/>
      <c r="HE69" s="0"/>
      <c r="HF69" s="0"/>
      <c r="HG69" s="0"/>
      <c r="HH69" s="0"/>
      <c r="HI69" s="0"/>
      <c r="HJ69" s="0"/>
      <c r="HK69" s="0"/>
      <c r="HL69" s="0"/>
      <c r="HM69" s="0"/>
      <c r="HN69" s="0"/>
      <c r="HO69" s="0"/>
      <c r="HP69" s="0"/>
      <c r="HQ69" s="0"/>
      <c r="HR69" s="0"/>
      <c r="HS69" s="0"/>
      <c r="HT69" s="0"/>
      <c r="HU69" s="0"/>
      <c r="HV69" s="0"/>
      <c r="HW69" s="0"/>
      <c r="HX69" s="0"/>
      <c r="HY69" s="0"/>
      <c r="HZ69" s="0"/>
      <c r="IA69" s="0"/>
      <c r="IB69" s="0"/>
      <c r="IC69" s="0"/>
      <c r="ID69" s="0"/>
      <c r="IE69" s="0"/>
      <c r="IF69" s="0"/>
      <c r="IG69" s="0"/>
      <c r="IH69" s="0"/>
      <c r="II69" s="0"/>
      <c r="IJ69" s="0"/>
      <c r="IK69" s="0"/>
      <c r="IL69" s="0"/>
      <c r="IM69" s="0"/>
      <c r="IN69" s="0"/>
      <c r="IO69" s="0"/>
      <c r="IP69" s="0"/>
      <c r="IQ69" s="0"/>
      <c r="IR69" s="0"/>
      <c r="IS69" s="0"/>
      <c r="IT69" s="0"/>
      <c r="IU69" s="0"/>
      <c r="IV69" s="0"/>
      <c r="IW69" s="0"/>
    </row>
    <row r="70" customFormat="false" ht="14.25" hidden="false" customHeight="true" outlineLevel="0" collapsed="false">
      <c r="A70" s="5"/>
      <c r="B70" s="5"/>
      <c r="C70" s="5"/>
      <c r="D70" s="5"/>
      <c r="E70" s="5"/>
      <c r="F70" s="5"/>
      <c r="G70" s="5"/>
      <c r="H70" s="5"/>
      <c r="I70" s="5"/>
      <c r="J70" s="5"/>
      <c r="K70" s="5"/>
      <c r="L70" s="5"/>
      <c r="M70" s="5"/>
      <c r="N70" s="5"/>
      <c r="O70" s="5"/>
      <c r="P70" s="5"/>
      <c r="Q70" s="5"/>
      <c r="R70" s="5"/>
      <c r="S70" s="5"/>
      <c r="T70" s="5"/>
      <c r="U70" s="5"/>
      <c r="V70" s="5"/>
      <c r="W70" s="5"/>
      <c r="X70" s="5"/>
      <c r="Y70" s="5"/>
      <c r="Z70" s="5"/>
      <c r="AA70" s="0"/>
      <c r="AB70" s="0"/>
      <c r="AC70" s="0"/>
      <c r="AD70" s="0"/>
      <c r="AE70" s="0"/>
      <c r="AF70" s="0"/>
      <c r="AG70" s="0"/>
      <c r="AH70" s="0"/>
      <c r="AI70" s="0"/>
      <c r="AJ70" s="0"/>
      <c r="AK70" s="0"/>
      <c r="AL70" s="0"/>
      <c r="AM70" s="0"/>
      <c r="AN70" s="0"/>
      <c r="AO70" s="0"/>
      <c r="AP70" s="0"/>
      <c r="AQ70" s="0"/>
      <c r="AR70" s="0"/>
      <c r="AS70" s="0"/>
      <c r="AT70" s="0"/>
      <c r="AU70" s="0"/>
      <c r="AV70" s="0"/>
      <c r="AW70" s="0"/>
      <c r="AX70" s="0"/>
      <c r="AY70" s="0"/>
      <c r="AZ70" s="0"/>
      <c r="BA70" s="0"/>
      <c r="BB70" s="0"/>
      <c r="BC70" s="0"/>
      <c r="BD70" s="0"/>
      <c r="BE70" s="0"/>
      <c r="BF70" s="0"/>
      <c r="BG70" s="0"/>
      <c r="BH70" s="0"/>
      <c r="BI70" s="0"/>
      <c r="BJ70" s="0"/>
      <c r="BK70" s="0"/>
      <c r="BL70" s="0"/>
      <c r="BM70" s="0"/>
      <c r="BN70" s="0"/>
      <c r="BO70" s="0"/>
      <c r="BP70" s="0"/>
      <c r="BQ70" s="0"/>
      <c r="BR70" s="0"/>
      <c r="BS70" s="0"/>
      <c r="BT70" s="0"/>
      <c r="BU70" s="0"/>
      <c r="BV70" s="0"/>
      <c r="BW70" s="0"/>
      <c r="BX70" s="0"/>
      <c r="BY70" s="0"/>
      <c r="BZ70" s="0"/>
      <c r="CA70" s="0"/>
      <c r="CB70" s="0"/>
      <c r="CC70" s="0"/>
      <c r="CD70" s="0"/>
      <c r="CE70" s="0"/>
      <c r="CF70" s="0"/>
      <c r="CG70" s="0"/>
      <c r="CH70" s="0"/>
      <c r="CI70" s="0"/>
      <c r="CJ70" s="0"/>
      <c r="CK70" s="0"/>
      <c r="CL70" s="0"/>
      <c r="CM70" s="0"/>
      <c r="CN70" s="0"/>
      <c r="CO70" s="0"/>
      <c r="CP70" s="0"/>
      <c r="CQ70" s="0"/>
      <c r="CR70" s="0"/>
      <c r="CS70" s="0"/>
      <c r="CT70" s="0"/>
      <c r="CU70" s="0"/>
      <c r="CV70" s="0"/>
      <c r="CW70" s="0"/>
      <c r="CX70" s="0"/>
      <c r="CY70" s="0"/>
      <c r="CZ70" s="0"/>
      <c r="DA70" s="0"/>
      <c r="DB70" s="0"/>
      <c r="DC70" s="0"/>
      <c r="DD70" s="0"/>
      <c r="DE70" s="0"/>
      <c r="DF70" s="0"/>
      <c r="DG70" s="0"/>
      <c r="DH70" s="0"/>
      <c r="DI70" s="0"/>
      <c r="DJ70" s="0"/>
      <c r="DK70" s="0"/>
      <c r="DL70" s="0"/>
      <c r="DM70" s="0"/>
      <c r="DN70" s="0"/>
      <c r="DO70" s="0"/>
      <c r="DP70" s="0"/>
      <c r="DQ70" s="0"/>
      <c r="DR70" s="0"/>
      <c r="DS70" s="0"/>
      <c r="DT70" s="0"/>
      <c r="DU70" s="0"/>
      <c r="DV70" s="0"/>
      <c r="DW70" s="0"/>
      <c r="DX70" s="0"/>
      <c r="DY70" s="0"/>
      <c r="DZ70" s="0"/>
      <c r="EA70" s="0"/>
      <c r="EB70" s="0"/>
      <c r="EC70" s="0"/>
      <c r="ED70" s="0"/>
      <c r="EE70" s="0"/>
      <c r="EF70" s="0"/>
      <c r="EG70" s="0"/>
      <c r="EH70" s="0"/>
      <c r="EI70" s="0"/>
      <c r="EJ70" s="0"/>
      <c r="EK70" s="0"/>
      <c r="EL70" s="0"/>
      <c r="EM70" s="0"/>
      <c r="EN70" s="0"/>
      <c r="EO70" s="0"/>
      <c r="EP70" s="0"/>
      <c r="EQ70" s="0"/>
      <c r="ER70" s="0"/>
      <c r="ES70" s="0"/>
      <c r="ET70" s="0"/>
      <c r="EU70" s="0"/>
      <c r="EV70" s="0"/>
      <c r="EW70" s="0"/>
      <c r="EX70" s="0"/>
      <c r="EY70" s="0"/>
      <c r="EZ70" s="0"/>
      <c r="FA70" s="0"/>
      <c r="FB70" s="0"/>
      <c r="FC70" s="0"/>
      <c r="FD70" s="0"/>
      <c r="FE70" s="0"/>
      <c r="FF70" s="0"/>
      <c r="FG70" s="0"/>
      <c r="FH70" s="0"/>
      <c r="FI70" s="0"/>
      <c r="FJ70" s="0"/>
      <c r="FK70" s="0"/>
      <c r="FL70" s="0"/>
      <c r="FM70" s="0"/>
      <c r="FN70" s="0"/>
      <c r="FO70" s="0"/>
      <c r="FP70" s="0"/>
      <c r="FQ70" s="0"/>
      <c r="FR70" s="0"/>
      <c r="FS70" s="0"/>
      <c r="FT70" s="0"/>
      <c r="FU70" s="0"/>
      <c r="FV70" s="0"/>
      <c r="FW70" s="0"/>
      <c r="FX70" s="0"/>
      <c r="FY70" s="0"/>
      <c r="FZ70" s="0"/>
      <c r="GA70" s="0"/>
      <c r="GB70" s="0"/>
      <c r="GC70" s="0"/>
      <c r="GD70" s="0"/>
      <c r="GE70" s="0"/>
      <c r="GF70" s="0"/>
      <c r="GG70" s="0"/>
      <c r="GH70" s="0"/>
      <c r="GI70" s="0"/>
      <c r="GJ70" s="0"/>
      <c r="GK70" s="0"/>
      <c r="GL70" s="0"/>
      <c r="GM70" s="0"/>
      <c r="GN70" s="0"/>
      <c r="GO70" s="0"/>
      <c r="GP70" s="0"/>
      <c r="GQ70" s="0"/>
      <c r="GR70" s="0"/>
      <c r="GS70" s="0"/>
      <c r="GT70" s="0"/>
      <c r="GU70" s="0"/>
      <c r="GV70" s="0"/>
      <c r="GW70" s="0"/>
      <c r="GX70" s="0"/>
      <c r="GY70" s="0"/>
      <c r="GZ70" s="0"/>
      <c r="HA70" s="0"/>
      <c r="HB70" s="0"/>
      <c r="HC70" s="0"/>
      <c r="HD70" s="0"/>
      <c r="HE70" s="0"/>
      <c r="HF70" s="0"/>
      <c r="HG70" s="0"/>
      <c r="HH70" s="0"/>
      <c r="HI70" s="0"/>
      <c r="HJ70" s="0"/>
      <c r="HK70" s="0"/>
      <c r="HL70" s="0"/>
      <c r="HM70" s="0"/>
      <c r="HN70" s="0"/>
      <c r="HO70" s="0"/>
      <c r="HP70" s="0"/>
      <c r="HQ70" s="0"/>
      <c r="HR70" s="0"/>
      <c r="HS70" s="0"/>
      <c r="HT70" s="0"/>
      <c r="HU70" s="0"/>
      <c r="HV70" s="0"/>
      <c r="HW70" s="0"/>
      <c r="HX70" s="0"/>
      <c r="HY70" s="0"/>
      <c r="HZ70" s="0"/>
      <c r="IA70" s="0"/>
      <c r="IB70" s="0"/>
      <c r="IC70" s="0"/>
      <c r="ID70" s="0"/>
      <c r="IE70" s="0"/>
      <c r="IF70" s="0"/>
      <c r="IG70" s="0"/>
      <c r="IH70" s="0"/>
      <c r="II70" s="0"/>
      <c r="IJ70" s="0"/>
      <c r="IK70" s="0"/>
      <c r="IL70" s="0"/>
      <c r="IM70" s="0"/>
      <c r="IN70" s="0"/>
      <c r="IO70" s="0"/>
      <c r="IP70" s="0"/>
      <c r="IQ70" s="0"/>
      <c r="IR70" s="0"/>
      <c r="IS70" s="0"/>
      <c r="IT70" s="0"/>
      <c r="IU70" s="0"/>
      <c r="IV70" s="0"/>
      <c r="IW70" s="0"/>
    </row>
    <row r="71" customFormat="false" ht="14.25" hidden="false" customHeight="true" outlineLevel="0" collapsed="false">
      <c r="A71" s="5"/>
      <c r="B71" s="5"/>
      <c r="C71" s="5"/>
      <c r="D71" s="5"/>
      <c r="E71" s="5"/>
      <c r="F71" s="5"/>
      <c r="G71" s="5"/>
      <c r="H71" s="5"/>
      <c r="I71" s="5"/>
      <c r="J71" s="5"/>
      <c r="K71" s="5"/>
      <c r="L71" s="5"/>
      <c r="M71" s="5"/>
      <c r="N71" s="5"/>
      <c r="O71" s="5"/>
      <c r="P71" s="5"/>
      <c r="Q71" s="5"/>
      <c r="R71" s="5"/>
      <c r="S71" s="5"/>
      <c r="T71" s="5"/>
      <c r="U71" s="5"/>
      <c r="V71" s="5"/>
      <c r="W71" s="5"/>
      <c r="X71" s="5"/>
      <c r="Y71" s="5"/>
      <c r="Z71" s="5"/>
      <c r="AA71" s="0"/>
      <c r="AB71" s="0"/>
      <c r="AC71" s="0"/>
      <c r="AD71" s="0"/>
      <c r="AE71" s="0"/>
      <c r="AF71" s="0"/>
      <c r="AG71" s="0"/>
      <c r="AH71" s="0"/>
      <c r="AI71" s="0"/>
      <c r="AJ71" s="0"/>
      <c r="AK71" s="0"/>
      <c r="AL71" s="0"/>
      <c r="AM71" s="0"/>
      <c r="AN71" s="0"/>
      <c r="AO71" s="0"/>
      <c r="AP71" s="0"/>
      <c r="AQ71" s="0"/>
      <c r="AR71" s="0"/>
      <c r="AS71" s="0"/>
      <c r="AT71" s="0"/>
      <c r="AU71" s="0"/>
      <c r="AV71" s="0"/>
      <c r="AW71" s="0"/>
      <c r="AX71" s="0"/>
      <c r="AY71" s="0"/>
      <c r="AZ71" s="0"/>
      <c r="BA71" s="0"/>
      <c r="BB71" s="0"/>
      <c r="BC71" s="0"/>
      <c r="BD71" s="0"/>
      <c r="BE71" s="0"/>
      <c r="BF71" s="0"/>
      <c r="BG71" s="0"/>
      <c r="BH71" s="0"/>
      <c r="BI71" s="0"/>
      <c r="BJ71" s="0"/>
      <c r="BK71" s="0"/>
      <c r="BL71" s="0"/>
      <c r="BM71" s="0"/>
      <c r="BN71" s="0"/>
      <c r="BO71" s="0"/>
      <c r="BP71" s="0"/>
      <c r="BQ71" s="0"/>
      <c r="BR71" s="0"/>
      <c r="BS71" s="0"/>
      <c r="BT71" s="0"/>
      <c r="BU71" s="0"/>
      <c r="BV71" s="0"/>
      <c r="BW71" s="0"/>
      <c r="BX71" s="0"/>
      <c r="BY71" s="0"/>
      <c r="BZ71" s="0"/>
      <c r="CA71" s="0"/>
      <c r="CB71" s="0"/>
      <c r="CC71" s="0"/>
      <c r="CD71" s="0"/>
      <c r="CE71" s="0"/>
      <c r="CF71" s="0"/>
      <c r="CG71" s="0"/>
      <c r="CH71" s="0"/>
      <c r="CI71" s="0"/>
      <c r="CJ71" s="0"/>
      <c r="CK71" s="0"/>
      <c r="CL71" s="0"/>
      <c r="CM71" s="0"/>
      <c r="CN71" s="0"/>
      <c r="CO71" s="0"/>
      <c r="CP71" s="0"/>
      <c r="CQ71" s="0"/>
      <c r="CR71" s="0"/>
      <c r="CS71" s="0"/>
      <c r="CT71" s="0"/>
      <c r="CU71" s="0"/>
      <c r="CV71" s="0"/>
      <c r="CW71" s="0"/>
      <c r="CX71" s="0"/>
      <c r="CY71" s="0"/>
      <c r="CZ71" s="0"/>
      <c r="DA71" s="0"/>
      <c r="DB71" s="0"/>
      <c r="DC71" s="0"/>
      <c r="DD71" s="0"/>
      <c r="DE71" s="0"/>
      <c r="DF71" s="0"/>
      <c r="DG71" s="0"/>
      <c r="DH71" s="0"/>
      <c r="DI71" s="0"/>
      <c r="DJ71" s="0"/>
      <c r="DK71" s="0"/>
      <c r="DL71" s="0"/>
      <c r="DM71" s="0"/>
      <c r="DN71" s="0"/>
      <c r="DO71" s="0"/>
      <c r="DP71" s="0"/>
      <c r="DQ71" s="0"/>
      <c r="DR71" s="0"/>
      <c r="DS71" s="0"/>
      <c r="DT71" s="0"/>
      <c r="DU71" s="0"/>
      <c r="DV71" s="0"/>
      <c r="DW71" s="0"/>
      <c r="DX71" s="0"/>
      <c r="DY71" s="0"/>
      <c r="DZ71" s="0"/>
      <c r="EA71" s="0"/>
      <c r="EB71" s="0"/>
      <c r="EC71" s="0"/>
      <c r="ED71" s="0"/>
      <c r="EE71" s="0"/>
      <c r="EF71" s="0"/>
      <c r="EG71" s="0"/>
      <c r="EH71" s="0"/>
      <c r="EI71" s="0"/>
      <c r="EJ71" s="0"/>
      <c r="EK71" s="0"/>
      <c r="EL71" s="0"/>
      <c r="EM71" s="0"/>
      <c r="EN71" s="0"/>
      <c r="EO71" s="0"/>
      <c r="EP71" s="0"/>
      <c r="EQ71" s="0"/>
      <c r="ER71" s="0"/>
      <c r="ES71" s="0"/>
      <c r="ET71" s="0"/>
      <c r="EU71" s="0"/>
      <c r="EV71" s="0"/>
      <c r="EW71" s="0"/>
      <c r="EX71" s="0"/>
      <c r="EY71" s="0"/>
      <c r="EZ71" s="0"/>
      <c r="FA71" s="0"/>
      <c r="FB71" s="0"/>
      <c r="FC71" s="0"/>
      <c r="FD71" s="0"/>
      <c r="FE71" s="0"/>
      <c r="FF71" s="0"/>
      <c r="FG71" s="0"/>
      <c r="FH71" s="0"/>
      <c r="FI71" s="0"/>
      <c r="FJ71" s="0"/>
      <c r="FK71" s="0"/>
      <c r="FL71" s="0"/>
      <c r="FM71" s="0"/>
      <c r="FN71" s="0"/>
      <c r="FO71" s="0"/>
      <c r="FP71" s="0"/>
      <c r="FQ71" s="0"/>
      <c r="FR71" s="0"/>
      <c r="FS71" s="0"/>
      <c r="FT71" s="0"/>
      <c r="FU71" s="0"/>
      <c r="FV71" s="0"/>
      <c r="FW71" s="0"/>
      <c r="FX71" s="0"/>
      <c r="FY71" s="0"/>
      <c r="FZ71" s="0"/>
      <c r="GA71" s="0"/>
      <c r="GB71" s="0"/>
      <c r="GC71" s="0"/>
      <c r="GD71" s="0"/>
      <c r="GE71" s="0"/>
      <c r="GF71" s="0"/>
      <c r="GG71" s="0"/>
      <c r="GH71" s="0"/>
      <c r="GI71" s="0"/>
      <c r="GJ71" s="0"/>
      <c r="GK71" s="0"/>
      <c r="GL71" s="0"/>
      <c r="GM71" s="0"/>
      <c r="GN71" s="0"/>
      <c r="GO71" s="0"/>
      <c r="GP71" s="0"/>
      <c r="GQ71" s="0"/>
      <c r="GR71" s="0"/>
      <c r="GS71" s="0"/>
      <c r="GT71" s="0"/>
      <c r="GU71" s="0"/>
      <c r="GV71" s="0"/>
      <c r="GW71" s="0"/>
      <c r="GX71" s="0"/>
      <c r="GY71" s="0"/>
      <c r="GZ71" s="0"/>
      <c r="HA71" s="0"/>
      <c r="HB71" s="0"/>
      <c r="HC71" s="0"/>
      <c r="HD71" s="0"/>
      <c r="HE71" s="0"/>
      <c r="HF71" s="0"/>
      <c r="HG71" s="0"/>
      <c r="HH71" s="0"/>
      <c r="HI71" s="0"/>
      <c r="HJ71" s="0"/>
      <c r="HK71" s="0"/>
      <c r="HL71" s="0"/>
      <c r="HM71" s="0"/>
      <c r="HN71" s="0"/>
      <c r="HO71" s="0"/>
      <c r="HP71" s="0"/>
      <c r="HQ71" s="0"/>
      <c r="HR71" s="0"/>
      <c r="HS71" s="0"/>
      <c r="HT71" s="0"/>
      <c r="HU71" s="0"/>
      <c r="HV71" s="0"/>
      <c r="HW71" s="0"/>
      <c r="HX71" s="0"/>
      <c r="HY71" s="0"/>
      <c r="HZ71" s="0"/>
      <c r="IA71" s="0"/>
      <c r="IB71" s="0"/>
      <c r="IC71" s="0"/>
      <c r="ID71" s="0"/>
      <c r="IE71" s="0"/>
      <c r="IF71" s="0"/>
      <c r="IG71" s="0"/>
      <c r="IH71" s="0"/>
      <c r="II71" s="0"/>
      <c r="IJ71" s="0"/>
      <c r="IK71" s="0"/>
      <c r="IL71" s="0"/>
      <c r="IM71" s="0"/>
      <c r="IN71" s="0"/>
      <c r="IO71" s="0"/>
      <c r="IP71" s="0"/>
      <c r="IQ71" s="0"/>
      <c r="IR71" s="0"/>
      <c r="IS71" s="0"/>
      <c r="IT71" s="0"/>
      <c r="IU71" s="0"/>
      <c r="IV71" s="0"/>
      <c r="IW71" s="0"/>
    </row>
    <row r="72" customFormat="false" ht="12.75" hidden="false" customHeight="false" outlineLevel="0" collapsed="false">
      <c r="A72" s="5"/>
      <c r="B72" s="5"/>
      <c r="C72" s="5"/>
      <c r="D72" s="5"/>
      <c r="E72" s="5"/>
      <c r="F72" s="5"/>
      <c r="G72" s="5"/>
      <c r="H72" s="5"/>
      <c r="I72" s="5"/>
      <c r="J72" s="5"/>
      <c r="K72" s="5"/>
      <c r="L72" s="5"/>
      <c r="M72" s="5"/>
      <c r="N72" s="5"/>
      <c r="O72" s="5"/>
      <c r="P72" s="5"/>
      <c r="Q72" s="5"/>
      <c r="R72" s="5"/>
      <c r="S72" s="5"/>
      <c r="T72" s="5"/>
      <c r="U72" s="5"/>
      <c r="V72" s="5"/>
      <c r="W72" s="5"/>
      <c r="X72" s="5"/>
      <c r="Y72" s="5"/>
      <c r="Z72" s="5"/>
      <c r="AA72" s="0"/>
      <c r="AB72" s="0"/>
      <c r="AC72" s="0"/>
      <c r="AD72" s="0"/>
      <c r="AE72" s="0"/>
      <c r="AF72" s="0"/>
      <c r="AG72" s="0"/>
      <c r="AH72" s="0"/>
      <c r="AI72" s="0"/>
      <c r="AJ72" s="0"/>
      <c r="AK72" s="0"/>
      <c r="AL72" s="0"/>
      <c r="AM72" s="0"/>
      <c r="AN72" s="0"/>
      <c r="AO72" s="0"/>
      <c r="AP72" s="0"/>
      <c r="AQ72" s="0"/>
      <c r="AR72" s="0"/>
      <c r="AS72" s="0"/>
      <c r="AT72" s="0"/>
      <c r="AU72" s="0"/>
      <c r="AV72" s="0"/>
      <c r="AW72" s="0"/>
      <c r="AX72" s="0"/>
      <c r="AY72" s="0"/>
      <c r="AZ72" s="0"/>
      <c r="BA72" s="0"/>
      <c r="BB72" s="0"/>
      <c r="BC72" s="0"/>
      <c r="BD72" s="0"/>
      <c r="BE72" s="0"/>
      <c r="BF72" s="0"/>
      <c r="BG72" s="0"/>
      <c r="BH72" s="0"/>
      <c r="BI72" s="0"/>
      <c r="BJ72" s="0"/>
      <c r="BK72" s="0"/>
      <c r="BL72" s="0"/>
      <c r="BM72" s="0"/>
      <c r="BN72" s="0"/>
      <c r="BO72" s="0"/>
      <c r="BP72" s="0"/>
      <c r="BQ72" s="0"/>
      <c r="BR72" s="0"/>
      <c r="BS72" s="0"/>
      <c r="BT72" s="0"/>
      <c r="BU72" s="0"/>
      <c r="BV72" s="0"/>
      <c r="BW72" s="0"/>
      <c r="BX72" s="0"/>
      <c r="BY72" s="0"/>
      <c r="BZ72" s="0"/>
      <c r="CA72" s="0"/>
      <c r="CB72" s="0"/>
      <c r="CC72" s="0"/>
      <c r="CD72" s="0"/>
      <c r="CE72" s="0"/>
      <c r="CF72" s="0"/>
      <c r="CG72" s="0"/>
      <c r="CH72" s="0"/>
      <c r="CI72" s="0"/>
      <c r="CJ72" s="0"/>
      <c r="CK72" s="0"/>
      <c r="CL72" s="0"/>
      <c r="CM72" s="0"/>
      <c r="CN72" s="0"/>
      <c r="CO72" s="0"/>
      <c r="CP72" s="0"/>
      <c r="CQ72" s="0"/>
      <c r="CR72" s="0"/>
      <c r="CS72" s="0"/>
      <c r="CT72" s="0"/>
      <c r="CU72" s="0"/>
      <c r="CV72" s="0"/>
      <c r="CW72" s="0"/>
      <c r="CX72" s="0"/>
      <c r="CY72" s="0"/>
      <c r="CZ72" s="0"/>
      <c r="DA72" s="0"/>
      <c r="DB72" s="0"/>
      <c r="DC72" s="0"/>
      <c r="DD72" s="0"/>
      <c r="DE72" s="0"/>
      <c r="DF72" s="0"/>
      <c r="DG72" s="0"/>
      <c r="DH72" s="0"/>
      <c r="DI72" s="0"/>
      <c r="DJ72" s="0"/>
      <c r="DK72" s="0"/>
      <c r="DL72" s="0"/>
      <c r="DM72" s="0"/>
      <c r="DN72" s="0"/>
      <c r="DO72" s="0"/>
      <c r="DP72" s="0"/>
      <c r="DQ72" s="0"/>
      <c r="DR72" s="0"/>
      <c r="DS72" s="0"/>
      <c r="DT72" s="0"/>
      <c r="DU72" s="0"/>
      <c r="DV72" s="0"/>
      <c r="DW72" s="0"/>
      <c r="DX72" s="0"/>
      <c r="DY72" s="0"/>
      <c r="DZ72" s="0"/>
      <c r="EA72" s="0"/>
      <c r="EB72" s="0"/>
      <c r="EC72" s="0"/>
      <c r="ED72" s="0"/>
      <c r="EE72" s="0"/>
      <c r="EF72" s="0"/>
      <c r="EG72" s="0"/>
      <c r="EH72" s="0"/>
      <c r="EI72" s="0"/>
      <c r="EJ72" s="0"/>
      <c r="EK72" s="0"/>
      <c r="EL72" s="0"/>
      <c r="EM72" s="0"/>
      <c r="EN72" s="0"/>
      <c r="EO72" s="0"/>
      <c r="EP72" s="0"/>
      <c r="EQ72" s="0"/>
      <c r="ER72" s="0"/>
      <c r="ES72" s="0"/>
      <c r="ET72" s="0"/>
      <c r="EU72" s="0"/>
      <c r="EV72" s="0"/>
      <c r="EW72" s="0"/>
      <c r="EX72" s="0"/>
      <c r="EY72" s="0"/>
      <c r="EZ72" s="0"/>
      <c r="FA72" s="0"/>
      <c r="FB72" s="0"/>
      <c r="FC72" s="0"/>
      <c r="FD72" s="0"/>
      <c r="FE72" s="0"/>
      <c r="FF72" s="0"/>
      <c r="FG72" s="0"/>
      <c r="FH72" s="0"/>
      <c r="FI72" s="0"/>
      <c r="FJ72" s="0"/>
      <c r="FK72" s="0"/>
      <c r="FL72" s="0"/>
      <c r="FM72" s="0"/>
      <c r="FN72" s="0"/>
      <c r="FO72" s="0"/>
      <c r="FP72" s="0"/>
      <c r="FQ72" s="0"/>
      <c r="FR72" s="0"/>
      <c r="FS72" s="0"/>
      <c r="FT72" s="0"/>
      <c r="FU72" s="0"/>
      <c r="FV72" s="0"/>
      <c r="FW72" s="0"/>
      <c r="FX72" s="0"/>
      <c r="FY72" s="0"/>
      <c r="FZ72" s="0"/>
      <c r="GA72" s="0"/>
      <c r="GB72" s="0"/>
      <c r="GC72" s="0"/>
      <c r="GD72" s="0"/>
      <c r="GE72" s="0"/>
      <c r="GF72" s="0"/>
      <c r="GG72" s="0"/>
      <c r="GH72" s="0"/>
      <c r="GI72" s="0"/>
      <c r="GJ72" s="0"/>
      <c r="GK72" s="0"/>
      <c r="GL72" s="0"/>
      <c r="GM72" s="0"/>
      <c r="GN72" s="0"/>
      <c r="GO72" s="0"/>
      <c r="GP72" s="0"/>
      <c r="GQ72" s="0"/>
      <c r="GR72" s="0"/>
      <c r="GS72" s="0"/>
      <c r="GT72" s="0"/>
      <c r="GU72" s="0"/>
      <c r="GV72" s="0"/>
      <c r="GW72" s="0"/>
      <c r="GX72" s="0"/>
      <c r="GY72" s="0"/>
      <c r="GZ72" s="0"/>
      <c r="HA72" s="0"/>
      <c r="HB72" s="0"/>
      <c r="HC72" s="0"/>
      <c r="HD72" s="0"/>
      <c r="HE72" s="0"/>
      <c r="HF72" s="0"/>
      <c r="HG72" s="0"/>
      <c r="HH72" s="0"/>
      <c r="HI72" s="0"/>
      <c r="HJ72" s="0"/>
      <c r="HK72" s="0"/>
      <c r="HL72" s="0"/>
      <c r="HM72" s="0"/>
      <c r="HN72" s="0"/>
      <c r="HO72" s="0"/>
      <c r="HP72" s="0"/>
      <c r="HQ72" s="0"/>
      <c r="HR72" s="0"/>
      <c r="HS72" s="0"/>
      <c r="HT72" s="0"/>
      <c r="HU72" s="0"/>
      <c r="HV72" s="0"/>
      <c r="HW72" s="0"/>
      <c r="HX72" s="0"/>
      <c r="HY72" s="0"/>
      <c r="HZ72" s="0"/>
      <c r="IA72" s="0"/>
      <c r="IB72" s="0"/>
      <c r="IC72" s="0"/>
      <c r="ID72" s="0"/>
      <c r="IE72" s="0"/>
      <c r="IF72" s="0"/>
      <c r="IG72" s="0"/>
      <c r="IH72" s="0"/>
      <c r="II72" s="0"/>
      <c r="IJ72" s="0"/>
      <c r="IK72" s="0"/>
      <c r="IL72" s="0"/>
      <c r="IM72" s="0"/>
      <c r="IN72" s="0"/>
      <c r="IO72" s="0"/>
      <c r="IP72" s="0"/>
      <c r="IQ72" s="0"/>
      <c r="IR72" s="0"/>
      <c r="IS72" s="0"/>
      <c r="IT72" s="0"/>
      <c r="IU72" s="0"/>
      <c r="IV72" s="0"/>
      <c r="IW72" s="0"/>
    </row>
    <row r="73" customFormat="false" ht="11.25" hidden="false" customHeight="true" outlineLevel="0" collapsed="false">
      <c r="A73" s="892"/>
      <c r="B73" s="934"/>
      <c r="D73" s="934"/>
      <c r="E73" s="934"/>
      <c r="F73" s="934"/>
      <c r="G73" s="934"/>
      <c r="H73" s="934"/>
      <c r="I73" s="934"/>
      <c r="J73" s="934"/>
      <c r="K73" s="934"/>
      <c r="L73" s="934"/>
      <c r="M73" s="934"/>
      <c r="N73" s="934"/>
      <c r="O73" s="934"/>
      <c r="P73" s="934"/>
      <c r="Q73" s="934"/>
      <c r="R73" s="934"/>
      <c r="S73" s="934"/>
      <c r="T73" s="934"/>
      <c r="U73" s="934"/>
      <c r="V73" s="934"/>
      <c r="W73" s="934"/>
      <c r="X73" s="934"/>
      <c r="Y73" s="934"/>
      <c r="Z73" s="934"/>
      <c r="AA73" s="927"/>
      <c r="AB73" s="927"/>
      <c r="AC73" s="927"/>
      <c r="AD73" s="927"/>
      <c r="AE73" s="928"/>
    </row>
    <row r="74" customFormat="false" ht="11.25" hidden="false" customHeight="true" outlineLevel="0" collapsed="false">
      <c r="A74" s="892"/>
      <c r="B74" s="934"/>
      <c r="D74" s="934"/>
      <c r="E74" s="934"/>
      <c r="F74" s="934"/>
      <c r="G74" s="934"/>
      <c r="H74" s="934"/>
      <c r="I74" s="934"/>
      <c r="J74" s="934"/>
      <c r="K74" s="934"/>
      <c r="L74" s="934"/>
      <c r="M74" s="934"/>
      <c r="N74" s="934"/>
      <c r="O74" s="934"/>
      <c r="P74" s="934"/>
      <c r="Q74" s="934"/>
      <c r="R74" s="934"/>
      <c r="S74" s="934"/>
      <c r="T74" s="934"/>
      <c r="U74" s="934"/>
      <c r="V74" s="934"/>
      <c r="W74" s="934"/>
      <c r="X74" s="934"/>
      <c r="Y74" s="934"/>
      <c r="Z74" s="934"/>
      <c r="AA74" s="927"/>
      <c r="AB74" s="927"/>
      <c r="AC74" s="927"/>
      <c r="AD74" s="927"/>
      <c r="AE74" s="928"/>
    </row>
    <row r="75" customFormat="false" ht="11.25" hidden="false" customHeight="true" outlineLevel="0" collapsed="false">
      <c r="A75" s="957" t="s">
        <v>674</v>
      </c>
      <c r="B75" s="958"/>
      <c r="D75" s="934"/>
      <c r="E75" s="934"/>
      <c r="F75" s="934"/>
      <c r="G75" s="934"/>
      <c r="H75" s="934"/>
      <c r="I75" s="934"/>
      <c r="J75" s="934"/>
      <c r="K75" s="934"/>
      <c r="L75" s="934"/>
      <c r="M75" s="934"/>
      <c r="N75" s="934"/>
      <c r="O75" s="934"/>
      <c r="P75" s="934"/>
      <c r="Q75" s="934"/>
      <c r="R75" s="934"/>
      <c r="S75" s="934"/>
      <c r="T75" s="934"/>
      <c r="U75" s="934"/>
      <c r="V75" s="934"/>
      <c r="W75" s="934"/>
      <c r="X75" s="934"/>
      <c r="Y75" s="934"/>
      <c r="Z75" s="934"/>
      <c r="AA75" s="927"/>
      <c r="AB75" s="927"/>
      <c r="AC75" s="927"/>
      <c r="AD75" s="927"/>
      <c r="AE75" s="928"/>
    </row>
    <row r="76" customFormat="false" ht="11.25" hidden="false" customHeight="true" outlineLevel="0" collapsed="false">
      <c r="A76" s="5" t="s">
        <v>675</v>
      </c>
      <c r="B76" s="5"/>
      <c r="D76" s="934"/>
      <c r="E76" s="934"/>
      <c r="F76" s="934"/>
      <c r="G76" s="934"/>
      <c r="H76" s="934"/>
      <c r="I76" s="934"/>
      <c r="J76" s="934"/>
      <c r="K76" s="934"/>
      <c r="L76" s="934"/>
      <c r="M76" s="934"/>
      <c r="N76" s="934"/>
      <c r="O76" s="934"/>
      <c r="P76" s="934"/>
      <c r="Q76" s="934"/>
      <c r="R76" s="934"/>
      <c r="S76" s="934"/>
      <c r="T76" s="934"/>
      <c r="U76" s="934"/>
      <c r="V76" s="934"/>
      <c r="W76" s="934"/>
      <c r="X76" s="934"/>
      <c r="Y76" s="934"/>
      <c r="Z76" s="934"/>
      <c r="AA76" s="927"/>
      <c r="AB76" s="927"/>
      <c r="AC76" s="927"/>
      <c r="AD76" s="927"/>
      <c r="AE76" s="928"/>
    </row>
    <row r="77" customFormat="false" ht="12.75" hidden="false" customHeight="false" outlineLevel="0" collapsed="false">
      <c r="A77" s="5" t="s">
        <v>676</v>
      </c>
      <c r="B77" s="958" t="s">
        <v>677</v>
      </c>
    </row>
    <row r="78" customFormat="false" ht="12.75" hidden="false" customHeight="false" outlineLevel="0" collapsed="false">
      <c r="A78" s="5" t="n">
        <v>1</v>
      </c>
      <c r="B78" s="959" t="n">
        <v>0.05</v>
      </c>
    </row>
    <row r="79" customFormat="false" ht="12.75" hidden="false" customHeight="false" outlineLevel="0" collapsed="false">
      <c r="A79" s="5" t="n">
        <v>2</v>
      </c>
      <c r="B79" s="959" t="n">
        <v>0.095</v>
      </c>
    </row>
    <row r="80" customFormat="false" ht="12.75" hidden="false" customHeight="false" outlineLevel="0" collapsed="false">
      <c r="A80" s="5" t="n">
        <v>3</v>
      </c>
      <c r="B80" s="959" t="n">
        <v>0.0855</v>
      </c>
    </row>
    <row r="81" customFormat="false" ht="12.75" hidden="false" customHeight="false" outlineLevel="0" collapsed="false">
      <c r="A81" s="5" t="n">
        <v>4</v>
      </c>
      <c r="B81" s="959" t="n">
        <v>0.077</v>
      </c>
    </row>
    <row r="82" customFormat="false" ht="12.75" hidden="false" customHeight="false" outlineLevel="0" collapsed="false">
      <c r="A82" s="5" t="n">
        <v>5</v>
      </c>
      <c r="B82" s="959" t="n">
        <v>0.0693</v>
      </c>
    </row>
    <row r="83" customFormat="false" ht="12.75" hidden="false" customHeight="false" outlineLevel="0" collapsed="false">
      <c r="A83" s="5" t="n">
        <v>6</v>
      </c>
      <c r="B83" s="959" t="n">
        <v>0.0623</v>
      </c>
    </row>
    <row r="84" customFormat="false" ht="12.75" hidden="false" customHeight="false" outlineLevel="0" collapsed="false">
      <c r="A84" s="5" t="n">
        <v>7</v>
      </c>
      <c r="B84" s="959" t="n">
        <v>0.059</v>
      </c>
    </row>
    <row r="85" customFormat="false" ht="12.75" hidden="false" customHeight="false" outlineLevel="0" collapsed="false">
      <c r="A85" s="5" t="n">
        <v>8</v>
      </c>
      <c r="B85" s="959" t="n">
        <v>0.0591</v>
      </c>
    </row>
    <row r="86" customFormat="false" ht="12.75" hidden="false" customHeight="false" outlineLevel="0" collapsed="false">
      <c r="A86" s="5" t="n">
        <v>9</v>
      </c>
      <c r="B86" s="959" t="n">
        <v>0.059</v>
      </c>
    </row>
    <row r="87" customFormat="false" ht="12.75" hidden="false" customHeight="false" outlineLevel="0" collapsed="false">
      <c r="A87" s="5" t="n">
        <v>10</v>
      </c>
      <c r="B87" s="959" t="n">
        <v>0.0591</v>
      </c>
    </row>
    <row r="88" customFormat="false" ht="12.75" hidden="false" customHeight="false" outlineLevel="0" collapsed="false">
      <c r="A88" s="5" t="n">
        <v>11</v>
      </c>
      <c r="B88" s="959" t="n">
        <v>0.059</v>
      </c>
    </row>
    <row r="89" customFormat="false" ht="12.75" hidden="false" customHeight="false" outlineLevel="0" collapsed="false">
      <c r="A89" s="5" t="n">
        <v>12</v>
      </c>
      <c r="B89" s="959" t="n">
        <v>0.0591</v>
      </c>
    </row>
    <row r="90" customFormat="false" ht="12.75" hidden="false" customHeight="false" outlineLevel="0" collapsed="false">
      <c r="A90" s="5" t="n">
        <v>13</v>
      </c>
      <c r="B90" s="959" t="n">
        <v>0.059</v>
      </c>
    </row>
    <row r="91" customFormat="false" ht="12.75" hidden="false" customHeight="false" outlineLevel="0" collapsed="false">
      <c r="A91" s="5" t="n">
        <v>14</v>
      </c>
      <c r="B91" s="959" t="n">
        <v>0.0591</v>
      </c>
    </row>
    <row r="92" customFormat="false" ht="12.75" hidden="false" customHeight="false" outlineLevel="0" collapsed="false">
      <c r="A92" s="5" t="n">
        <v>15</v>
      </c>
      <c r="B92" s="959" t="n">
        <v>0.059</v>
      </c>
    </row>
    <row r="93" customFormat="false" ht="12.75" hidden="false" customHeight="false" outlineLevel="0" collapsed="false">
      <c r="A93" s="5" t="n">
        <v>16</v>
      </c>
      <c r="B93" s="959" t="n">
        <v>0.0295</v>
      </c>
    </row>
    <row r="94" customFormat="false" ht="11.25" hidden="false" customHeight="false" outlineLevel="0" collapsed="false">
      <c r="B94" s="960" t="n">
        <f aca="false">SUM(B78:B93)</f>
        <v>1</v>
      </c>
    </row>
    <row r="95" customFormat="false" ht="12.75" hidden="false" customHeight="false" outlineLevel="0" collapsed="false">
      <c r="A95" s="957" t="s">
        <v>678</v>
      </c>
      <c r="B95" s="5"/>
    </row>
    <row r="96" customFormat="false" ht="12.75" hidden="false" customHeight="false" outlineLevel="0" collapsed="false">
      <c r="A96" s="5" t="s">
        <v>675</v>
      </c>
      <c r="B96" s="5"/>
    </row>
    <row r="97" customFormat="false" ht="12.75" hidden="false" customHeight="false" outlineLevel="0" collapsed="false">
      <c r="A97" s="5" t="s">
        <v>676</v>
      </c>
      <c r="B97" s="5" t="s">
        <v>677</v>
      </c>
    </row>
    <row r="98" customFormat="false" ht="12.75" hidden="false" customHeight="false" outlineLevel="0" collapsed="false">
      <c r="A98" s="5" t="n">
        <v>1</v>
      </c>
      <c r="B98" s="473" t="n">
        <v>0.0375</v>
      </c>
    </row>
    <row r="99" customFormat="false" ht="12.75" hidden="false" customHeight="false" outlineLevel="0" collapsed="false">
      <c r="A99" s="5" t="n">
        <v>2</v>
      </c>
      <c r="B99" s="473" t="n">
        <v>0.07219</v>
      </c>
    </row>
    <row r="100" customFormat="false" ht="12.75" hidden="false" customHeight="false" outlineLevel="0" collapsed="false">
      <c r="A100" s="5" t="n">
        <v>3</v>
      </c>
      <c r="B100" s="473" t="n">
        <v>0.06677</v>
      </c>
    </row>
    <row r="101" customFormat="false" ht="12.75" hidden="false" customHeight="false" outlineLevel="0" collapsed="false">
      <c r="A101" s="5" t="n">
        <v>4</v>
      </c>
      <c r="B101" s="473" t="n">
        <v>0.06177</v>
      </c>
    </row>
    <row r="102" customFormat="false" ht="12.75" hidden="false" customHeight="false" outlineLevel="0" collapsed="false">
      <c r="A102" s="5" t="n">
        <v>5</v>
      </c>
      <c r="B102" s="473" t="n">
        <v>0.05713</v>
      </c>
    </row>
    <row r="103" customFormat="false" ht="12.75" hidden="false" customHeight="false" outlineLevel="0" collapsed="false">
      <c r="A103" s="5" t="n">
        <v>6</v>
      </c>
      <c r="B103" s="473" t="n">
        <v>0.05285</v>
      </c>
    </row>
    <row r="104" customFormat="false" ht="12.75" hidden="false" customHeight="false" outlineLevel="0" collapsed="false">
      <c r="A104" s="5" t="n">
        <v>7</v>
      </c>
      <c r="B104" s="473" t="n">
        <v>0.04888</v>
      </c>
    </row>
    <row r="105" customFormat="false" ht="12.75" hidden="false" customHeight="false" outlineLevel="0" collapsed="false">
      <c r="A105" s="5" t="n">
        <v>8</v>
      </c>
      <c r="B105" s="473" t="n">
        <v>0.04522</v>
      </c>
    </row>
    <row r="106" customFormat="false" ht="12.75" hidden="false" customHeight="false" outlineLevel="0" collapsed="false">
      <c r="A106" s="5" t="n">
        <v>9</v>
      </c>
      <c r="B106" s="473" t="n">
        <v>0.04462</v>
      </c>
    </row>
    <row r="107" customFormat="false" ht="12.75" hidden="false" customHeight="false" outlineLevel="0" collapsed="false">
      <c r="A107" s="5" t="n">
        <v>10</v>
      </c>
      <c r="B107" s="473" t="n">
        <v>0.04461</v>
      </c>
    </row>
    <row r="108" customFormat="false" ht="12.75" hidden="false" customHeight="false" outlineLevel="0" collapsed="false">
      <c r="A108" s="5" t="n">
        <v>11</v>
      </c>
      <c r="B108" s="473" t="n">
        <v>0.04462</v>
      </c>
    </row>
    <row r="109" customFormat="false" ht="12.75" hidden="false" customHeight="false" outlineLevel="0" collapsed="false">
      <c r="A109" s="5" t="n">
        <v>12</v>
      </c>
      <c r="B109" s="473" t="n">
        <v>0.04461</v>
      </c>
    </row>
    <row r="110" customFormat="false" ht="12.75" hidden="false" customHeight="false" outlineLevel="0" collapsed="false">
      <c r="A110" s="5" t="n">
        <v>13</v>
      </c>
      <c r="B110" s="473" t="n">
        <v>0.04462</v>
      </c>
    </row>
    <row r="111" customFormat="false" ht="12.75" hidden="false" customHeight="false" outlineLevel="0" collapsed="false">
      <c r="A111" s="5" t="n">
        <v>14</v>
      </c>
      <c r="B111" s="473" t="n">
        <v>0.04461</v>
      </c>
    </row>
    <row r="112" customFormat="false" ht="12.75" hidden="false" customHeight="false" outlineLevel="0" collapsed="false">
      <c r="A112" s="5" t="n">
        <v>15</v>
      </c>
      <c r="B112" s="473" t="n">
        <v>0.04462</v>
      </c>
    </row>
    <row r="113" customFormat="false" ht="12.75" hidden="false" customHeight="false" outlineLevel="0" collapsed="false">
      <c r="A113" s="5" t="n">
        <v>16</v>
      </c>
      <c r="B113" s="473" t="n">
        <v>0.04461</v>
      </c>
    </row>
    <row r="114" customFormat="false" ht="12.75" hidden="false" customHeight="false" outlineLevel="0" collapsed="false">
      <c r="A114" s="5" t="n">
        <v>17</v>
      </c>
      <c r="B114" s="473" t="n">
        <v>0.04462</v>
      </c>
    </row>
    <row r="115" customFormat="false" ht="12.75" hidden="false" customHeight="false" outlineLevel="0" collapsed="false">
      <c r="A115" s="5" t="n">
        <v>18</v>
      </c>
      <c r="B115" s="473" t="n">
        <v>0.04461</v>
      </c>
    </row>
    <row r="116" customFormat="false" ht="12.75" hidden="false" customHeight="false" outlineLevel="0" collapsed="false">
      <c r="A116" s="5" t="n">
        <v>19</v>
      </c>
      <c r="B116" s="473" t="n">
        <v>0.04462</v>
      </c>
    </row>
    <row r="117" customFormat="false" ht="12.75" hidden="false" customHeight="false" outlineLevel="0" collapsed="false">
      <c r="A117" s="5" t="n">
        <v>20</v>
      </c>
      <c r="B117" s="473" t="n">
        <v>0.04461</v>
      </c>
    </row>
    <row r="118" customFormat="false" ht="12.75" hidden="false" customHeight="false" outlineLevel="0" collapsed="false">
      <c r="A118" s="5" t="n">
        <v>21</v>
      </c>
      <c r="B118" s="473" t="n">
        <v>0.0225</v>
      </c>
    </row>
  </sheetData>
  <printOptions headings="false" gridLines="false" gridLinesSet="true" horizontalCentered="false" verticalCentered="false"/>
  <pageMargins left="0.747916666666667" right="0.747916666666667" top="0.4" bottom="0.479861111111111" header="0.511811023622047" footer="0.25"/>
  <pageSetup paperSize="1" scale="100" fitToWidth="1" fitToHeight="1" pageOrder="downThenOver" orientation="landscape" blackAndWhite="false" draft="false" cellComments="none" horizontalDpi="300" verticalDpi="300" copies="1"/>
  <headerFooter differentFirst="false" differentOddEven="false">
    <oddHeader/>
    <oddFooter>&amp;L&amp;D   &amp;T&amp;R&amp;F
&amp;A &amp;P</oddFooter>
  </headerFooter>
  <colBreaks count="2" manualBreakCount="2">
    <brk id="23" man="true" max="65535" min="0"/>
    <brk id="32" man="true" max="65535" min="0"/>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3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7" activeCellId="0" sqref="D7"/>
    </sheetView>
  </sheetViews>
  <sheetFormatPr defaultColWidth="10.5625" defaultRowHeight="11.25" customHeight="true" zeroHeight="false" outlineLevelRow="0" outlineLevelCol="0"/>
  <cols>
    <col collapsed="false" customWidth="false" hidden="false" outlineLevel="0" max="2" min="1" style="961" width="10.56"/>
    <col collapsed="false" customWidth="true" hidden="false" outlineLevel="0" max="3" min="3" style="961" width="18.28"/>
    <col collapsed="false" customWidth="true" hidden="false" outlineLevel="0" max="4" min="4" style="961" width="13.85"/>
    <col collapsed="false" customWidth="true" hidden="false" outlineLevel="0" max="5" min="5" style="961" width="16.99"/>
    <col collapsed="false" customWidth="true" hidden="false" outlineLevel="0" max="6" min="6" style="961" width="18.28"/>
    <col collapsed="false" customWidth="true" hidden="false" outlineLevel="0" max="7" min="7" style="961" width="4.56"/>
    <col collapsed="false" customWidth="true" hidden="false" outlineLevel="0" max="8" min="8" style="961" width="7.28"/>
    <col collapsed="false" customWidth="false" hidden="false" outlineLevel="0" max="257" min="9" style="961" width="10.56"/>
  </cols>
  <sheetData>
    <row r="1" customFormat="false" ht="20.25" hidden="false" customHeight="false" outlineLevel="0" collapsed="false">
      <c r="A1" s="962" t="str">
        <f aca="false">'Project Assumptions'!$A$2</f>
        <v>CALEDONIA, Lowndes County, MS</v>
      </c>
      <c r="B1" s="963"/>
      <c r="C1" s="964"/>
      <c r="D1" s="965"/>
      <c r="E1" s="966"/>
      <c r="F1" s="966"/>
      <c r="G1" s="967"/>
      <c r="H1" s="966"/>
      <c r="I1" s="968"/>
      <c r="J1" s="968"/>
      <c r="K1" s="968"/>
      <c r="L1" s="968"/>
      <c r="M1" s="968"/>
      <c r="N1" s="968"/>
    </row>
    <row r="2" customFormat="false" ht="12.75" hidden="false" customHeight="false" outlineLevel="0" collapsed="false">
      <c r="A2" s="969" t="s">
        <v>679</v>
      </c>
      <c r="B2" s="970"/>
      <c r="C2" s="971"/>
      <c r="D2" s="972"/>
      <c r="E2" s="966"/>
      <c r="F2" s="966"/>
      <c r="G2" s="967"/>
      <c r="H2" s="966"/>
      <c r="I2" s="968"/>
      <c r="J2" s="968"/>
      <c r="K2" s="968"/>
      <c r="L2" s="968"/>
      <c r="M2" s="968"/>
      <c r="N2" s="968"/>
    </row>
    <row r="3" customFormat="false" ht="12.75" hidden="false" customHeight="false" outlineLevel="0" collapsed="false">
      <c r="A3" s="34"/>
      <c r="B3" s="34"/>
      <c r="C3" s="44"/>
      <c r="D3" s="966"/>
      <c r="E3" s="966"/>
      <c r="F3" s="966"/>
      <c r="G3" s="967"/>
      <c r="H3" s="966"/>
      <c r="I3" s="968"/>
      <c r="J3" s="968"/>
      <c r="K3" s="968"/>
      <c r="L3" s="968"/>
      <c r="M3" s="968"/>
      <c r="N3" s="968"/>
    </row>
    <row r="4" customFormat="false" ht="11.45" hidden="false" customHeight="true" outlineLevel="0" collapsed="false">
      <c r="A4" s="973" t="s">
        <v>680</v>
      </c>
      <c r="B4" s="973"/>
      <c r="C4" s="966"/>
      <c r="D4" s="966"/>
      <c r="E4" s="966"/>
      <c r="F4" s="966"/>
      <c r="G4" s="967"/>
      <c r="H4" s="966"/>
      <c r="I4" s="968"/>
      <c r="J4" s="968"/>
      <c r="K4" s="968"/>
      <c r="L4" s="968"/>
      <c r="M4" s="968"/>
      <c r="N4" s="968"/>
    </row>
    <row r="5" customFormat="false" ht="11.45" hidden="false" customHeight="true" outlineLevel="0" collapsed="false">
      <c r="D5" s="974"/>
      <c r="E5" s="974"/>
      <c r="F5" s="974"/>
      <c r="G5" s="967"/>
      <c r="H5" s="975"/>
      <c r="I5" s="968"/>
      <c r="J5" s="968"/>
      <c r="K5" s="968"/>
      <c r="L5" s="968"/>
      <c r="M5" s="968"/>
      <c r="N5" s="968"/>
    </row>
    <row r="6" customFormat="false" ht="11.45" hidden="false" customHeight="true" outlineLevel="0" collapsed="false">
      <c r="A6" s="976" t="s">
        <v>681</v>
      </c>
      <c r="B6" s="977"/>
      <c r="C6" s="978"/>
      <c r="D6" s="979" t="n">
        <v>143962</v>
      </c>
      <c r="E6" s="980" t="str">
        <f aca="false">IF(ABS(D6-C59)&gt;1,"Check Total Drawdown!","")</f>
        <v/>
      </c>
      <c r="F6" s="966"/>
      <c r="H6" s="975"/>
      <c r="I6" s="968"/>
      <c r="J6" s="968"/>
      <c r="K6" s="968"/>
      <c r="L6" s="968"/>
      <c r="M6" s="968"/>
      <c r="N6" s="968"/>
    </row>
    <row r="7" customFormat="false" ht="11.45" hidden="false" customHeight="true" outlineLevel="0" collapsed="false">
      <c r="A7" s="981" t="s">
        <v>682</v>
      </c>
      <c r="B7" s="982"/>
      <c r="C7" s="983"/>
      <c r="D7" s="984" t="n">
        <v>150000</v>
      </c>
      <c r="E7" s="980"/>
      <c r="F7" s="966"/>
      <c r="H7" s="975"/>
      <c r="I7" s="968"/>
      <c r="J7" s="968"/>
      <c r="K7" s="968"/>
      <c r="L7" s="968"/>
      <c r="M7" s="968"/>
      <c r="N7" s="968"/>
    </row>
    <row r="8" customFormat="false" ht="11.45" hidden="false" customHeight="true" outlineLevel="0" collapsed="false">
      <c r="A8" s="981" t="s">
        <v>683</v>
      </c>
      <c r="B8" s="982"/>
      <c r="C8" s="983"/>
      <c r="D8" s="985" t="n">
        <f aca="false">'Project Assumptions'!B45</f>
        <v>0.065</v>
      </c>
      <c r="E8" s="986"/>
      <c r="H8" s="987"/>
      <c r="I8" s="968"/>
      <c r="J8" s="968"/>
      <c r="K8" s="968"/>
      <c r="L8" s="968"/>
      <c r="M8" s="968"/>
      <c r="N8" s="968"/>
    </row>
    <row r="9" customFormat="false" ht="11.45" hidden="false" customHeight="true" outlineLevel="0" collapsed="false">
      <c r="A9" s="981" t="s">
        <v>684</v>
      </c>
      <c r="B9" s="982"/>
      <c r="C9" s="983"/>
      <c r="D9" s="988" t="n">
        <v>9</v>
      </c>
      <c r="E9" s="989"/>
      <c r="H9" s="987"/>
      <c r="I9" s="968"/>
      <c r="J9" s="968"/>
      <c r="K9" s="968"/>
      <c r="L9" s="968"/>
      <c r="M9" s="968"/>
      <c r="N9" s="968"/>
    </row>
    <row r="10" customFormat="false" ht="11.25" hidden="false" customHeight="false" outlineLevel="0" collapsed="false">
      <c r="A10" s="981" t="s">
        <v>685</v>
      </c>
      <c r="B10" s="982"/>
      <c r="C10" s="983"/>
      <c r="D10" s="985" t="n">
        <f aca="false">D8/12</f>
        <v>0.00541666666666667</v>
      </c>
      <c r="E10" s="986"/>
      <c r="H10" s="987"/>
      <c r="I10" s="968"/>
      <c r="J10" s="968"/>
      <c r="K10" s="968"/>
      <c r="L10" s="968"/>
      <c r="M10" s="968"/>
      <c r="N10" s="968"/>
    </row>
    <row r="11" customFormat="false" ht="11.45" hidden="false" customHeight="true" outlineLevel="0" collapsed="false">
      <c r="A11" s="990"/>
      <c r="B11" s="983"/>
      <c r="C11" s="983"/>
      <c r="D11" s="991"/>
      <c r="E11" s="983"/>
      <c r="H11" s="987"/>
      <c r="I11" s="968"/>
      <c r="J11" s="968"/>
      <c r="K11" s="968"/>
      <c r="L11" s="968"/>
      <c r="M11" s="968"/>
      <c r="N11" s="968"/>
    </row>
    <row r="12" customFormat="false" ht="11.45" hidden="false" customHeight="true" outlineLevel="0" collapsed="false">
      <c r="A12" s="981" t="s">
        <v>686</v>
      </c>
      <c r="B12" s="982"/>
      <c r="C12" s="983"/>
      <c r="D12" s="992" t="n">
        <v>0.0035</v>
      </c>
      <c r="E12" s="993"/>
      <c r="H12" s="994"/>
      <c r="I12" s="968"/>
      <c r="J12" s="968"/>
      <c r="K12" s="968"/>
      <c r="L12" s="968"/>
      <c r="M12" s="968"/>
      <c r="N12" s="968"/>
    </row>
    <row r="13" customFormat="false" ht="11.45" hidden="false" customHeight="true" outlineLevel="0" collapsed="false">
      <c r="A13" s="990"/>
      <c r="B13" s="983"/>
      <c r="C13" s="983"/>
      <c r="D13" s="991"/>
      <c r="E13" s="983"/>
      <c r="I13" s="968"/>
      <c r="J13" s="968"/>
      <c r="K13" s="968"/>
      <c r="L13" s="968"/>
      <c r="M13" s="968"/>
      <c r="N13" s="968"/>
    </row>
    <row r="14" customFormat="false" ht="11.45" hidden="false" customHeight="true" outlineLevel="0" collapsed="false">
      <c r="A14" s="981" t="s">
        <v>687</v>
      </c>
      <c r="B14" s="982"/>
      <c r="C14" s="983"/>
      <c r="D14" s="995" t="n">
        <v>1</v>
      </c>
      <c r="E14" s="996"/>
      <c r="G14" s="997"/>
      <c r="I14" s="968"/>
      <c r="J14" s="968"/>
      <c r="K14" s="968"/>
      <c r="L14" s="968"/>
      <c r="M14" s="968"/>
      <c r="N14" s="968"/>
    </row>
    <row r="15" customFormat="false" ht="11.45" hidden="false" customHeight="true" outlineLevel="0" collapsed="false">
      <c r="A15" s="998" t="s">
        <v>688</v>
      </c>
      <c r="B15" s="999"/>
      <c r="C15" s="1000"/>
      <c r="D15" s="1001"/>
      <c r="E15" s="982"/>
      <c r="G15" s="1002"/>
      <c r="H15" s="1003"/>
      <c r="I15" s="968"/>
      <c r="J15" s="968"/>
      <c r="K15" s="968"/>
      <c r="L15" s="968"/>
      <c r="M15" s="968"/>
      <c r="N15" s="968"/>
    </row>
    <row r="16" customFormat="false" ht="11.45" hidden="false" customHeight="true" outlineLevel="0" collapsed="false">
      <c r="A16" s="1004" t="s">
        <v>689</v>
      </c>
      <c r="B16" s="1005"/>
      <c r="C16" s="1000"/>
      <c r="D16" s="1006" t="n">
        <f aca="false">VLOOKUP(D9,A22:F58,6)</f>
        <v>6588.53585164148</v>
      </c>
      <c r="E16" s="1007"/>
      <c r="H16" s="1003"/>
      <c r="I16" s="968"/>
      <c r="J16" s="968"/>
      <c r="K16" s="968"/>
      <c r="L16" s="968"/>
      <c r="M16" s="968"/>
      <c r="N16" s="968"/>
    </row>
    <row r="17" customFormat="false" ht="11.45" hidden="false" customHeight="true" outlineLevel="0" collapsed="false">
      <c r="A17" s="982"/>
      <c r="B17" s="982"/>
      <c r="C17" s="983"/>
      <c r="D17" s="1007"/>
      <c r="E17" s="1007"/>
      <c r="G17" s="1008"/>
      <c r="H17" s="1008"/>
      <c r="I17" s="1008"/>
      <c r="J17" s="1008"/>
      <c r="K17" s="1008"/>
      <c r="L17" s="1008"/>
      <c r="M17" s="1008"/>
      <c r="N17" s="1008"/>
      <c r="O17" s="1008"/>
      <c r="P17" s="1008"/>
      <c r="Q17" s="1008"/>
      <c r="R17" s="1008"/>
      <c r="S17" s="1008"/>
      <c r="T17" s="1008"/>
      <c r="U17" s="1008"/>
      <c r="V17" s="1008"/>
      <c r="W17" s="1008"/>
      <c r="X17" s="1008"/>
      <c r="Y17" s="1008"/>
      <c r="Z17" s="1008"/>
      <c r="AA17" s="1008"/>
      <c r="AB17" s="1008"/>
    </row>
    <row r="18" customFormat="false" ht="11.45" hidden="false" customHeight="true" outlineLevel="0" collapsed="false">
      <c r="A18" s="982"/>
      <c r="B18" s="982"/>
      <c r="C18" s="983"/>
      <c r="D18" s="1007"/>
      <c r="E18" s="1007"/>
      <c r="H18" s="1003"/>
      <c r="I18" s="968"/>
      <c r="J18" s="968"/>
      <c r="K18" s="968"/>
      <c r="L18" s="968"/>
      <c r="M18" s="968"/>
      <c r="N18" s="968"/>
    </row>
    <row r="19" customFormat="false" ht="21" hidden="false" customHeight="true" outlineLevel="0" collapsed="false">
      <c r="A19" s="1009" t="s">
        <v>690</v>
      </c>
      <c r="B19" s="1010" t="s">
        <v>691</v>
      </c>
      <c r="C19" s="1009" t="s">
        <v>295</v>
      </c>
      <c r="D19" s="1010" t="s">
        <v>692</v>
      </c>
      <c r="E19" s="1009" t="s">
        <v>693</v>
      </c>
      <c r="F19" s="1011" t="s">
        <v>694</v>
      </c>
      <c r="G19" s="1003"/>
      <c r="H19" s="982"/>
      <c r="I19" s="968"/>
      <c r="J19" s="968"/>
      <c r="K19" s="968"/>
      <c r="L19" s="968"/>
      <c r="M19" s="968"/>
    </row>
    <row r="20" customFormat="false" ht="21" hidden="false" customHeight="true" outlineLevel="0" collapsed="false">
      <c r="A20" s="1012"/>
      <c r="B20" s="1012"/>
      <c r="C20" s="1012"/>
      <c r="D20" s="1012"/>
      <c r="E20" s="1013"/>
      <c r="F20" s="1014"/>
      <c r="G20" s="1003"/>
      <c r="H20" s="983"/>
      <c r="I20" s="968"/>
      <c r="J20" s="968"/>
      <c r="K20" s="968"/>
      <c r="L20" s="968"/>
      <c r="M20" s="968"/>
    </row>
    <row r="21" customFormat="false" ht="11.25" hidden="false" customHeight="false" outlineLevel="0" collapsed="false">
      <c r="A21" s="1012"/>
      <c r="B21" s="1012"/>
      <c r="C21" s="1012"/>
      <c r="D21" s="1012"/>
      <c r="E21" s="1013"/>
      <c r="F21" s="1014"/>
      <c r="H21" s="983"/>
    </row>
    <row r="22" customFormat="false" ht="11.45" hidden="false" customHeight="true" outlineLevel="0" collapsed="false">
      <c r="A22" s="1015" t="n">
        <v>0</v>
      </c>
      <c r="B22" s="1015"/>
      <c r="C22" s="1016" t="n">
        <v>0</v>
      </c>
      <c r="D22" s="1017"/>
      <c r="E22" s="1017" t="n">
        <v>0</v>
      </c>
      <c r="F22" s="1018" t="n">
        <v>0</v>
      </c>
      <c r="H22" s="1007"/>
    </row>
    <row r="23" customFormat="false" ht="11.45" hidden="false" customHeight="true" outlineLevel="0" collapsed="false">
      <c r="A23" s="1015" t="n">
        <v>1</v>
      </c>
      <c r="B23" s="1019" t="n">
        <f aca="false">C23/$D$6</f>
        <v>0.287805969630875</v>
      </c>
      <c r="C23" s="1020" t="n">
        <v>41433.123</v>
      </c>
      <c r="D23" s="1021" t="n">
        <f aca="false">C23+D22+E22</f>
        <v>41433.123</v>
      </c>
      <c r="E23" s="1020" t="n">
        <v>2084.658</v>
      </c>
      <c r="F23" s="1022" t="n">
        <f aca="false">E23</f>
        <v>2084.658</v>
      </c>
    </row>
    <row r="24" customFormat="false" ht="11.45" hidden="false" customHeight="true" outlineLevel="0" collapsed="false">
      <c r="A24" s="1015" t="n">
        <f aca="false">A23+1</f>
        <v>2</v>
      </c>
      <c r="B24" s="1019" t="n">
        <f aca="false">C24/$D$6</f>
        <v>0.0837898889984857</v>
      </c>
      <c r="C24" s="1020" t="n">
        <v>12062.56</v>
      </c>
      <c r="D24" s="1021" t="n">
        <f aca="false">C24+D23+E23</f>
        <v>55580.341</v>
      </c>
      <c r="E24" s="1020" t="n">
        <v>342.824</v>
      </c>
      <c r="F24" s="1022" t="n">
        <f aca="false">IF(A24&lt;=$D$9,E24+F23,F23)</f>
        <v>2427.482</v>
      </c>
    </row>
    <row r="25" customFormat="false" ht="11.45" hidden="false" customHeight="true" outlineLevel="0" collapsed="false">
      <c r="A25" s="1015" t="n">
        <f aca="false">A24+1</f>
        <v>3</v>
      </c>
      <c r="B25" s="1019" t="n">
        <f aca="false">C25/$D$6</f>
        <v>0.0549566204970756</v>
      </c>
      <c r="C25" s="1020" t="n">
        <v>7911.665</v>
      </c>
      <c r="D25" s="1021" t="n">
        <f aca="false">C25+D24+E24</f>
        <v>63834.83</v>
      </c>
      <c r="E25" s="1021" t="n">
        <f aca="false">IF(A25&gt;$D$9,0,(C25/2+D24)*$D$10+($D$7-SUM($C$23:C25))*$D$12/12)</f>
        <v>348.327129958333</v>
      </c>
      <c r="F25" s="1022" t="n">
        <f aca="false">IF(A25&lt;=$D$9,E25+F24,F24)</f>
        <v>2775.80912995833</v>
      </c>
      <c r="H25" s="1003"/>
    </row>
    <row r="26" customFormat="false" ht="11.45" hidden="false" customHeight="true" outlineLevel="0" collapsed="false">
      <c r="A26" s="1015" t="n">
        <f aca="false">A25+1</f>
        <v>4</v>
      </c>
      <c r="B26" s="1019" t="n">
        <f aca="false">C26/$D$6</f>
        <v>0.102769529459163</v>
      </c>
      <c r="C26" s="1020" t="n">
        <v>14794.907</v>
      </c>
      <c r="D26" s="1021" t="n">
        <f aca="false">C26+D25+E25</f>
        <v>78978.0641299583</v>
      </c>
      <c r="E26" s="1021" t="n">
        <f aca="false">IF(A26&gt;$D$9,0,(C26/2+D25)*$D$10+($D$7-SUM($C$23:C26))*$D$12/12)</f>
        <v>407.365877916667</v>
      </c>
      <c r="F26" s="1022" t="n">
        <f aca="false">IF(A26&lt;=$D$9,E26+F25,F25)</f>
        <v>3183.175007875</v>
      </c>
      <c r="H26" s="1003"/>
    </row>
    <row r="27" customFormat="false" ht="11.45" hidden="false" customHeight="true" outlineLevel="0" collapsed="false">
      <c r="A27" s="1015" t="n">
        <f aca="false">A26+1</f>
        <v>5</v>
      </c>
      <c r="B27" s="1019" t="n">
        <f aca="false">C27/$D$6</f>
        <v>0.111479334824468</v>
      </c>
      <c r="C27" s="1020" t="n">
        <v>16048.788</v>
      </c>
      <c r="D27" s="1021" t="n">
        <f aca="false">C27+D26+E26</f>
        <v>95434.218007875</v>
      </c>
      <c r="E27" s="1021" t="n">
        <f aca="false">IF(A27&gt;$D$9,0,(C27/2+D26)*$D$10+($D$7-SUM($C$23:C27))*$D$12/12)</f>
        <v>488.106760662274</v>
      </c>
      <c r="F27" s="1022" t="n">
        <f aca="false">IF(A27&lt;=$D$9,E27+F26,F26)</f>
        <v>3671.28176853727</v>
      </c>
      <c r="H27" s="1003"/>
    </row>
    <row r="28" customFormat="false" ht="11.45" hidden="false" customHeight="true" outlineLevel="0" collapsed="false">
      <c r="A28" s="1015" t="n">
        <f aca="false">A27+1</f>
        <v>6</v>
      </c>
      <c r="B28" s="1019" t="n">
        <f aca="false">C28/$D$6</f>
        <v>0.216643169725344</v>
      </c>
      <c r="C28" s="1020" t="n">
        <v>31188.384</v>
      </c>
      <c r="D28" s="1021" t="n">
        <f aca="false">C28+D27+E27</f>
        <v>127110.708768537</v>
      </c>
      <c r="E28" s="1021" t="n">
        <f aca="false">IF(A28&gt;$D$9,0,(C28/2+D27)*$D$10+($D$7-SUM($C$23:C28))*$D$12/12)</f>
        <v>609.150721334323</v>
      </c>
      <c r="F28" s="1022" t="n">
        <f aca="false">IF(A28&lt;=$D$9,E28+F27,F27)</f>
        <v>4280.4324898716</v>
      </c>
      <c r="H28" s="1003"/>
    </row>
    <row r="29" customFormat="false" ht="11.45" hidden="false" customHeight="true" outlineLevel="0" collapsed="false">
      <c r="A29" s="1015" t="n">
        <f aca="false">A28+1</f>
        <v>7</v>
      </c>
      <c r="B29" s="1019" t="n">
        <f aca="false">C29/$D$6</f>
        <v>0.0699599894416582</v>
      </c>
      <c r="C29" s="1020" t="n">
        <v>10071.58</v>
      </c>
      <c r="D29" s="1021" t="n">
        <f aca="false">C29+D28+E28</f>
        <v>137791.439489872</v>
      </c>
      <c r="E29" s="1021" t="n">
        <f aca="false">IF(A29&gt;$D$9,0,(C29/2+D28)*$D$10+($D$7-SUM($C$23:C29))*$D$12/12)</f>
        <v>720.602824621244</v>
      </c>
      <c r="F29" s="1022" t="n">
        <f aca="false">IF(A29&lt;=$D$9,E29+F28,F28)</f>
        <v>5001.03531449284</v>
      </c>
    </row>
    <row r="30" customFormat="false" ht="11.45" hidden="false" customHeight="true" outlineLevel="0" collapsed="false">
      <c r="A30" s="1015" t="n">
        <f aca="false">A29+1</f>
        <v>8</v>
      </c>
      <c r="B30" s="1019" t="n">
        <f aca="false">C30/$D$6</f>
        <v>0.0758757797196482</v>
      </c>
      <c r="C30" s="1020" t="n">
        <v>10923.229</v>
      </c>
      <c r="D30" s="1021" t="n">
        <f aca="false">C30+D29+E29</f>
        <v>149435.271314493</v>
      </c>
      <c r="E30" s="1021" t="n">
        <f aca="false">IF(A30&gt;$D$9,0,(C30/2+D29)*$D$10+($D$7-SUM($C$23:C30))*$D$12/12)</f>
        <v>777.577390278471</v>
      </c>
      <c r="F30" s="1022" t="n">
        <f aca="false">IF(A30&lt;=$D$9,E30+F29,F29)</f>
        <v>5778.61270477131</v>
      </c>
    </row>
    <row r="31" customFormat="false" ht="11.45" hidden="false" customHeight="true" outlineLevel="0" collapsed="false">
      <c r="A31" s="1015" t="n">
        <f aca="false">A30+1</f>
        <v>9</v>
      </c>
      <c r="B31" s="1019" t="n">
        <f aca="false">C31/$D$6</f>
        <v>-0.00328033092065962</v>
      </c>
      <c r="C31" s="1020" t="n">
        <v>-472.243</v>
      </c>
      <c r="D31" s="1021" t="n">
        <f aca="false">C31+D30+E30</f>
        <v>149740.605704771</v>
      </c>
      <c r="E31" s="1021" t="n">
        <f aca="false">IF(A31&gt;$D$9,0,(C31/2+D30)*$D$10+($D$7-SUM($C$23:C31))*$D$12/12)</f>
        <v>809.92314687017</v>
      </c>
      <c r="F31" s="1022" t="n">
        <f aca="false">IF(A31&lt;=$D$9,E31+F30,F30)</f>
        <v>6588.53585164148</v>
      </c>
    </row>
    <row r="32" customFormat="false" ht="11.45" hidden="false" customHeight="true" outlineLevel="0" collapsed="false">
      <c r="A32" s="1015" t="n">
        <f aca="false">A31+1</f>
        <v>10</v>
      </c>
      <c r="B32" s="1019" t="n">
        <f aca="false">C32/$D$6</f>
        <v>0</v>
      </c>
      <c r="C32" s="1020" t="n">
        <v>0</v>
      </c>
      <c r="D32" s="1021" t="n">
        <f aca="false">C32+D31+E31</f>
        <v>150550.528851641</v>
      </c>
      <c r="E32" s="1021" t="n">
        <f aca="false">IF(A32&gt;$D$9,0,(C32/2+D31)*$D$10+($D$7-SUM($C$23:C32))*$D$12/12)</f>
        <v>0</v>
      </c>
      <c r="F32" s="1022" t="n">
        <f aca="false">IF(A32&lt;=$D$9,E32+F31,F31)</f>
        <v>6588.53585164148</v>
      </c>
    </row>
    <row r="33" customFormat="false" ht="11.45" hidden="false" customHeight="true" outlineLevel="0" collapsed="false">
      <c r="A33" s="1015" t="n">
        <f aca="false">A32+1</f>
        <v>11</v>
      </c>
      <c r="B33" s="1019" t="n">
        <f aca="false">C33/$D$6</f>
        <v>0</v>
      </c>
      <c r="C33" s="1020" t="n">
        <v>0</v>
      </c>
      <c r="D33" s="1021" t="n">
        <f aca="false">C33+D32+E32</f>
        <v>150550.528851641</v>
      </c>
      <c r="E33" s="1021" t="n">
        <f aca="false">IF(A33&gt;$D$9,0,(C33/2+D32)*$D$10+($D$7-SUM($C$23:C33))*$D$12/12)</f>
        <v>0</v>
      </c>
      <c r="F33" s="1022" t="n">
        <f aca="false">IF(A33&lt;=$D$9,E33+F32,F32)</f>
        <v>6588.53585164148</v>
      </c>
    </row>
    <row r="34" customFormat="false" ht="11.45" hidden="false" customHeight="true" outlineLevel="0" collapsed="false">
      <c r="A34" s="1015" t="n">
        <f aca="false">A33+1</f>
        <v>12</v>
      </c>
      <c r="B34" s="1019" t="n">
        <f aca="false">C34/$D$6</f>
        <v>0</v>
      </c>
      <c r="C34" s="1020" t="n">
        <v>0</v>
      </c>
      <c r="D34" s="1021" t="n">
        <f aca="false">C34+D33+E33</f>
        <v>150550.528851641</v>
      </c>
      <c r="E34" s="1021" t="n">
        <f aca="false">IF(A34&gt;$D$9,0,(C34/2+D33)*$D$10+($D$7-SUM($C$23:C34))*$D$12/12)</f>
        <v>0</v>
      </c>
      <c r="F34" s="1022" t="n">
        <f aca="false">IF(A34&lt;=$D$9,E34+F33,F33)</f>
        <v>6588.53585164148</v>
      </c>
    </row>
    <row r="35" customFormat="false" ht="11.45" hidden="false" customHeight="true" outlineLevel="0" collapsed="false">
      <c r="A35" s="1015" t="n">
        <f aca="false">A34+1</f>
        <v>13</v>
      </c>
      <c r="B35" s="1019" t="n">
        <f aca="false">C35/$D$6</f>
        <v>0</v>
      </c>
      <c r="C35" s="1020" t="n">
        <v>0</v>
      </c>
      <c r="D35" s="1021" t="n">
        <f aca="false">C35+D34+E34</f>
        <v>150550.528851641</v>
      </c>
      <c r="E35" s="1021" t="n">
        <f aca="false">IF(A35&gt;$D$9,0,(C35/2+D34)*$D$10+($D$7-SUM($C$23:C35))*$D$12/12)</f>
        <v>0</v>
      </c>
      <c r="F35" s="1022" t="n">
        <f aca="false">IF(A35&lt;=$D$9,E35+F34,F34)</f>
        <v>6588.53585164148</v>
      </c>
    </row>
    <row r="36" customFormat="false" ht="11.45" hidden="false" customHeight="true" outlineLevel="0" collapsed="false">
      <c r="A36" s="1015" t="n">
        <f aca="false">A35+1</f>
        <v>14</v>
      </c>
      <c r="B36" s="1019" t="n">
        <f aca="false">C36/$D$6</f>
        <v>0</v>
      </c>
      <c r="C36" s="1020" t="n">
        <v>0</v>
      </c>
      <c r="D36" s="1021" t="n">
        <f aca="false">C36+D35+E35</f>
        <v>150550.528851641</v>
      </c>
      <c r="E36" s="1021" t="n">
        <f aca="false">IF(A36&gt;$D$9,0,(C36/2+D35)*$D$10+($D$7-SUM($C$23:C36))*$D$12/12)</f>
        <v>0</v>
      </c>
      <c r="F36" s="1022" t="n">
        <f aca="false">IF(A36&lt;=$D$9,E36+F35,F35)</f>
        <v>6588.53585164148</v>
      </c>
    </row>
    <row r="37" customFormat="false" ht="11.45" hidden="false" customHeight="true" outlineLevel="0" collapsed="false">
      <c r="A37" s="1015" t="n">
        <f aca="false">A36+1</f>
        <v>15</v>
      </c>
      <c r="B37" s="1019" t="n">
        <f aca="false">C37/$D$6</f>
        <v>0</v>
      </c>
      <c r="C37" s="1020" t="n">
        <v>0</v>
      </c>
      <c r="D37" s="1021" t="n">
        <f aca="false">C37+D36+E36</f>
        <v>150550.528851641</v>
      </c>
      <c r="E37" s="1021" t="n">
        <f aca="false">IF(A37&gt;$D$9,0,(C37/2+D36)*$D$10+($D$7-SUM($C$23:C37))*$D$12/12)</f>
        <v>0</v>
      </c>
      <c r="F37" s="1022" t="n">
        <f aca="false">IF(A37&lt;=$D$9,E37+F36,F36)</f>
        <v>6588.53585164148</v>
      </c>
      <c r="H37" s="968"/>
    </row>
    <row r="38" customFormat="false" ht="11.45" hidden="false" customHeight="true" outlineLevel="0" collapsed="false">
      <c r="A38" s="1015" t="n">
        <f aca="false">A37+1</f>
        <v>16</v>
      </c>
      <c r="B38" s="1019" t="n">
        <f aca="false">C38/$D$6</f>
        <v>0</v>
      </c>
      <c r="C38" s="1020" t="n">
        <v>0</v>
      </c>
      <c r="D38" s="1021" t="n">
        <f aca="false">C38+D37+E37</f>
        <v>150550.528851641</v>
      </c>
      <c r="E38" s="1021" t="n">
        <f aca="false">IF(A38&gt;$D$9,0,(C38/2+D37)*$D$10+($D$7-SUM($C$23:C38))*$D$12/12)</f>
        <v>0</v>
      </c>
      <c r="F38" s="1022" t="n">
        <f aca="false">IF(A38&lt;=$D$9,E38+F37,F37)</f>
        <v>6588.53585164148</v>
      </c>
      <c r="H38" s="968"/>
    </row>
    <row r="39" customFormat="false" ht="11.45" hidden="false" customHeight="true" outlineLevel="0" collapsed="false">
      <c r="A39" s="1015" t="n">
        <f aca="false">A38+1</f>
        <v>17</v>
      </c>
      <c r="B39" s="1019" t="n">
        <f aca="false">C39/$D$6</f>
        <v>0</v>
      </c>
      <c r="C39" s="1020" t="n">
        <v>0</v>
      </c>
      <c r="D39" s="1021" t="n">
        <f aca="false">C39+D38+E38</f>
        <v>150550.528851641</v>
      </c>
      <c r="E39" s="1021" t="n">
        <f aca="false">IF(A39&gt;$D$9,0,(C39/2+D38)*$D$10+($D$7-SUM($C$23:C39))*$D$12/12)</f>
        <v>0</v>
      </c>
      <c r="F39" s="1022" t="n">
        <f aca="false">IF(A39&lt;=$D$9,E39+F38,F38)</f>
        <v>6588.53585164148</v>
      </c>
      <c r="H39" s="968"/>
    </row>
    <row r="40" customFormat="false" ht="11.45" hidden="false" customHeight="true" outlineLevel="0" collapsed="false">
      <c r="A40" s="1015" t="n">
        <f aca="false">A39+1</f>
        <v>18</v>
      </c>
      <c r="B40" s="1019" t="n">
        <f aca="false">C40/$D$6</f>
        <v>0</v>
      </c>
      <c r="C40" s="1020" t="n">
        <v>0</v>
      </c>
      <c r="D40" s="1021" t="n">
        <f aca="false">C40+D39+E39</f>
        <v>150550.528851641</v>
      </c>
      <c r="E40" s="1021" t="n">
        <f aca="false">IF(A40&gt;$D$9,0,(C40/2+D39)*$D$10+($D$7-SUM($C$23:C40))*$D$12/12)</f>
        <v>0</v>
      </c>
      <c r="F40" s="1022" t="n">
        <f aca="false">IF(A40&lt;=$D$9,E40+F39,F39)</f>
        <v>6588.53585164148</v>
      </c>
      <c r="H40" s="968"/>
    </row>
    <row r="41" customFormat="false" ht="11.45" hidden="false" customHeight="true" outlineLevel="0" collapsed="false">
      <c r="A41" s="1015" t="n">
        <f aca="false">A40+1</f>
        <v>19</v>
      </c>
      <c r="B41" s="1019" t="n">
        <f aca="false">C41/$D$6</f>
        <v>0</v>
      </c>
      <c r="C41" s="1020" t="n">
        <v>0</v>
      </c>
      <c r="D41" s="1021" t="n">
        <f aca="false">C41+D40+E40</f>
        <v>150550.528851641</v>
      </c>
      <c r="E41" s="1021" t="n">
        <f aca="false">IF(A41&gt;$D$9,0,(C41/2+D40)*$D$10+($D$7-SUM($C$23:C41))*$D$12/12)</f>
        <v>0</v>
      </c>
      <c r="F41" s="1022" t="n">
        <f aca="false">IF(A41&lt;=$D$9,E41+F40,F40)</f>
        <v>6588.53585164148</v>
      </c>
      <c r="H41" s="968"/>
    </row>
    <row r="42" customFormat="false" ht="11.45" hidden="false" customHeight="true" outlineLevel="0" collapsed="false">
      <c r="A42" s="1015" t="n">
        <f aca="false">A41+1</f>
        <v>20</v>
      </c>
      <c r="B42" s="1019" t="n">
        <f aca="false">C42/$D$6</f>
        <v>0</v>
      </c>
      <c r="C42" s="1020" t="n">
        <v>0</v>
      </c>
      <c r="D42" s="1021" t="n">
        <f aca="false">C42+D41+E41</f>
        <v>150550.528851641</v>
      </c>
      <c r="E42" s="1021" t="n">
        <f aca="false">IF(A42&gt;$D$9,0,(C42/2+D41)*$D$10+($D$7-SUM($C$23:C42))*$D$12/12)</f>
        <v>0</v>
      </c>
      <c r="F42" s="1022" t="n">
        <f aca="false">IF(A42&lt;=$D$9,E42+F41,F41)</f>
        <v>6588.53585164148</v>
      </c>
      <c r="H42" s="968"/>
    </row>
    <row r="43" customFormat="false" ht="11.45" hidden="false" customHeight="true" outlineLevel="0" collapsed="false">
      <c r="A43" s="1015" t="n">
        <f aca="false">A42+1</f>
        <v>21</v>
      </c>
      <c r="B43" s="1019" t="n">
        <f aca="false">C43/$D$6</f>
        <v>0</v>
      </c>
      <c r="C43" s="1020" t="n">
        <v>0</v>
      </c>
      <c r="D43" s="1021" t="n">
        <f aca="false">C43+D42+E42</f>
        <v>150550.528851641</v>
      </c>
      <c r="E43" s="1021" t="n">
        <f aca="false">IF(A43&gt;$D$9,0,(C43/2+D42)*$D$10+($D$7-SUM($C$23:C43))*$D$12/12)</f>
        <v>0</v>
      </c>
      <c r="F43" s="1022" t="n">
        <f aca="false">IF(A43&lt;=$D$9,E43+F42,F42)</f>
        <v>6588.53585164148</v>
      </c>
      <c r="H43" s="968"/>
    </row>
    <row r="44" customFormat="false" ht="11.45" hidden="false" customHeight="true" outlineLevel="0" collapsed="false">
      <c r="A44" s="1015" t="n">
        <f aca="false">A43+1</f>
        <v>22</v>
      </c>
      <c r="B44" s="1019" t="n">
        <f aca="false">C44/$D$6</f>
        <v>0</v>
      </c>
      <c r="C44" s="1020" t="n">
        <v>0</v>
      </c>
      <c r="D44" s="1021" t="n">
        <f aca="false">C44+D43+E43</f>
        <v>150550.528851641</v>
      </c>
      <c r="E44" s="1021" t="n">
        <f aca="false">IF(A44&gt;$D$9,0,(C44/2+D43)*$D$10+($D$7-SUM($C$23:C44))*$D$12/12)</f>
        <v>0</v>
      </c>
      <c r="F44" s="1022" t="n">
        <f aca="false">IF(A44&lt;=$D$9,E44+F43,F43)</f>
        <v>6588.53585164148</v>
      </c>
      <c r="G44" s="0"/>
      <c r="H44" s="968"/>
      <c r="I44" s="968"/>
      <c r="J44" s="968"/>
      <c r="K44" s="968"/>
      <c r="L44" s="968"/>
      <c r="M44" s="968"/>
    </row>
    <row r="45" customFormat="false" ht="11.45" hidden="false" customHeight="true" outlineLevel="0" collapsed="false">
      <c r="A45" s="1015" t="n">
        <f aca="false">A44+1</f>
        <v>23</v>
      </c>
      <c r="B45" s="1019" t="n">
        <f aca="false">C45/$D$6</f>
        <v>0</v>
      </c>
      <c r="C45" s="1020" t="n">
        <v>0</v>
      </c>
      <c r="D45" s="1021" t="n">
        <f aca="false">C45+D44+E44</f>
        <v>150550.528851641</v>
      </c>
      <c r="E45" s="1021" t="n">
        <f aca="false">IF(A45&gt;$D$9,0,(C45/2+D44)*$D$10+($D$7-SUM($C$23:C45))*$D$12/12)</f>
        <v>0</v>
      </c>
      <c r="F45" s="1022" t="n">
        <f aca="false">IF(A45&lt;=$D$9,E45+F44,F44)</f>
        <v>6588.53585164148</v>
      </c>
      <c r="G45" s="0"/>
      <c r="H45" s="968"/>
      <c r="I45" s="968"/>
      <c r="J45" s="968"/>
      <c r="K45" s="968"/>
      <c r="L45" s="968"/>
      <c r="M45" s="968"/>
    </row>
    <row r="46" customFormat="false" ht="11.45" hidden="false" customHeight="true" outlineLevel="0" collapsed="false">
      <c r="A46" s="1015" t="n">
        <f aca="false">A45+1</f>
        <v>24</v>
      </c>
      <c r="B46" s="1019" t="n">
        <f aca="false">C46/$D$6</f>
        <v>0</v>
      </c>
      <c r="C46" s="1020" t="n">
        <v>0</v>
      </c>
      <c r="D46" s="1021" t="n">
        <f aca="false">C46+D45+E45</f>
        <v>150550.528851641</v>
      </c>
      <c r="E46" s="1021" t="n">
        <f aca="false">IF(A46&gt;$D$9,0,(C46/2+D45)*$D$10+($D$7-SUM($C$23:C46))*$D$12/12)</f>
        <v>0</v>
      </c>
      <c r="F46" s="1022" t="n">
        <f aca="false">IF(A46&lt;=$D$9,E46+F45,F45)</f>
        <v>6588.53585164148</v>
      </c>
      <c r="G46" s="0"/>
      <c r="I46" s="968"/>
      <c r="J46" s="968"/>
      <c r="K46" s="968"/>
      <c r="L46" s="968"/>
      <c r="M46" s="968"/>
    </row>
    <row r="47" customFormat="false" ht="11.45" hidden="false" customHeight="true" outlineLevel="0" collapsed="false">
      <c r="A47" s="1015" t="n">
        <f aca="false">A46+1</f>
        <v>25</v>
      </c>
      <c r="B47" s="1019" t="n">
        <f aca="false">C47/$D$6</f>
        <v>0</v>
      </c>
      <c r="C47" s="1020" t="n">
        <v>0</v>
      </c>
      <c r="D47" s="1021" t="n">
        <f aca="false">C47+D46+E46</f>
        <v>150550.528851641</v>
      </c>
      <c r="E47" s="1021" t="n">
        <f aca="false">IF(A47&gt;$D$9,0,(C47/2+D46)*$D$10+($D$7-SUM($C$23:C47))*$D$12/12)</f>
        <v>0</v>
      </c>
      <c r="F47" s="1022" t="n">
        <f aca="false">IF(A47&lt;=$D$9,E47+F46,F46)</f>
        <v>6588.53585164148</v>
      </c>
      <c r="G47" s="0"/>
      <c r="I47" s="968"/>
      <c r="J47" s="968"/>
      <c r="K47" s="968"/>
      <c r="L47" s="968"/>
      <c r="M47" s="968"/>
    </row>
    <row r="48" customFormat="false" ht="11.45" hidden="false" customHeight="true" outlineLevel="0" collapsed="false">
      <c r="A48" s="1015" t="n">
        <f aca="false">A47+1</f>
        <v>26</v>
      </c>
      <c r="B48" s="1019" t="n">
        <f aca="false">C48/$D$6</f>
        <v>0</v>
      </c>
      <c r="C48" s="1020" t="n">
        <v>0</v>
      </c>
      <c r="D48" s="1021" t="n">
        <f aca="false">C48+D47+E47</f>
        <v>150550.528851641</v>
      </c>
      <c r="E48" s="1021" t="n">
        <f aca="false">IF(A48&gt;$D$9,0,(C48/2+D47)*$D$10+($D$7-SUM($C$23:C48))*$D$12/12)</f>
        <v>0</v>
      </c>
      <c r="F48" s="1022" t="n">
        <f aca="false">IF(A48&lt;=$D$9,E48+F47,F47)</f>
        <v>6588.53585164148</v>
      </c>
      <c r="G48" s="0"/>
      <c r="I48" s="968"/>
      <c r="J48" s="968"/>
      <c r="K48" s="968"/>
      <c r="L48" s="968"/>
      <c r="M48" s="968"/>
    </row>
    <row r="49" customFormat="false" ht="11.45" hidden="false" customHeight="true" outlineLevel="0" collapsed="false">
      <c r="A49" s="1015" t="n">
        <f aca="false">A48+1</f>
        <v>27</v>
      </c>
      <c r="B49" s="1019" t="n">
        <f aca="false">C49/$D$6</f>
        <v>0</v>
      </c>
      <c r="C49" s="1020" t="n">
        <v>0</v>
      </c>
      <c r="D49" s="1021" t="n">
        <f aca="false">C49+D48+E48</f>
        <v>150550.528851641</v>
      </c>
      <c r="E49" s="1021" t="n">
        <f aca="false">IF(A49&gt;$D$9,0,(C49/2+D48)*$D$10+($D$7-SUM($C$23:C49))*$D$12/12)</f>
        <v>0</v>
      </c>
      <c r="F49" s="1022" t="n">
        <f aca="false">IF(A49&lt;=$D$9,E49+F48,F48)</f>
        <v>6588.53585164148</v>
      </c>
      <c r="G49" s="0"/>
      <c r="I49" s="968"/>
      <c r="J49" s="968"/>
      <c r="K49" s="968"/>
      <c r="L49" s="968"/>
      <c r="M49" s="968"/>
    </row>
    <row r="50" customFormat="false" ht="11.45" hidden="false" customHeight="true" outlineLevel="0" collapsed="false">
      <c r="A50" s="1015" t="n">
        <f aca="false">A49+1</f>
        <v>28</v>
      </c>
      <c r="B50" s="1019" t="n">
        <f aca="false">C50/$D$6</f>
        <v>0</v>
      </c>
      <c r="C50" s="1020" t="n">
        <v>0</v>
      </c>
      <c r="D50" s="1021" t="n">
        <f aca="false">C50+D49+E49</f>
        <v>150550.528851641</v>
      </c>
      <c r="E50" s="1021" t="n">
        <f aca="false">IF(A50&gt;$D$9,0,(C50/2+D49)*$D$10+($D$7-SUM($C$23:C50))*$D$12/12)</f>
        <v>0</v>
      </c>
      <c r="F50" s="1022" t="n">
        <f aca="false">IF(A50&lt;=$D$9,E50+F49,F49)</f>
        <v>6588.53585164148</v>
      </c>
      <c r="G50" s="0"/>
      <c r="I50" s="968"/>
      <c r="J50" s="968"/>
      <c r="K50" s="968"/>
      <c r="L50" s="968"/>
      <c r="M50" s="968"/>
    </row>
    <row r="51" customFormat="false" ht="11.45" hidden="false" customHeight="true" outlineLevel="0" collapsed="false">
      <c r="A51" s="1015" t="n">
        <f aca="false">A50+1</f>
        <v>29</v>
      </c>
      <c r="B51" s="1019" t="n">
        <f aca="false">C51/$D$6</f>
        <v>0</v>
      </c>
      <c r="C51" s="1020" t="n">
        <v>0</v>
      </c>
      <c r="D51" s="1021" t="n">
        <f aca="false">C51+D50+E50</f>
        <v>150550.528851641</v>
      </c>
      <c r="E51" s="1021" t="n">
        <f aca="false">IF(A51&gt;$D$9,0,(C51/2+D50)*$D$10+($D$7-SUM($C$23:C51))*$D$12/12)</f>
        <v>0</v>
      </c>
      <c r="F51" s="1022" t="n">
        <f aca="false">IF(A51&lt;=$D$9,E51+F50,F50)</f>
        <v>6588.53585164148</v>
      </c>
      <c r="G51" s="0"/>
      <c r="I51" s="968"/>
      <c r="J51" s="968"/>
      <c r="K51" s="968"/>
      <c r="L51" s="968"/>
      <c r="M51" s="968"/>
    </row>
    <row r="52" customFormat="false" ht="11.45" hidden="false" customHeight="true" outlineLevel="0" collapsed="false">
      <c r="A52" s="1015" t="n">
        <f aca="false">A51+1</f>
        <v>30</v>
      </c>
      <c r="B52" s="1019" t="n">
        <f aca="false">C52/$D$6</f>
        <v>0</v>
      </c>
      <c r="C52" s="1020" t="n">
        <v>0</v>
      </c>
      <c r="D52" s="1021" t="n">
        <f aca="false">C52+D51+E51</f>
        <v>150550.528851641</v>
      </c>
      <c r="E52" s="1021" t="n">
        <f aca="false">IF(A52&gt;$D$9,0,(C52/2+D51)*$D$10+($D$7-SUM($C$23:C52))*$D$12/12)</f>
        <v>0</v>
      </c>
      <c r="F52" s="1022" t="n">
        <f aca="false">IF(A52&lt;=$D$9,E52+F51,F51)</f>
        <v>6588.53585164148</v>
      </c>
      <c r="G52" s="0"/>
      <c r="I52" s="968"/>
      <c r="J52" s="968"/>
      <c r="K52" s="968"/>
      <c r="L52" s="968"/>
      <c r="M52" s="968"/>
    </row>
    <row r="53" customFormat="false" ht="11.45" hidden="false" customHeight="true" outlineLevel="0" collapsed="false">
      <c r="A53" s="1015" t="n">
        <f aca="false">A52+1</f>
        <v>31</v>
      </c>
      <c r="B53" s="1019" t="n">
        <f aca="false">C53/$D$6</f>
        <v>0</v>
      </c>
      <c r="C53" s="1020" t="n">
        <v>0</v>
      </c>
      <c r="D53" s="1021" t="n">
        <f aca="false">C53+D52+E52</f>
        <v>150550.528851641</v>
      </c>
      <c r="E53" s="1021" t="n">
        <f aca="false">IF(A53&gt;$D$9,0,(C53/2+D52)*$D$10+($D$7-SUM($C$23:C53))*$D$12/12)</f>
        <v>0</v>
      </c>
      <c r="F53" s="1022" t="n">
        <f aca="false">IF(A53&lt;=$D$9,E53+F52,F52)</f>
        <v>6588.53585164148</v>
      </c>
      <c r="G53" s="0"/>
      <c r="I53" s="968"/>
      <c r="J53" s="968"/>
      <c r="K53" s="968"/>
      <c r="L53" s="968"/>
      <c r="M53" s="968"/>
    </row>
    <row r="54" customFormat="false" ht="11.45" hidden="false" customHeight="true" outlineLevel="0" collapsed="false">
      <c r="A54" s="1015" t="n">
        <f aca="false">A53+1</f>
        <v>32</v>
      </c>
      <c r="B54" s="1019" t="n">
        <f aca="false">C54/$D$6</f>
        <v>0</v>
      </c>
      <c r="C54" s="1020" t="n">
        <v>0</v>
      </c>
      <c r="D54" s="1021" t="n">
        <f aca="false">C54+D53+E53</f>
        <v>150550.528851641</v>
      </c>
      <c r="E54" s="1021" t="n">
        <f aca="false">IF(A54&gt;$D$9,0,(C54/2+D53)*$D$10+($D$7-SUM($C$23:C54))*$D$12/12)</f>
        <v>0</v>
      </c>
      <c r="F54" s="1022" t="n">
        <f aca="false">IF(A54&lt;=$D$9,E54+F53,F53)</f>
        <v>6588.53585164148</v>
      </c>
      <c r="G54" s="0"/>
      <c r="I54" s="968"/>
      <c r="J54" s="968"/>
      <c r="K54" s="968"/>
      <c r="L54" s="968"/>
      <c r="M54" s="968"/>
    </row>
    <row r="55" customFormat="false" ht="11.45" hidden="false" customHeight="true" outlineLevel="0" collapsed="false">
      <c r="A55" s="1015" t="n">
        <f aca="false">A54+1</f>
        <v>33</v>
      </c>
      <c r="B55" s="1019" t="n">
        <f aca="false">C55/$D$6</f>
        <v>0</v>
      </c>
      <c r="C55" s="1020" t="n">
        <v>0</v>
      </c>
      <c r="D55" s="1021" t="n">
        <f aca="false">C55+D54+E54</f>
        <v>150550.528851641</v>
      </c>
      <c r="E55" s="1021" t="n">
        <f aca="false">IF(A55&gt;$D$9,0,(C55/2+D54)*$D$10+($D$7-SUM($C$23:C55))*$D$12/12)</f>
        <v>0</v>
      </c>
      <c r="F55" s="1022" t="n">
        <f aca="false">IF(A55&lt;=$D$9,E55+F54,F54)</f>
        <v>6588.53585164148</v>
      </c>
      <c r="G55" s="0"/>
      <c r="I55" s="968"/>
      <c r="J55" s="968"/>
      <c r="K55" s="968"/>
      <c r="L55" s="968"/>
      <c r="M55" s="968"/>
    </row>
    <row r="56" customFormat="false" ht="11.45" hidden="false" customHeight="true" outlineLevel="0" collapsed="false">
      <c r="A56" s="1015" t="n">
        <f aca="false">A55+1</f>
        <v>34</v>
      </c>
      <c r="B56" s="1019" t="n">
        <f aca="false">C56/$D$6</f>
        <v>0</v>
      </c>
      <c r="C56" s="1020" t="n">
        <v>0</v>
      </c>
      <c r="D56" s="1021" t="n">
        <f aca="false">C56+D55+E55</f>
        <v>150550.528851641</v>
      </c>
      <c r="E56" s="1021" t="n">
        <f aca="false">IF(A56&gt;$D$9,0,(C56/2+D55)*$D$10+($D$7-SUM($C$23:C56))*$D$12/12)</f>
        <v>0</v>
      </c>
      <c r="F56" s="1022" t="n">
        <f aca="false">IF(A56&lt;=$D$9,E56+F55,F55)</f>
        <v>6588.53585164148</v>
      </c>
      <c r="G56" s="0"/>
      <c r="I56" s="968"/>
      <c r="J56" s="968"/>
      <c r="K56" s="968"/>
      <c r="L56" s="968"/>
      <c r="M56" s="968"/>
    </row>
    <row r="57" customFormat="false" ht="11.45" hidden="false" customHeight="true" outlineLevel="0" collapsed="false">
      <c r="A57" s="1015" t="n">
        <f aca="false">A56+1</f>
        <v>35</v>
      </c>
      <c r="B57" s="1019" t="n">
        <f aca="false">C57/$D$6</f>
        <v>0</v>
      </c>
      <c r="C57" s="1020" t="n">
        <v>0</v>
      </c>
      <c r="D57" s="1021" t="n">
        <f aca="false">C57+D56+E56</f>
        <v>150550.528851641</v>
      </c>
      <c r="E57" s="1021" t="n">
        <f aca="false">IF(A57&gt;$D$9,0,(C57/2+D56)*$D$10+($D$7-SUM($C$23:C57))*$D$12/12)</f>
        <v>0</v>
      </c>
      <c r="F57" s="1022" t="n">
        <f aca="false">IF(A57&lt;=$D$9,E57+F56,F56)</f>
        <v>6588.53585164148</v>
      </c>
      <c r="G57" s="0"/>
      <c r="I57" s="968"/>
      <c r="J57" s="968"/>
      <c r="K57" s="968"/>
      <c r="L57" s="968"/>
      <c r="M57" s="968"/>
    </row>
    <row r="58" customFormat="false" ht="11.45" hidden="false" customHeight="true" outlineLevel="0" collapsed="false">
      <c r="A58" s="1023" t="n">
        <f aca="false">A57+1</f>
        <v>36</v>
      </c>
      <c r="B58" s="1023"/>
      <c r="C58" s="1024" t="n">
        <v>0</v>
      </c>
      <c r="D58" s="1024"/>
      <c r="E58" s="1024" t="n">
        <f aca="false">IF(A58&gt;$D$9,0,(C58+D57)*$D$10+($D$6-SUM($C$23:C58))*$D$12/12)</f>
        <v>0</v>
      </c>
      <c r="F58" s="1025" t="n">
        <f aca="false">IF(A58&lt;=$D$9,E58+F57,F57)</f>
        <v>6588.53585164148</v>
      </c>
      <c r="G58" s="0"/>
      <c r="I58" s="968"/>
      <c r="J58" s="968"/>
      <c r="K58" s="968"/>
      <c r="L58" s="968"/>
      <c r="M58" s="968"/>
    </row>
    <row r="59" customFormat="false" ht="12.75" hidden="false" customHeight="false" outlineLevel="0" collapsed="false">
      <c r="A59" s="0"/>
      <c r="B59" s="1026" t="n">
        <f aca="false">SUM(B23:B58)</f>
        <v>0.999999951376058</v>
      </c>
      <c r="C59" s="36" t="n">
        <f aca="false">SUM(C22:C58)</f>
        <v>143961.993</v>
      </c>
      <c r="D59" s="0"/>
      <c r="E59" s="0"/>
      <c r="F59" s="0"/>
      <c r="G59" s="0"/>
      <c r="H59" s="0"/>
      <c r="I59" s="968"/>
      <c r="J59" s="968"/>
      <c r="K59" s="968"/>
      <c r="L59" s="968"/>
      <c r="M59" s="968"/>
    </row>
    <row r="60" customFormat="false" ht="12.75" hidden="false" customHeight="false" outlineLevel="0" collapsed="false">
      <c r="A60" s="0"/>
      <c r="B60" s="0"/>
      <c r="C60" s="0"/>
      <c r="D60" s="0"/>
      <c r="E60" s="0"/>
      <c r="F60" s="0"/>
      <c r="G60" s="0"/>
      <c r="I60" s="968"/>
      <c r="J60" s="968"/>
      <c r="K60" s="968"/>
      <c r="L60" s="968"/>
      <c r="M60" s="968"/>
      <c r="N60" s="968"/>
    </row>
    <row r="61" customFormat="false" ht="12.75" hidden="false" customHeight="false" outlineLevel="0" collapsed="false">
      <c r="A61" s="0"/>
      <c r="B61" s="0"/>
      <c r="C61" s="0"/>
      <c r="D61" s="0"/>
      <c r="E61" s="0"/>
      <c r="F61" s="0"/>
      <c r="G61" s="0"/>
      <c r="I61" s="968"/>
      <c r="J61" s="968"/>
      <c r="K61" s="968"/>
      <c r="L61" s="968"/>
      <c r="M61" s="968"/>
      <c r="N61" s="968"/>
    </row>
    <row r="62" customFormat="false" ht="12.75" hidden="false" customHeight="false" outlineLevel="0" collapsed="false">
      <c r="A62" s="0"/>
      <c r="B62" s="0"/>
      <c r="C62" s="0"/>
      <c r="D62" s="0"/>
      <c r="E62" s="0"/>
      <c r="F62" s="0"/>
      <c r="G62" s="0"/>
      <c r="I62" s="968"/>
      <c r="J62" s="968"/>
      <c r="K62" s="968"/>
      <c r="L62" s="968"/>
      <c r="M62" s="968"/>
      <c r="N62" s="968"/>
    </row>
    <row r="63" customFormat="false" ht="12.75" hidden="false" customHeight="false" outlineLevel="0" collapsed="false">
      <c r="A63" s="0"/>
      <c r="B63" s="0"/>
      <c r="C63" s="0"/>
      <c r="D63" s="0"/>
      <c r="E63" s="0"/>
      <c r="F63" s="0"/>
      <c r="G63" s="0"/>
      <c r="I63" s="968"/>
      <c r="J63" s="968"/>
      <c r="K63" s="968"/>
      <c r="L63" s="968"/>
      <c r="M63" s="968"/>
      <c r="N63" s="968"/>
    </row>
    <row r="64" customFormat="false" ht="12.75" hidden="false" customHeight="false" outlineLevel="0" collapsed="false">
      <c r="A64" s="0"/>
      <c r="B64" s="0"/>
      <c r="C64" s="0"/>
      <c r="D64" s="0"/>
      <c r="E64" s="0"/>
      <c r="F64" s="0"/>
      <c r="G64" s="0"/>
      <c r="I64" s="968"/>
      <c r="J64" s="968"/>
      <c r="K64" s="968"/>
      <c r="L64" s="968"/>
      <c r="M64" s="968"/>
      <c r="N64" s="968"/>
    </row>
    <row r="65" customFormat="false" ht="11.25" hidden="false" customHeight="false" outlineLevel="0" collapsed="false">
      <c r="C65" s="968"/>
      <c r="D65" s="968"/>
      <c r="E65" s="968"/>
      <c r="F65" s="968"/>
      <c r="G65" s="968"/>
      <c r="H65" s="968"/>
      <c r="I65" s="968"/>
      <c r="J65" s="968"/>
      <c r="K65" s="968"/>
      <c r="L65" s="968"/>
      <c r="M65" s="968"/>
      <c r="N65" s="968"/>
    </row>
    <row r="66" customFormat="false" ht="11.25" hidden="false" customHeight="false" outlineLevel="0" collapsed="false">
      <c r="C66" s="968"/>
      <c r="D66" s="968"/>
      <c r="E66" s="968"/>
      <c r="F66" s="968"/>
      <c r="G66" s="968"/>
      <c r="H66" s="968"/>
      <c r="I66" s="968"/>
      <c r="J66" s="968"/>
      <c r="K66" s="968"/>
      <c r="L66" s="968"/>
      <c r="M66" s="968"/>
      <c r="N66" s="968"/>
    </row>
    <row r="67" customFormat="false" ht="11.25" hidden="false" customHeight="false" outlineLevel="0" collapsed="false">
      <c r="C67" s="968"/>
      <c r="D67" s="968"/>
      <c r="E67" s="968"/>
      <c r="F67" s="968"/>
      <c r="G67" s="968"/>
      <c r="H67" s="968"/>
      <c r="I67" s="968"/>
      <c r="J67" s="968"/>
      <c r="K67" s="968"/>
      <c r="L67" s="968"/>
      <c r="M67" s="968"/>
      <c r="N67" s="968"/>
    </row>
    <row r="68" customFormat="false" ht="11.25" hidden="false" customHeight="false" outlineLevel="0" collapsed="false">
      <c r="A68" s="982"/>
      <c r="B68" s="982"/>
      <c r="C68" s="982"/>
      <c r="D68" s="1027"/>
      <c r="E68" s="1027"/>
      <c r="F68" s="1027"/>
      <c r="G68" s="1027"/>
      <c r="H68" s="1027"/>
      <c r="I68" s="1027"/>
      <c r="J68" s="1027"/>
      <c r="K68" s="1027"/>
      <c r="L68" s="1027"/>
      <c r="M68" s="1027"/>
      <c r="N68" s="1027"/>
      <c r="O68" s="1027"/>
      <c r="P68" s="1027"/>
      <c r="Q68" s="1027"/>
      <c r="R68" s="1027"/>
      <c r="S68" s="1027"/>
      <c r="T68" s="1027"/>
      <c r="U68" s="1027"/>
      <c r="V68" s="1027"/>
      <c r="W68" s="1027"/>
      <c r="X68" s="1027"/>
      <c r="Y68" s="1027"/>
      <c r="Z68" s="1027"/>
      <c r="AA68" s="1027"/>
    </row>
    <row r="69" customFormat="false" ht="11.25" hidden="false" customHeight="false" outlineLevel="0" collapsed="false">
      <c r="A69" s="982"/>
      <c r="B69" s="982"/>
      <c r="C69" s="982"/>
      <c r="D69" s="1028"/>
      <c r="E69" s="1028"/>
      <c r="F69" s="1028"/>
      <c r="G69" s="1028"/>
      <c r="H69" s="1028"/>
      <c r="I69" s="1028"/>
      <c r="J69" s="1028"/>
      <c r="K69" s="1028"/>
      <c r="L69" s="1028"/>
      <c r="M69" s="1028"/>
      <c r="N69" s="1028"/>
      <c r="O69" s="1028"/>
      <c r="P69" s="1028"/>
      <c r="Q69" s="1028"/>
      <c r="R69" s="1028"/>
      <c r="S69" s="1028"/>
      <c r="T69" s="1028"/>
      <c r="U69" s="1028"/>
      <c r="V69" s="1028"/>
      <c r="W69" s="1028"/>
      <c r="X69" s="1028"/>
      <c r="Y69" s="1028"/>
      <c r="Z69" s="1028"/>
      <c r="AA69" s="1028"/>
    </row>
    <row r="70" customFormat="false" ht="11.25" hidden="false" customHeight="false" outlineLevel="0" collapsed="false">
      <c r="G70" s="968"/>
      <c r="H70" s="968"/>
      <c r="I70" s="968"/>
      <c r="J70" s="968"/>
      <c r="K70" s="968"/>
      <c r="L70" s="968"/>
      <c r="M70" s="968"/>
      <c r="N70" s="968"/>
    </row>
    <row r="71" customFormat="false" ht="11.25" hidden="false" customHeight="false" outlineLevel="0" collapsed="false">
      <c r="G71" s="968"/>
      <c r="H71" s="968"/>
      <c r="I71" s="968"/>
      <c r="J71" s="968"/>
      <c r="K71" s="968"/>
      <c r="L71" s="968"/>
      <c r="M71" s="968"/>
      <c r="N71" s="968"/>
    </row>
    <row r="72" customFormat="false" ht="11.25" hidden="false" customHeight="false" outlineLevel="0" collapsed="false">
      <c r="H72" s="968"/>
      <c r="I72" s="968"/>
      <c r="J72" s="968"/>
      <c r="K72" s="968"/>
      <c r="L72" s="968"/>
      <c r="M72" s="968"/>
      <c r="N72" s="968"/>
    </row>
    <row r="73" customFormat="false" ht="11.25" hidden="false" customHeight="false" outlineLevel="0" collapsed="false">
      <c r="H73" s="968"/>
      <c r="I73" s="968"/>
      <c r="J73" s="968"/>
      <c r="K73" s="968"/>
      <c r="L73" s="968"/>
      <c r="M73" s="968"/>
      <c r="N73" s="968"/>
    </row>
    <row r="74" customFormat="false" ht="11.25" hidden="false" customHeight="false" outlineLevel="0" collapsed="false">
      <c r="H74" s="968"/>
      <c r="I74" s="968"/>
      <c r="J74" s="968"/>
      <c r="K74" s="968"/>
      <c r="L74" s="968"/>
      <c r="M74" s="968"/>
      <c r="N74" s="968"/>
    </row>
    <row r="75" customFormat="false" ht="11.25" hidden="false" customHeight="false" outlineLevel="0" collapsed="false">
      <c r="H75" s="968"/>
      <c r="I75" s="968"/>
      <c r="J75" s="968"/>
      <c r="K75" s="968"/>
      <c r="L75" s="968"/>
      <c r="M75" s="968"/>
      <c r="N75" s="968"/>
    </row>
    <row r="76" customFormat="false" ht="11.25" hidden="false" customHeight="false" outlineLevel="0" collapsed="false">
      <c r="H76" s="968"/>
      <c r="I76" s="968"/>
      <c r="J76" s="968"/>
      <c r="K76" s="968"/>
      <c r="L76" s="968"/>
      <c r="M76" s="968"/>
      <c r="N76" s="968"/>
    </row>
    <row r="77" customFormat="false" ht="11.25" hidden="false" customHeight="false" outlineLevel="0" collapsed="false">
      <c r="H77" s="968"/>
      <c r="I77" s="968"/>
      <c r="J77" s="968"/>
      <c r="K77" s="968"/>
      <c r="L77" s="968"/>
      <c r="M77" s="968"/>
      <c r="N77" s="968"/>
    </row>
    <row r="78" customFormat="false" ht="11.25" hidden="false" customHeight="false" outlineLevel="0" collapsed="false">
      <c r="H78" s="968"/>
      <c r="I78" s="968"/>
      <c r="J78" s="968"/>
      <c r="K78" s="968"/>
      <c r="L78" s="968"/>
      <c r="M78" s="968"/>
      <c r="N78" s="968"/>
    </row>
    <row r="79" customFormat="false" ht="11.25" hidden="false" customHeight="false" outlineLevel="0" collapsed="false">
      <c r="H79" s="968"/>
      <c r="I79" s="968"/>
      <c r="J79" s="968"/>
      <c r="K79" s="968"/>
      <c r="L79" s="968"/>
      <c r="M79" s="968"/>
      <c r="N79" s="968"/>
    </row>
    <row r="80" customFormat="false" ht="11.25" hidden="false" customHeight="false" outlineLevel="0" collapsed="false">
      <c r="H80" s="968"/>
      <c r="I80" s="968"/>
      <c r="J80" s="968"/>
      <c r="K80" s="968"/>
      <c r="L80" s="968"/>
      <c r="M80" s="968"/>
      <c r="N80" s="968"/>
    </row>
    <row r="81" customFormat="false" ht="11.25" hidden="false" customHeight="false" outlineLevel="0" collapsed="false">
      <c r="H81" s="968"/>
      <c r="I81" s="968"/>
      <c r="J81" s="968"/>
      <c r="K81" s="968"/>
      <c r="L81" s="968"/>
      <c r="M81" s="968"/>
      <c r="N81" s="968"/>
    </row>
    <row r="82" customFormat="false" ht="11.25" hidden="false" customHeight="false" outlineLevel="0" collapsed="false">
      <c r="A82" s="982"/>
      <c r="B82" s="982"/>
      <c r="C82" s="983"/>
      <c r="D82" s="1007"/>
      <c r="E82" s="1007"/>
      <c r="H82" s="968"/>
      <c r="I82" s="968"/>
      <c r="J82" s="968"/>
      <c r="K82" s="968"/>
      <c r="L82" s="968"/>
      <c r="M82" s="968"/>
      <c r="N82" s="968"/>
    </row>
    <row r="83" customFormat="false" ht="12.75" hidden="false" customHeight="false" outlineLevel="0" collapsed="false">
      <c r="A83" s="0"/>
      <c r="B83" s="0"/>
      <c r="C83" s="0"/>
      <c r="D83" s="0"/>
      <c r="E83" s="0"/>
      <c r="F83" s="0"/>
      <c r="G83" s="0"/>
      <c r="H83" s="968"/>
      <c r="I83" s="968"/>
      <c r="J83" s="968"/>
      <c r="K83" s="968"/>
      <c r="L83" s="968"/>
      <c r="M83" s="968"/>
      <c r="N83" s="968"/>
    </row>
    <row r="84" customFormat="false" ht="12.75" hidden="false" customHeight="false" outlineLevel="0" collapsed="false">
      <c r="A84" s="0"/>
      <c r="B84" s="0"/>
      <c r="C84" s="0"/>
      <c r="D84" s="0"/>
      <c r="E84" s="0"/>
      <c r="F84" s="0"/>
      <c r="G84" s="0"/>
      <c r="H84" s="968"/>
      <c r="I84" s="968"/>
      <c r="J84" s="968"/>
      <c r="K84" s="968"/>
      <c r="L84" s="968"/>
      <c r="M84" s="968"/>
      <c r="N84" s="968"/>
    </row>
    <row r="85" customFormat="false" ht="12.75" hidden="false" customHeight="false" outlineLevel="0" collapsed="false">
      <c r="A85" s="0"/>
      <c r="B85" s="0"/>
      <c r="C85" s="0"/>
      <c r="D85" s="0"/>
      <c r="E85" s="0"/>
      <c r="F85" s="0"/>
      <c r="G85" s="0"/>
      <c r="H85" s="968"/>
      <c r="I85" s="968"/>
      <c r="J85" s="968"/>
      <c r="K85" s="968"/>
      <c r="L85" s="968"/>
      <c r="M85" s="968"/>
      <c r="N85" s="968"/>
    </row>
    <row r="86" customFormat="false" ht="12.75" hidden="false" customHeight="false" outlineLevel="0" collapsed="false">
      <c r="A86" s="0"/>
      <c r="B86" s="0"/>
      <c r="C86" s="0"/>
      <c r="D86" s="0"/>
      <c r="E86" s="0"/>
      <c r="F86" s="0"/>
      <c r="G86" s="0"/>
      <c r="H86" s="968"/>
      <c r="I86" s="968"/>
      <c r="J86" s="968"/>
      <c r="K86" s="968"/>
      <c r="L86" s="968"/>
      <c r="M86" s="968"/>
      <c r="N86" s="968"/>
    </row>
    <row r="87" customFormat="false" ht="12.75" hidden="false" customHeight="false" outlineLevel="0" collapsed="false">
      <c r="A87" s="0"/>
      <c r="B87" s="0"/>
      <c r="C87" s="0"/>
      <c r="D87" s="0"/>
      <c r="E87" s="0"/>
      <c r="F87" s="0"/>
      <c r="G87" s="0"/>
      <c r="H87" s="968"/>
      <c r="I87" s="968"/>
      <c r="J87" s="968"/>
      <c r="K87" s="968"/>
      <c r="L87" s="968"/>
      <c r="M87" s="968"/>
      <c r="N87" s="968"/>
    </row>
    <row r="88" customFormat="false" ht="12.75" hidden="false" customHeight="false" outlineLevel="0" collapsed="false">
      <c r="A88" s="0"/>
      <c r="B88" s="0"/>
      <c r="C88" s="0"/>
      <c r="D88" s="0"/>
      <c r="E88" s="0"/>
      <c r="F88" s="0"/>
      <c r="G88" s="0"/>
      <c r="H88" s="968"/>
      <c r="I88" s="968"/>
      <c r="J88" s="968"/>
      <c r="K88" s="968"/>
      <c r="L88" s="968"/>
      <c r="M88" s="968"/>
      <c r="N88" s="968"/>
    </row>
    <row r="89" customFormat="false" ht="12.75" hidden="false" customHeight="false" outlineLevel="0" collapsed="false">
      <c r="A89" s="0"/>
      <c r="B89" s="0"/>
      <c r="C89" s="0"/>
      <c r="D89" s="0"/>
      <c r="E89" s="0"/>
      <c r="F89" s="0"/>
      <c r="G89" s="0"/>
      <c r="H89" s="968"/>
      <c r="I89" s="968"/>
      <c r="J89" s="968"/>
      <c r="K89" s="968"/>
      <c r="L89" s="968"/>
      <c r="M89" s="968"/>
      <c r="N89" s="968"/>
    </row>
    <row r="90" customFormat="false" ht="11.45" hidden="false" customHeight="true" outlineLevel="0" collapsed="false">
      <c r="A90" s="982"/>
      <c r="B90" s="982"/>
      <c r="C90" s="983"/>
      <c r="D90" s="1007"/>
      <c r="E90" s="1007"/>
      <c r="H90" s="1003"/>
      <c r="I90" s="968"/>
      <c r="J90" s="968"/>
      <c r="K90" s="968"/>
      <c r="L90" s="968"/>
      <c r="M90" s="968"/>
      <c r="N90" s="968"/>
    </row>
    <row r="91" customFormat="false" ht="11.45" hidden="false" customHeight="true" outlineLevel="0" collapsed="false">
      <c r="A91" s="982"/>
      <c r="B91" s="982"/>
      <c r="C91" s="983"/>
      <c r="D91" s="983"/>
      <c r="E91" s="983"/>
      <c r="F91" s="1007"/>
      <c r="H91" s="1003"/>
      <c r="I91" s="968"/>
      <c r="J91" s="968"/>
      <c r="K91" s="968"/>
      <c r="L91" s="968"/>
      <c r="M91" s="968"/>
      <c r="N91" s="968"/>
      <c r="O91" s="968"/>
    </row>
    <row r="92" customFormat="false" ht="11.45" hidden="false" customHeight="true" outlineLevel="0" collapsed="false">
      <c r="A92" s="1029"/>
      <c r="B92" s="1029"/>
      <c r="C92" s="982"/>
      <c r="D92" s="982"/>
      <c r="E92" s="982"/>
      <c r="F92" s="1027"/>
      <c r="G92" s="1027"/>
      <c r="H92" s="1027"/>
      <c r="I92" s="1027"/>
      <c r="J92" s="1027"/>
      <c r="K92" s="1027"/>
      <c r="L92" s="1027"/>
      <c r="M92" s="1027"/>
      <c r="N92" s="1027"/>
      <c r="O92" s="1027"/>
      <c r="P92" s="1027"/>
      <c r="Q92" s="1027"/>
      <c r="R92" s="1027"/>
      <c r="S92" s="1027"/>
      <c r="T92" s="1027"/>
      <c r="U92" s="1027"/>
      <c r="V92" s="1027"/>
      <c r="W92" s="1027"/>
      <c r="X92" s="1027"/>
      <c r="Y92" s="1027"/>
      <c r="Z92" s="1027"/>
      <c r="AA92" s="1027"/>
      <c r="AB92" s="1027"/>
    </row>
    <row r="93" customFormat="false" ht="11.45" hidden="false" customHeight="true" outlineLevel="0" collapsed="false">
      <c r="A93" s="1029"/>
      <c r="B93" s="1029"/>
      <c r="C93" s="982"/>
      <c r="D93" s="982"/>
      <c r="E93" s="982"/>
      <c r="F93" s="1028"/>
      <c r="G93" s="1028"/>
      <c r="H93" s="1028"/>
      <c r="I93" s="1028"/>
      <c r="J93" s="1028"/>
      <c r="K93" s="1028"/>
      <c r="L93" s="1028"/>
      <c r="M93" s="1028"/>
      <c r="N93" s="1028"/>
      <c r="O93" s="1028"/>
      <c r="P93" s="1028"/>
      <c r="Q93" s="1028"/>
      <c r="R93" s="1028"/>
      <c r="S93" s="1028"/>
      <c r="T93" s="1028"/>
      <c r="U93" s="1028"/>
      <c r="V93" s="1028"/>
      <c r="W93" s="1028"/>
      <c r="X93" s="1028"/>
      <c r="Y93" s="1028"/>
      <c r="Z93" s="1028"/>
      <c r="AA93" s="1028"/>
      <c r="AB93" s="1028"/>
    </row>
    <row r="94" customFormat="false" ht="11.45" hidden="false" customHeight="true" outlineLevel="0" collapsed="false">
      <c r="A94" s="982"/>
      <c r="B94" s="982"/>
      <c r="C94" s="983"/>
      <c r="D94" s="983"/>
      <c r="E94" s="983"/>
      <c r="F94" s="1007"/>
      <c r="H94" s="1003"/>
      <c r="I94" s="968"/>
      <c r="J94" s="968"/>
      <c r="K94" s="968"/>
      <c r="L94" s="968"/>
      <c r="M94" s="968"/>
      <c r="N94" s="968"/>
      <c r="O94" s="968"/>
    </row>
    <row r="95" customFormat="false" ht="11.45" hidden="false" customHeight="true" outlineLevel="0" collapsed="false">
      <c r="A95" s="982"/>
      <c r="B95" s="982"/>
      <c r="C95" s="983"/>
      <c r="D95" s="983"/>
      <c r="E95" s="983"/>
      <c r="F95" s="1029"/>
      <c r="G95" s="1029"/>
      <c r="H95" s="1029"/>
      <c r="I95" s="1029"/>
      <c r="J95" s="1029"/>
      <c r="K95" s="1029"/>
      <c r="L95" s="1029"/>
      <c r="M95" s="1029"/>
      <c r="N95" s="1029"/>
      <c r="O95" s="1029"/>
      <c r="P95" s="1029"/>
      <c r="Q95" s="1029"/>
      <c r="R95" s="1029"/>
      <c r="S95" s="1029"/>
      <c r="T95" s="1029"/>
      <c r="U95" s="1029"/>
      <c r="V95" s="1029"/>
      <c r="W95" s="1029"/>
      <c r="X95" s="1029"/>
      <c r="Y95" s="1029"/>
      <c r="Z95" s="1029"/>
      <c r="AA95" s="1029"/>
      <c r="AB95" s="1029"/>
    </row>
    <row r="96" customFormat="false" ht="11.45" hidden="false" customHeight="true" outlineLevel="0" collapsed="false">
      <c r="A96" s="982"/>
      <c r="B96" s="982"/>
      <c r="C96" s="982"/>
      <c r="D96" s="982"/>
      <c r="E96" s="982"/>
      <c r="F96" s="1027"/>
      <c r="G96" s="1027"/>
      <c r="H96" s="1027"/>
      <c r="I96" s="1027"/>
      <c r="J96" s="1027"/>
      <c r="K96" s="1027"/>
      <c r="L96" s="1027"/>
      <c r="M96" s="1027"/>
      <c r="N96" s="1027"/>
      <c r="O96" s="1027"/>
      <c r="P96" s="1027"/>
      <c r="Q96" s="1027"/>
      <c r="R96" s="1027"/>
      <c r="S96" s="1027"/>
      <c r="T96" s="1027"/>
      <c r="U96" s="1027"/>
      <c r="V96" s="1027"/>
      <c r="W96" s="1027"/>
      <c r="X96" s="1027"/>
      <c r="Y96" s="1027"/>
      <c r="Z96" s="1027"/>
      <c r="AA96" s="1027"/>
      <c r="AB96" s="1027"/>
    </row>
    <row r="97" customFormat="false" ht="11.45" hidden="false" customHeight="true" outlineLevel="0" collapsed="false">
      <c r="A97" s="982"/>
      <c r="B97" s="982"/>
      <c r="C97" s="983"/>
      <c r="D97" s="983"/>
      <c r="E97" s="983"/>
      <c r="F97" s="1029"/>
      <c r="G97" s="1030"/>
      <c r="H97" s="1030"/>
      <c r="I97" s="1030"/>
      <c r="J97" s="1030"/>
      <c r="K97" s="1030"/>
      <c r="L97" s="1030"/>
      <c r="M97" s="1030"/>
      <c r="N97" s="1030"/>
      <c r="O97" s="1030"/>
      <c r="P97" s="1030"/>
      <c r="Q97" s="1030"/>
      <c r="R97" s="1030"/>
      <c r="S97" s="1030"/>
      <c r="T97" s="1030"/>
      <c r="U97" s="1030"/>
      <c r="V97" s="1030"/>
      <c r="W97" s="1030"/>
      <c r="X97" s="1030"/>
      <c r="Y97" s="1030"/>
      <c r="Z97" s="1030"/>
      <c r="AA97" s="1030"/>
      <c r="AB97" s="1030"/>
    </row>
    <row r="98" customFormat="false" ht="11.45" hidden="false" customHeight="true" outlineLevel="0" collapsed="false">
      <c r="A98" s="982"/>
      <c r="B98" s="982"/>
      <c r="C98" s="982"/>
      <c r="D98" s="982"/>
      <c r="E98" s="982"/>
      <c r="F98" s="1029"/>
      <c r="G98" s="1030"/>
      <c r="H98" s="1030"/>
      <c r="I98" s="1030"/>
      <c r="J98" s="1030"/>
      <c r="K98" s="1030"/>
      <c r="L98" s="1030"/>
      <c r="M98" s="1030"/>
      <c r="N98" s="1030"/>
      <c r="O98" s="1030"/>
      <c r="P98" s="1030"/>
      <c r="Q98" s="1030"/>
      <c r="R98" s="1030"/>
      <c r="S98" s="1030"/>
      <c r="T98" s="1030"/>
      <c r="U98" s="1030"/>
      <c r="V98" s="1030"/>
      <c r="W98" s="1030"/>
      <c r="X98" s="1030"/>
      <c r="Y98" s="1030"/>
      <c r="Z98" s="1030"/>
      <c r="AA98" s="1030"/>
      <c r="AB98" s="1030"/>
    </row>
    <row r="99" customFormat="false" ht="11.45" hidden="false" customHeight="true" outlineLevel="0" collapsed="false">
      <c r="A99" s="982"/>
      <c r="B99" s="982"/>
      <c r="C99" s="982"/>
      <c r="D99" s="982"/>
      <c r="E99" s="982"/>
      <c r="F99" s="1029"/>
      <c r="G99" s="1030"/>
      <c r="H99" s="1030"/>
      <c r="I99" s="1030"/>
      <c r="J99" s="1030"/>
      <c r="K99" s="1030"/>
      <c r="L99" s="1030"/>
      <c r="M99" s="1030"/>
      <c r="N99" s="1030"/>
      <c r="O99" s="1030"/>
      <c r="P99" s="1030"/>
      <c r="Q99" s="1030"/>
      <c r="R99" s="1030"/>
      <c r="S99" s="1030"/>
      <c r="T99" s="1030"/>
      <c r="U99" s="1030"/>
      <c r="V99" s="1030"/>
      <c r="W99" s="1030"/>
      <c r="X99" s="1030"/>
      <c r="Y99" s="1030"/>
      <c r="Z99" s="1030"/>
      <c r="AA99" s="1030"/>
      <c r="AB99" s="1030"/>
    </row>
    <row r="100" customFormat="false" ht="12.75" hidden="false" customHeight="false" outlineLevel="0" collapsed="false">
      <c r="A100" s="0"/>
      <c r="B100" s="0"/>
      <c r="C100" s="0"/>
      <c r="D100" s="0"/>
      <c r="E100" s="0"/>
      <c r="F100" s="0"/>
      <c r="G100" s="0"/>
      <c r="H100" s="968"/>
      <c r="I100" s="968"/>
      <c r="J100" s="968"/>
      <c r="K100" s="968"/>
      <c r="L100" s="968"/>
      <c r="M100" s="968"/>
      <c r="N100" s="968"/>
    </row>
    <row r="101" customFormat="false" ht="12.75" hidden="false" customHeight="false" outlineLevel="0" collapsed="false">
      <c r="A101" s="0"/>
      <c r="B101" s="0"/>
      <c r="C101" s="0"/>
      <c r="D101" s="0"/>
      <c r="E101" s="0"/>
      <c r="F101" s="0"/>
      <c r="G101" s="0"/>
      <c r="H101" s="968"/>
      <c r="I101" s="968"/>
      <c r="J101" s="968"/>
      <c r="K101" s="968"/>
      <c r="L101" s="968"/>
      <c r="M101" s="968"/>
      <c r="N101" s="968"/>
    </row>
    <row r="102" customFormat="false" ht="12.75" hidden="false" customHeight="false" outlineLevel="0" collapsed="false">
      <c r="A102" s="0"/>
      <c r="B102" s="0"/>
      <c r="C102" s="0"/>
      <c r="D102" s="0"/>
      <c r="E102" s="0"/>
      <c r="F102" s="0"/>
      <c r="G102" s="0"/>
      <c r="H102" s="968"/>
      <c r="I102" s="968"/>
      <c r="J102" s="968"/>
      <c r="K102" s="968"/>
      <c r="L102" s="968"/>
      <c r="M102" s="968"/>
      <c r="N102" s="968"/>
    </row>
    <row r="103" customFormat="false" ht="12.75" hidden="false" customHeight="false" outlineLevel="0" collapsed="false">
      <c r="A103" s="0"/>
      <c r="B103" s="0"/>
      <c r="C103" s="0"/>
      <c r="D103" s="0"/>
      <c r="E103" s="0"/>
      <c r="F103" s="0"/>
      <c r="G103" s="0"/>
      <c r="H103" s="968"/>
      <c r="I103" s="968"/>
      <c r="J103" s="968"/>
      <c r="K103" s="968"/>
      <c r="L103" s="968"/>
      <c r="M103" s="968"/>
      <c r="N103" s="968"/>
    </row>
    <row r="104" customFormat="false" ht="12.75" hidden="false" customHeight="false" outlineLevel="0" collapsed="false">
      <c r="A104" s="0"/>
      <c r="B104" s="0"/>
      <c r="C104" s="0"/>
      <c r="D104" s="0"/>
      <c r="E104" s="0"/>
      <c r="F104" s="0"/>
      <c r="G104" s="0"/>
      <c r="H104" s="968"/>
      <c r="I104" s="968"/>
      <c r="J104" s="968"/>
      <c r="K104" s="968"/>
      <c r="L104" s="968"/>
      <c r="M104" s="968"/>
      <c r="N104" s="968"/>
    </row>
    <row r="105" customFormat="false" ht="12.75" hidden="false" customHeight="false" outlineLevel="0" collapsed="false">
      <c r="A105" s="0"/>
      <c r="B105" s="0"/>
      <c r="C105" s="0"/>
      <c r="D105" s="0"/>
      <c r="E105" s="0"/>
      <c r="F105" s="0"/>
      <c r="G105" s="0"/>
      <c r="H105" s="968"/>
      <c r="I105" s="968"/>
      <c r="J105" s="968"/>
      <c r="K105" s="968"/>
      <c r="L105" s="968"/>
      <c r="M105" s="968"/>
      <c r="N105" s="968"/>
    </row>
    <row r="106" customFormat="false" ht="12.75" hidden="false" customHeight="false" outlineLevel="0" collapsed="false">
      <c r="A106" s="0"/>
      <c r="B106" s="0"/>
      <c r="C106" s="0"/>
      <c r="D106" s="0"/>
      <c r="E106" s="0"/>
      <c r="F106" s="0"/>
      <c r="G106" s="0"/>
      <c r="H106" s="968"/>
      <c r="I106" s="968"/>
      <c r="J106" s="968"/>
      <c r="K106" s="968"/>
      <c r="L106" s="968"/>
      <c r="M106" s="968"/>
      <c r="N106" s="968"/>
    </row>
    <row r="107" customFormat="false" ht="12.75" hidden="false" customHeight="false" outlineLevel="0" collapsed="false">
      <c r="A107" s="0"/>
      <c r="B107" s="0"/>
      <c r="C107" s="0"/>
      <c r="D107" s="0"/>
      <c r="E107" s="0"/>
      <c r="F107" s="0"/>
      <c r="G107" s="0"/>
      <c r="H107" s="968"/>
      <c r="I107" s="968"/>
      <c r="J107" s="968"/>
      <c r="K107" s="968"/>
      <c r="L107" s="968"/>
      <c r="M107" s="968"/>
      <c r="N107" s="968"/>
    </row>
    <row r="108" customFormat="false" ht="12.75" hidden="false" customHeight="false" outlineLevel="0" collapsed="false">
      <c r="A108" s="0"/>
      <c r="B108" s="0"/>
      <c r="C108" s="0"/>
      <c r="D108" s="0"/>
      <c r="E108" s="0"/>
      <c r="F108" s="0"/>
      <c r="G108" s="0"/>
      <c r="H108" s="968"/>
      <c r="I108" s="968"/>
      <c r="J108" s="968"/>
      <c r="K108" s="968"/>
      <c r="L108" s="968"/>
      <c r="M108" s="968"/>
      <c r="N108" s="968"/>
    </row>
    <row r="109" customFormat="false" ht="12.75" hidden="false" customHeight="false" outlineLevel="0" collapsed="false">
      <c r="A109" s="0"/>
      <c r="B109" s="0"/>
      <c r="C109" s="0"/>
      <c r="D109" s="0"/>
      <c r="E109" s="0"/>
      <c r="F109" s="0"/>
      <c r="G109" s="0"/>
      <c r="H109" s="968"/>
      <c r="I109" s="968"/>
      <c r="J109" s="968"/>
      <c r="K109" s="968"/>
      <c r="L109" s="968"/>
      <c r="M109" s="968"/>
      <c r="N109" s="968"/>
    </row>
    <row r="110" customFormat="false" ht="12.75" hidden="false" customHeight="false" outlineLevel="0" collapsed="false">
      <c r="A110" s="0"/>
      <c r="B110" s="0"/>
      <c r="C110" s="0"/>
      <c r="D110" s="0"/>
      <c r="E110" s="0"/>
      <c r="F110" s="0"/>
      <c r="G110" s="0"/>
      <c r="H110" s="968"/>
      <c r="I110" s="968"/>
      <c r="J110" s="968"/>
      <c r="K110" s="968"/>
      <c r="L110" s="968"/>
      <c r="M110" s="968"/>
      <c r="N110" s="968"/>
    </row>
    <row r="111" customFormat="false" ht="12.75" hidden="false" customHeight="false" outlineLevel="0" collapsed="false">
      <c r="A111" s="0"/>
      <c r="B111" s="0"/>
      <c r="C111" s="0"/>
      <c r="D111" s="0"/>
      <c r="E111" s="0"/>
      <c r="F111" s="0"/>
      <c r="G111" s="0"/>
      <c r="H111" s="968"/>
      <c r="I111" s="968"/>
      <c r="J111" s="968"/>
      <c r="K111" s="968"/>
      <c r="L111" s="968"/>
      <c r="M111" s="968"/>
      <c r="N111" s="968"/>
    </row>
    <row r="112" customFormat="false" ht="12.75" hidden="false" customHeight="false" outlineLevel="0" collapsed="false">
      <c r="A112" s="0"/>
      <c r="B112" s="0"/>
      <c r="C112" s="0"/>
      <c r="D112" s="0"/>
      <c r="E112" s="0"/>
      <c r="F112" s="0"/>
      <c r="G112" s="0"/>
      <c r="H112" s="968"/>
      <c r="I112" s="968"/>
      <c r="J112" s="968"/>
      <c r="K112" s="968"/>
      <c r="L112" s="968"/>
      <c r="M112" s="968"/>
      <c r="N112" s="968"/>
    </row>
    <row r="113" customFormat="false" ht="12.75" hidden="false" customHeight="false" outlineLevel="0" collapsed="false">
      <c r="A113" s="0"/>
      <c r="B113" s="0"/>
      <c r="C113" s="0"/>
      <c r="D113" s="0"/>
      <c r="E113" s="0"/>
      <c r="F113" s="0"/>
      <c r="G113" s="0"/>
      <c r="H113" s="968"/>
      <c r="I113" s="968"/>
      <c r="J113" s="968"/>
      <c r="K113" s="968"/>
      <c r="L113" s="968"/>
      <c r="M113" s="968"/>
      <c r="N113" s="968"/>
    </row>
    <row r="114" customFormat="false" ht="12.75" hidden="false" customHeight="false" outlineLevel="0" collapsed="false">
      <c r="A114" s="0"/>
      <c r="B114" s="0"/>
      <c r="C114" s="0"/>
      <c r="D114" s="0"/>
      <c r="E114" s="0"/>
      <c r="F114" s="0"/>
      <c r="G114" s="0"/>
      <c r="H114" s="968"/>
      <c r="I114" s="968"/>
      <c r="J114" s="968"/>
      <c r="K114" s="968"/>
      <c r="L114" s="968"/>
      <c r="M114" s="968"/>
      <c r="N114" s="968"/>
    </row>
    <row r="115" customFormat="false" ht="12.75" hidden="false" customHeight="false" outlineLevel="0" collapsed="false">
      <c r="A115" s="0"/>
      <c r="B115" s="0"/>
      <c r="C115" s="0"/>
      <c r="D115" s="0"/>
      <c r="E115" s="0"/>
      <c r="F115" s="0"/>
      <c r="G115" s="0"/>
      <c r="H115" s="968"/>
      <c r="I115" s="968"/>
      <c r="J115" s="968"/>
      <c r="K115" s="968"/>
      <c r="L115" s="968"/>
      <c r="M115" s="968"/>
      <c r="N115" s="968"/>
    </row>
    <row r="116" customFormat="false" ht="12.75" hidden="false" customHeight="false" outlineLevel="0" collapsed="false">
      <c r="A116" s="0"/>
      <c r="B116" s="0"/>
      <c r="C116" s="0"/>
      <c r="D116" s="0"/>
      <c r="E116" s="0"/>
      <c r="F116" s="0"/>
      <c r="G116" s="0"/>
      <c r="H116" s="968"/>
      <c r="I116" s="968"/>
      <c r="J116" s="968"/>
      <c r="K116" s="968"/>
      <c r="L116" s="968"/>
      <c r="M116" s="968"/>
      <c r="N116" s="968"/>
    </row>
    <row r="117" customFormat="false" ht="12.75" hidden="false" customHeight="false" outlineLevel="0" collapsed="false">
      <c r="A117" s="0"/>
      <c r="B117" s="0"/>
      <c r="C117" s="0"/>
      <c r="D117" s="0"/>
      <c r="E117" s="0"/>
      <c r="F117" s="0"/>
      <c r="G117" s="0"/>
      <c r="H117" s="968"/>
      <c r="I117" s="968"/>
      <c r="J117" s="968"/>
      <c r="K117" s="968"/>
      <c r="L117" s="968"/>
      <c r="M117" s="968"/>
      <c r="N117" s="968"/>
    </row>
    <row r="118" customFormat="false" ht="12.75" hidden="false" customHeight="false" outlineLevel="0" collapsed="false">
      <c r="A118" s="0"/>
      <c r="B118" s="0"/>
      <c r="C118" s="0"/>
      <c r="D118" s="0"/>
      <c r="E118" s="0"/>
      <c r="F118" s="0"/>
      <c r="G118" s="0"/>
      <c r="H118" s="968"/>
      <c r="I118" s="968"/>
      <c r="J118" s="968"/>
      <c r="K118" s="968"/>
      <c r="L118" s="968"/>
      <c r="M118" s="968"/>
      <c r="N118" s="968"/>
    </row>
    <row r="119" customFormat="false" ht="12.75" hidden="false" customHeight="false" outlineLevel="0" collapsed="false">
      <c r="A119" s="0"/>
      <c r="B119" s="0"/>
      <c r="C119" s="0"/>
      <c r="D119" s="0"/>
      <c r="E119" s="0"/>
      <c r="F119" s="0"/>
      <c r="G119" s="0"/>
      <c r="H119" s="968"/>
      <c r="I119" s="968"/>
      <c r="J119" s="968"/>
      <c r="K119" s="968"/>
      <c r="L119" s="968"/>
      <c r="M119" s="968"/>
      <c r="N119" s="968"/>
    </row>
    <row r="120" customFormat="false" ht="12.75" hidden="false" customHeight="false" outlineLevel="0" collapsed="false">
      <c r="A120" s="0"/>
      <c r="B120" s="0"/>
      <c r="C120" s="0"/>
      <c r="D120" s="0"/>
      <c r="E120" s="0"/>
      <c r="F120" s="0"/>
      <c r="G120" s="0"/>
      <c r="H120" s="968"/>
      <c r="I120" s="968"/>
      <c r="J120" s="968"/>
      <c r="K120" s="968"/>
      <c r="L120" s="968"/>
      <c r="M120" s="968"/>
      <c r="N120" s="968"/>
    </row>
    <row r="121" customFormat="false" ht="12.75" hidden="false" customHeight="false" outlineLevel="0" collapsed="false">
      <c r="A121" s="0"/>
      <c r="B121" s="0"/>
      <c r="C121" s="0"/>
      <c r="D121" s="0"/>
      <c r="E121" s="0"/>
      <c r="F121" s="0"/>
      <c r="G121" s="0"/>
      <c r="H121" s="968"/>
      <c r="I121" s="968"/>
      <c r="J121" s="968"/>
      <c r="K121" s="968"/>
      <c r="L121" s="968"/>
      <c r="M121" s="968"/>
      <c r="N121" s="968"/>
    </row>
    <row r="122" customFormat="false" ht="12.75" hidden="false" customHeight="false" outlineLevel="0" collapsed="false">
      <c r="A122" s="0"/>
      <c r="B122" s="0"/>
      <c r="C122" s="0"/>
      <c r="D122" s="0"/>
      <c r="E122" s="0"/>
      <c r="F122" s="0"/>
      <c r="G122" s="0"/>
      <c r="H122" s="968"/>
      <c r="I122" s="968"/>
      <c r="J122" s="968"/>
      <c r="K122" s="968"/>
      <c r="L122" s="968"/>
      <c r="M122" s="968"/>
      <c r="N122" s="968"/>
    </row>
    <row r="123" customFormat="false" ht="12.75" hidden="false" customHeight="false" outlineLevel="0" collapsed="false">
      <c r="A123" s="0"/>
      <c r="B123" s="0"/>
      <c r="C123" s="0"/>
      <c r="D123" s="0"/>
      <c r="E123" s="0"/>
      <c r="F123" s="0"/>
      <c r="G123" s="0"/>
      <c r="H123" s="968"/>
      <c r="I123" s="968"/>
      <c r="J123" s="968"/>
      <c r="K123" s="968"/>
      <c r="L123" s="968"/>
      <c r="M123" s="968"/>
      <c r="N123" s="968"/>
    </row>
    <row r="124" customFormat="false" ht="12.75" hidden="false" customHeight="false" outlineLevel="0" collapsed="false">
      <c r="A124" s="0"/>
      <c r="B124" s="0"/>
      <c r="C124" s="0"/>
      <c r="D124" s="0"/>
      <c r="E124" s="0"/>
      <c r="F124" s="0"/>
      <c r="G124" s="0"/>
      <c r="H124" s="968"/>
      <c r="I124" s="968"/>
      <c r="J124" s="968"/>
      <c r="K124" s="968"/>
      <c r="L124" s="968"/>
      <c r="M124" s="968"/>
      <c r="N124" s="968"/>
    </row>
    <row r="125" customFormat="false" ht="12.75" hidden="false" customHeight="false" outlineLevel="0" collapsed="false">
      <c r="A125" s="0"/>
      <c r="B125" s="0"/>
      <c r="C125" s="0"/>
      <c r="D125" s="0"/>
      <c r="E125" s="0"/>
      <c r="F125" s="0"/>
      <c r="G125" s="0"/>
      <c r="H125" s="968"/>
      <c r="I125" s="968"/>
      <c r="J125" s="968"/>
      <c r="K125" s="968"/>
      <c r="L125" s="968"/>
      <c r="M125" s="968"/>
      <c r="N125" s="968"/>
    </row>
    <row r="126" customFormat="false" ht="12.75" hidden="false" customHeight="false" outlineLevel="0" collapsed="false">
      <c r="A126" s="0"/>
      <c r="B126" s="0"/>
      <c r="C126" s="0"/>
      <c r="D126" s="0"/>
      <c r="E126" s="0"/>
      <c r="F126" s="0"/>
      <c r="G126" s="0"/>
      <c r="H126" s="968"/>
      <c r="I126" s="968"/>
      <c r="J126" s="968"/>
      <c r="K126" s="968"/>
      <c r="L126" s="968"/>
      <c r="M126" s="968"/>
      <c r="N126" s="968"/>
    </row>
    <row r="127" customFormat="false" ht="12.75" hidden="false" customHeight="false" outlineLevel="0" collapsed="false">
      <c r="A127" s="0"/>
      <c r="B127" s="0"/>
      <c r="C127" s="0"/>
      <c r="D127" s="0"/>
      <c r="E127" s="0"/>
      <c r="F127" s="0"/>
      <c r="G127" s="0"/>
      <c r="H127" s="968"/>
      <c r="I127" s="968"/>
      <c r="J127" s="968"/>
      <c r="K127" s="968"/>
      <c r="L127" s="968"/>
      <c r="M127" s="968"/>
      <c r="N127" s="968"/>
    </row>
    <row r="128" customFormat="false" ht="12.75" hidden="false" customHeight="false" outlineLevel="0" collapsed="false">
      <c r="A128" s="0"/>
      <c r="B128" s="0"/>
      <c r="C128" s="0"/>
      <c r="D128" s="0"/>
      <c r="E128" s="0"/>
      <c r="F128" s="0"/>
      <c r="G128" s="0"/>
      <c r="H128" s="968"/>
      <c r="I128" s="968"/>
      <c r="J128" s="968"/>
      <c r="K128" s="968"/>
      <c r="L128" s="968"/>
      <c r="M128" s="968"/>
      <c r="N128" s="968"/>
    </row>
    <row r="129" customFormat="false" ht="12.75" hidden="false" customHeight="false" outlineLevel="0" collapsed="false">
      <c r="A129" s="0"/>
      <c r="B129" s="0"/>
      <c r="C129" s="0"/>
      <c r="D129" s="0"/>
      <c r="E129" s="0"/>
      <c r="F129" s="0"/>
      <c r="G129" s="0"/>
      <c r="H129" s="968"/>
      <c r="I129" s="968"/>
      <c r="J129" s="968"/>
      <c r="K129" s="968"/>
      <c r="L129" s="968"/>
      <c r="M129" s="968"/>
      <c r="N129" s="968"/>
    </row>
    <row r="130" customFormat="false" ht="12.75" hidden="false" customHeight="false" outlineLevel="0" collapsed="false">
      <c r="A130" s="0"/>
      <c r="B130" s="0"/>
      <c r="C130" s="0"/>
      <c r="D130" s="0"/>
      <c r="E130" s="0"/>
      <c r="F130" s="0"/>
      <c r="G130" s="0"/>
      <c r="H130" s="968"/>
      <c r="I130" s="968"/>
      <c r="J130" s="968"/>
      <c r="K130" s="968"/>
      <c r="L130" s="968"/>
      <c r="M130" s="968"/>
      <c r="N130" s="968"/>
    </row>
    <row r="131" customFormat="false" ht="12.75" hidden="false" customHeight="false" outlineLevel="0" collapsed="false">
      <c r="A131" s="0"/>
      <c r="B131" s="0"/>
      <c r="C131" s="0"/>
      <c r="D131" s="0"/>
      <c r="E131" s="0"/>
      <c r="F131" s="0"/>
      <c r="G131" s="0"/>
      <c r="H131" s="968"/>
      <c r="I131" s="968"/>
      <c r="J131" s="968"/>
      <c r="K131" s="968"/>
      <c r="L131" s="968"/>
      <c r="M131" s="968"/>
      <c r="N131" s="968"/>
    </row>
    <row r="132" customFormat="false" ht="12.75" hidden="false" customHeight="false" outlineLevel="0" collapsed="false">
      <c r="A132" s="0"/>
      <c r="B132" s="0"/>
      <c r="C132" s="0"/>
      <c r="D132" s="0"/>
      <c r="E132" s="0"/>
      <c r="F132" s="0"/>
      <c r="G132" s="0"/>
      <c r="H132" s="968"/>
      <c r="I132" s="968"/>
      <c r="J132" s="968"/>
      <c r="K132" s="968"/>
      <c r="L132" s="968"/>
      <c r="M132" s="968"/>
      <c r="N132" s="968"/>
    </row>
    <row r="133" customFormat="false" ht="12.75" hidden="false" customHeight="false" outlineLevel="0" collapsed="false">
      <c r="A133" s="0"/>
      <c r="B133" s="0"/>
      <c r="C133" s="0"/>
      <c r="D133" s="0"/>
      <c r="E133" s="0"/>
      <c r="F133" s="0"/>
      <c r="G133" s="0"/>
      <c r="H133" s="968"/>
      <c r="I133" s="968"/>
      <c r="J133" s="968"/>
      <c r="K133" s="968"/>
      <c r="L133" s="968"/>
      <c r="M133" s="968"/>
      <c r="N133" s="968"/>
    </row>
    <row r="134" customFormat="false" ht="11.25" hidden="false" customHeight="false" outlineLevel="0" collapsed="false">
      <c r="C134" s="968"/>
      <c r="D134" s="968"/>
      <c r="E134" s="968"/>
      <c r="F134" s="968"/>
      <c r="G134" s="968"/>
      <c r="H134" s="968"/>
      <c r="I134" s="968"/>
      <c r="J134" s="968"/>
      <c r="K134" s="968"/>
      <c r="L134" s="968"/>
      <c r="M134" s="968"/>
      <c r="N134" s="968"/>
    </row>
    <row r="135" customFormat="false" ht="11.25" hidden="false" customHeight="false" outlineLevel="0" collapsed="false">
      <c r="C135" s="968"/>
      <c r="D135" s="968"/>
      <c r="E135" s="968"/>
      <c r="F135" s="968"/>
      <c r="G135" s="968"/>
      <c r="H135" s="968"/>
      <c r="I135" s="968"/>
      <c r="J135" s="968"/>
      <c r="K135" s="968"/>
      <c r="L135" s="968"/>
      <c r="M135" s="968"/>
      <c r="N135" s="968"/>
    </row>
    <row r="136" customFormat="false" ht="11.25" hidden="false" customHeight="false" outlineLevel="0" collapsed="false">
      <c r="C136" s="968"/>
      <c r="D136" s="968"/>
      <c r="E136" s="968"/>
      <c r="F136" s="968"/>
      <c r="G136" s="968"/>
      <c r="H136" s="968"/>
      <c r="I136" s="968"/>
      <c r="J136" s="968"/>
      <c r="K136" s="968"/>
      <c r="L136" s="968"/>
      <c r="M136" s="968"/>
      <c r="N136" s="968"/>
    </row>
    <row r="137" customFormat="false" ht="11.25" hidden="false" customHeight="false" outlineLevel="0" collapsed="false">
      <c r="C137" s="968"/>
      <c r="D137" s="968"/>
      <c r="E137" s="968"/>
      <c r="F137" s="968"/>
      <c r="G137" s="968"/>
      <c r="H137" s="968"/>
      <c r="I137" s="968"/>
      <c r="J137" s="968"/>
      <c r="K137" s="968"/>
      <c r="L137" s="968"/>
      <c r="M137" s="968"/>
      <c r="N137" s="968"/>
    </row>
    <row r="138" customFormat="false" ht="11.25" hidden="false" customHeight="false" outlineLevel="0" collapsed="false">
      <c r="C138" s="968"/>
      <c r="D138" s="968"/>
      <c r="E138" s="968"/>
      <c r="F138" s="968"/>
      <c r="G138" s="968"/>
      <c r="H138" s="968"/>
      <c r="I138" s="968"/>
      <c r="J138" s="968"/>
      <c r="K138" s="968"/>
      <c r="L138" s="968"/>
      <c r="M138" s="968"/>
      <c r="N138" s="968"/>
    </row>
    <row r="139" customFormat="false" ht="11.25" hidden="false" customHeight="false" outlineLevel="0" collapsed="false">
      <c r="C139" s="968"/>
      <c r="D139" s="968"/>
      <c r="E139" s="968"/>
      <c r="F139" s="968"/>
      <c r="G139" s="968"/>
      <c r="H139" s="968"/>
      <c r="I139" s="968"/>
      <c r="J139" s="968"/>
      <c r="K139" s="968"/>
      <c r="L139" s="968"/>
      <c r="M139" s="968"/>
      <c r="N139" s="968"/>
    </row>
    <row r="140" customFormat="false" ht="11.25" hidden="false" customHeight="false" outlineLevel="0" collapsed="false">
      <c r="C140" s="968"/>
      <c r="D140" s="968"/>
      <c r="E140" s="968"/>
      <c r="F140" s="968"/>
      <c r="G140" s="968"/>
      <c r="H140" s="968"/>
      <c r="I140" s="968"/>
      <c r="J140" s="968"/>
      <c r="K140" s="968"/>
      <c r="L140" s="968"/>
      <c r="M140" s="968"/>
      <c r="N140" s="968"/>
    </row>
    <row r="141" customFormat="false" ht="11.25" hidden="false" customHeight="false" outlineLevel="0" collapsed="false">
      <c r="C141" s="968"/>
      <c r="D141" s="968"/>
      <c r="E141" s="968"/>
      <c r="F141" s="968"/>
      <c r="G141" s="968"/>
      <c r="H141" s="968"/>
      <c r="I141" s="968"/>
      <c r="J141" s="968"/>
      <c r="K141" s="968"/>
      <c r="L141" s="968"/>
      <c r="M141" s="968"/>
      <c r="N141" s="968"/>
    </row>
    <row r="142" customFormat="false" ht="11.25" hidden="false" customHeight="false" outlineLevel="0" collapsed="false">
      <c r="C142" s="968"/>
      <c r="D142" s="968"/>
      <c r="E142" s="968"/>
      <c r="F142" s="968"/>
      <c r="G142" s="968"/>
      <c r="H142" s="968"/>
      <c r="I142" s="968"/>
      <c r="J142" s="968"/>
      <c r="K142" s="968"/>
      <c r="L142" s="968"/>
      <c r="M142" s="968"/>
      <c r="N142" s="968"/>
    </row>
    <row r="143" customFormat="false" ht="11.25" hidden="false" customHeight="false" outlineLevel="0" collapsed="false">
      <c r="C143" s="968"/>
      <c r="D143" s="968"/>
      <c r="E143" s="968"/>
      <c r="F143" s="968"/>
      <c r="G143" s="968"/>
      <c r="H143" s="968"/>
      <c r="I143" s="968"/>
      <c r="J143" s="968"/>
      <c r="K143" s="968"/>
      <c r="L143" s="968"/>
      <c r="M143" s="968"/>
      <c r="N143" s="968"/>
    </row>
    <row r="144" customFormat="false" ht="11.25" hidden="false" customHeight="false" outlineLevel="0" collapsed="false">
      <c r="C144" s="968"/>
      <c r="D144" s="968"/>
      <c r="E144" s="968"/>
      <c r="F144" s="968"/>
      <c r="G144" s="968"/>
      <c r="H144" s="968"/>
      <c r="I144" s="968"/>
      <c r="J144" s="968"/>
      <c r="K144" s="968"/>
      <c r="L144" s="968"/>
      <c r="M144" s="968"/>
      <c r="N144" s="968"/>
    </row>
    <row r="145" customFormat="false" ht="11.25" hidden="false" customHeight="false" outlineLevel="0" collapsed="false">
      <c r="C145" s="968"/>
      <c r="D145" s="968"/>
      <c r="E145" s="968"/>
      <c r="F145" s="968"/>
      <c r="G145" s="968"/>
      <c r="H145" s="968"/>
      <c r="I145" s="968"/>
      <c r="J145" s="968"/>
      <c r="K145" s="968"/>
      <c r="L145" s="968"/>
      <c r="M145" s="968"/>
      <c r="N145" s="968"/>
    </row>
    <row r="146" customFormat="false" ht="11.25" hidden="false" customHeight="false" outlineLevel="0" collapsed="false">
      <c r="C146" s="968"/>
      <c r="D146" s="968"/>
      <c r="E146" s="968"/>
      <c r="F146" s="968"/>
      <c r="G146" s="968"/>
      <c r="H146" s="968"/>
      <c r="I146" s="968"/>
      <c r="J146" s="968"/>
      <c r="K146" s="968"/>
      <c r="L146" s="968"/>
      <c r="M146" s="968"/>
      <c r="N146" s="968"/>
    </row>
    <row r="147" customFormat="false" ht="11.25" hidden="false" customHeight="false" outlineLevel="0" collapsed="false">
      <c r="C147" s="968"/>
      <c r="D147" s="968"/>
      <c r="E147" s="968"/>
      <c r="F147" s="968"/>
      <c r="G147" s="968"/>
      <c r="H147" s="968"/>
      <c r="I147" s="968"/>
      <c r="J147" s="968"/>
      <c r="K147" s="968"/>
      <c r="L147" s="968"/>
      <c r="M147" s="968"/>
      <c r="N147" s="968"/>
    </row>
    <row r="148" customFormat="false" ht="11.25" hidden="false" customHeight="false" outlineLevel="0" collapsed="false">
      <c r="C148" s="968"/>
      <c r="D148" s="968"/>
      <c r="E148" s="968"/>
      <c r="F148" s="968"/>
      <c r="G148" s="968"/>
      <c r="H148" s="968"/>
      <c r="I148" s="968"/>
      <c r="J148" s="968"/>
      <c r="K148" s="968"/>
      <c r="L148" s="968"/>
      <c r="M148" s="968"/>
      <c r="N148" s="968"/>
    </row>
    <row r="149" customFormat="false" ht="11.25" hidden="false" customHeight="false" outlineLevel="0" collapsed="false">
      <c r="C149" s="968"/>
      <c r="D149" s="968"/>
      <c r="E149" s="968"/>
      <c r="F149" s="968"/>
      <c r="G149" s="968"/>
      <c r="H149" s="968"/>
      <c r="I149" s="968"/>
      <c r="J149" s="968"/>
      <c r="K149" s="968"/>
      <c r="L149" s="968"/>
      <c r="M149" s="968"/>
      <c r="N149" s="968"/>
    </row>
    <row r="150" customFormat="false" ht="11.25" hidden="false" customHeight="false" outlineLevel="0" collapsed="false">
      <c r="C150" s="968"/>
      <c r="D150" s="968"/>
      <c r="E150" s="968"/>
      <c r="F150" s="968"/>
      <c r="G150" s="968"/>
      <c r="H150" s="968"/>
      <c r="I150" s="968"/>
      <c r="J150" s="968"/>
      <c r="K150" s="968"/>
      <c r="L150" s="968"/>
      <c r="M150" s="968"/>
      <c r="N150" s="968"/>
    </row>
    <row r="151" customFormat="false" ht="11.25" hidden="false" customHeight="false" outlineLevel="0" collapsed="false">
      <c r="C151" s="968"/>
      <c r="D151" s="968"/>
      <c r="E151" s="968"/>
      <c r="F151" s="968"/>
      <c r="G151" s="968"/>
      <c r="H151" s="968"/>
      <c r="I151" s="968"/>
      <c r="J151" s="968"/>
      <c r="K151" s="968"/>
      <c r="L151" s="968"/>
      <c r="M151" s="968"/>
      <c r="N151" s="968"/>
    </row>
    <row r="152" customFormat="false" ht="11.25" hidden="false" customHeight="false" outlineLevel="0" collapsed="false">
      <c r="C152" s="968"/>
      <c r="D152" s="968"/>
      <c r="E152" s="968"/>
      <c r="F152" s="968"/>
      <c r="G152" s="968"/>
      <c r="H152" s="968"/>
      <c r="I152" s="968"/>
      <c r="J152" s="968"/>
      <c r="K152" s="968"/>
      <c r="L152" s="968"/>
      <c r="M152" s="968"/>
      <c r="N152" s="968"/>
    </row>
    <row r="153" customFormat="false" ht="11.25" hidden="false" customHeight="false" outlineLevel="0" collapsed="false">
      <c r="C153" s="968"/>
      <c r="D153" s="968"/>
      <c r="E153" s="968"/>
      <c r="F153" s="968"/>
      <c r="G153" s="968"/>
      <c r="H153" s="968"/>
      <c r="I153" s="968"/>
      <c r="J153" s="968"/>
      <c r="K153" s="968"/>
      <c r="L153" s="968"/>
      <c r="M153" s="968"/>
      <c r="N153" s="968"/>
    </row>
    <row r="154" customFormat="false" ht="11.25" hidden="false" customHeight="false" outlineLevel="0" collapsed="false">
      <c r="C154" s="968"/>
      <c r="D154" s="968"/>
      <c r="E154" s="968"/>
      <c r="F154" s="968"/>
      <c r="G154" s="968"/>
      <c r="H154" s="968"/>
      <c r="I154" s="968"/>
      <c r="J154" s="968"/>
      <c r="K154" s="968"/>
      <c r="L154" s="968"/>
      <c r="M154" s="968"/>
      <c r="N154" s="968"/>
    </row>
    <row r="155" customFormat="false" ht="11.25" hidden="false" customHeight="false" outlineLevel="0" collapsed="false">
      <c r="C155" s="968"/>
      <c r="D155" s="968"/>
      <c r="E155" s="968"/>
      <c r="F155" s="968"/>
      <c r="G155" s="968"/>
      <c r="H155" s="968"/>
      <c r="I155" s="968"/>
      <c r="J155" s="968"/>
      <c r="K155" s="968"/>
      <c r="L155" s="968"/>
      <c r="M155" s="968"/>
      <c r="N155" s="968"/>
    </row>
    <row r="156" customFormat="false" ht="11.25" hidden="false" customHeight="false" outlineLevel="0" collapsed="false">
      <c r="C156" s="968"/>
      <c r="D156" s="968"/>
      <c r="E156" s="968"/>
      <c r="F156" s="968"/>
      <c r="G156" s="968"/>
      <c r="H156" s="968"/>
      <c r="I156" s="968"/>
      <c r="J156" s="968"/>
      <c r="K156" s="968"/>
      <c r="L156" s="968"/>
      <c r="M156" s="968"/>
      <c r="N156" s="968"/>
    </row>
    <row r="157" customFormat="false" ht="11.25" hidden="false" customHeight="false" outlineLevel="0" collapsed="false">
      <c r="C157" s="968"/>
      <c r="D157" s="968"/>
      <c r="E157" s="968"/>
      <c r="F157" s="968"/>
      <c r="G157" s="968"/>
      <c r="H157" s="968"/>
      <c r="I157" s="968"/>
      <c r="J157" s="968"/>
      <c r="K157" s="968"/>
      <c r="L157" s="968"/>
      <c r="M157" s="968"/>
      <c r="N157" s="968"/>
    </row>
    <row r="158" customFormat="false" ht="11.25" hidden="false" customHeight="false" outlineLevel="0" collapsed="false">
      <c r="C158" s="968"/>
      <c r="D158" s="968"/>
      <c r="E158" s="968"/>
      <c r="F158" s="968"/>
      <c r="G158" s="968"/>
      <c r="H158" s="968"/>
      <c r="I158" s="968"/>
      <c r="J158" s="968"/>
      <c r="K158" s="968"/>
      <c r="L158" s="968"/>
      <c r="M158" s="968"/>
      <c r="N158" s="968"/>
    </row>
    <row r="159" customFormat="false" ht="11.25" hidden="false" customHeight="false" outlineLevel="0" collapsed="false">
      <c r="C159" s="968"/>
      <c r="D159" s="968"/>
      <c r="E159" s="968"/>
      <c r="F159" s="968"/>
      <c r="G159" s="968"/>
      <c r="H159" s="968"/>
      <c r="I159" s="968"/>
      <c r="J159" s="968"/>
      <c r="K159" s="968"/>
      <c r="L159" s="968"/>
      <c r="M159" s="968"/>
      <c r="N159" s="968"/>
    </row>
    <row r="160" customFormat="false" ht="11.25" hidden="false" customHeight="false" outlineLevel="0" collapsed="false">
      <c r="C160" s="968"/>
      <c r="D160" s="968"/>
      <c r="E160" s="968"/>
      <c r="F160" s="968"/>
      <c r="G160" s="968"/>
      <c r="H160" s="968"/>
      <c r="I160" s="968"/>
      <c r="J160" s="968"/>
      <c r="K160" s="968"/>
      <c r="L160" s="968"/>
      <c r="M160" s="968"/>
      <c r="N160" s="968"/>
    </row>
    <row r="161" customFormat="false" ht="11.25" hidden="false" customHeight="false" outlineLevel="0" collapsed="false">
      <c r="C161" s="968"/>
      <c r="D161" s="968"/>
      <c r="E161" s="968"/>
      <c r="F161" s="968"/>
      <c r="G161" s="968"/>
      <c r="H161" s="968"/>
      <c r="I161" s="968"/>
      <c r="J161" s="968"/>
      <c r="K161" s="968"/>
      <c r="L161" s="968"/>
      <c r="M161" s="968"/>
      <c r="N161" s="968"/>
    </row>
    <row r="162" customFormat="false" ht="11.25" hidden="false" customHeight="false" outlineLevel="0" collapsed="false">
      <c r="C162" s="968"/>
      <c r="D162" s="968"/>
      <c r="E162" s="968"/>
      <c r="F162" s="968"/>
      <c r="G162" s="968"/>
      <c r="H162" s="968"/>
      <c r="I162" s="968"/>
      <c r="J162" s="968"/>
      <c r="K162" s="968"/>
      <c r="L162" s="968"/>
      <c r="M162" s="968"/>
      <c r="N162" s="968"/>
    </row>
    <row r="163" customFormat="false" ht="11.25" hidden="false" customHeight="false" outlineLevel="0" collapsed="false">
      <c r="C163" s="968"/>
      <c r="D163" s="968"/>
      <c r="E163" s="968"/>
      <c r="F163" s="968"/>
      <c r="G163" s="968"/>
      <c r="H163" s="968"/>
      <c r="I163" s="968"/>
      <c r="J163" s="968"/>
      <c r="K163" s="968"/>
      <c r="L163" s="968"/>
      <c r="M163" s="968"/>
      <c r="N163" s="968"/>
    </row>
    <row r="164" customFormat="false" ht="11.25" hidden="false" customHeight="false" outlineLevel="0" collapsed="false">
      <c r="C164" s="968"/>
      <c r="D164" s="968"/>
      <c r="E164" s="968"/>
      <c r="F164" s="968"/>
      <c r="G164" s="968"/>
      <c r="H164" s="968"/>
      <c r="I164" s="968"/>
      <c r="J164" s="968"/>
      <c r="K164" s="968"/>
      <c r="L164" s="968"/>
      <c r="M164" s="968"/>
      <c r="N164" s="968"/>
    </row>
    <row r="165" customFormat="false" ht="11.25" hidden="false" customHeight="false" outlineLevel="0" collapsed="false">
      <c r="C165" s="968"/>
      <c r="D165" s="968"/>
      <c r="E165" s="968"/>
      <c r="F165" s="968"/>
      <c r="G165" s="968"/>
      <c r="H165" s="968"/>
      <c r="I165" s="968"/>
      <c r="J165" s="968"/>
      <c r="K165" s="968"/>
      <c r="L165" s="968"/>
      <c r="M165" s="968"/>
      <c r="N165" s="968"/>
    </row>
    <row r="166" customFormat="false" ht="11.25" hidden="false" customHeight="false" outlineLevel="0" collapsed="false">
      <c r="C166" s="968"/>
      <c r="D166" s="968"/>
      <c r="E166" s="968"/>
      <c r="F166" s="1031"/>
      <c r="G166" s="968"/>
      <c r="H166" s="968"/>
      <c r="I166" s="968"/>
      <c r="J166" s="968"/>
      <c r="K166" s="968"/>
      <c r="L166" s="968"/>
      <c r="M166" s="968"/>
      <c r="N166" s="968"/>
    </row>
    <row r="167" customFormat="false" ht="11.25" hidden="false" customHeight="false" outlineLevel="0" collapsed="false">
      <c r="C167" s="968"/>
      <c r="D167" s="968"/>
      <c r="E167" s="968"/>
      <c r="F167" s="968"/>
      <c r="G167" s="968"/>
      <c r="H167" s="968"/>
      <c r="I167" s="968"/>
      <c r="J167" s="968"/>
      <c r="K167" s="968"/>
      <c r="L167" s="968"/>
      <c r="M167" s="968"/>
      <c r="N167" s="968"/>
    </row>
    <row r="168" customFormat="false" ht="11.25" hidden="false" customHeight="false" outlineLevel="0" collapsed="false">
      <c r="C168" s="968"/>
      <c r="D168" s="968"/>
      <c r="E168" s="968"/>
      <c r="F168" s="968"/>
      <c r="G168" s="968"/>
      <c r="H168" s="968"/>
      <c r="I168" s="968"/>
      <c r="J168" s="968"/>
      <c r="K168" s="968"/>
      <c r="L168" s="968"/>
      <c r="M168" s="968"/>
      <c r="N168" s="968"/>
    </row>
    <row r="169" customFormat="false" ht="11.25" hidden="false" customHeight="false" outlineLevel="0" collapsed="false">
      <c r="C169" s="968"/>
      <c r="D169" s="968"/>
      <c r="E169" s="968"/>
      <c r="F169" s="968"/>
      <c r="G169" s="968"/>
      <c r="H169" s="968"/>
      <c r="I169" s="968"/>
      <c r="J169" s="968"/>
      <c r="K169" s="968"/>
      <c r="L169" s="968"/>
      <c r="M169" s="968"/>
      <c r="N169" s="968"/>
    </row>
    <row r="170" customFormat="false" ht="11.25" hidden="false" customHeight="false" outlineLevel="0" collapsed="false">
      <c r="C170" s="968"/>
      <c r="D170" s="968"/>
      <c r="E170" s="968"/>
      <c r="F170" s="968"/>
      <c r="G170" s="968"/>
      <c r="H170" s="968"/>
      <c r="I170" s="968"/>
      <c r="J170" s="968"/>
      <c r="K170" s="968"/>
      <c r="L170" s="968"/>
      <c r="M170" s="968"/>
      <c r="N170" s="968"/>
    </row>
    <row r="171" customFormat="false" ht="11.25" hidden="false" customHeight="false" outlineLevel="0" collapsed="false">
      <c r="C171" s="968"/>
      <c r="D171" s="968"/>
      <c r="E171" s="968"/>
      <c r="F171" s="968"/>
      <c r="G171" s="968"/>
      <c r="H171" s="968"/>
      <c r="I171" s="968"/>
      <c r="J171" s="968"/>
      <c r="K171" s="968"/>
      <c r="L171" s="968"/>
      <c r="M171" s="968"/>
      <c r="N171" s="968"/>
    </row>
    <row r="172" customFormat="false" ht="11.25" hidden="false" customHeight="false" outlineLevel="0" collapsed="false">
      <c r="C172" s="968"/>
      <c r="D172" s="968"/>
      <c r="E172" s="968"/>
      <c r="F172" s="968"/>
      <c r="G172" s="968"/>
      <c r="H172" s="968"/>
      <c r="I172" s="968"/>
      <c r="J172" s="968"/>
      <c r="K172" s="968"/>
      <c r="L172" s="968"/>
      <c r="M172" s="968"/>
      <c r="N172" s="968"/>
    </row>
    <row r="173" customFormat="false" ht="11.25" hidden="false" customHeight="false" outlineLevel="0" collapsed="false">
      <c r="C173" s="968"/>
      <c r="D173" s="968"/>
      <c r="E173" s="968"/>
      <c r="F173" s="968"/>
      <c r="G173" s="968"/>
      <c r="H173" s="968"/>
      <c r="I173" s="968"/>
      <c r="J173" s="968"/>
      <c r="K173" s="968"/>
      <c r="L173" s="968"/>
      <c r="M173" s="968"/>
      <c r="N173" s="968"/>
    </row>
    <row r="174" customFormat="false" ht="11.25" hidden="false" customHeight="false" outlineLevel="0" collapsed="false">
      <c r="C174" s="968"/>
      <c r="D174" s="968"/>
      <c r="E174" s="968"/>
      <c r="F174" s="968"/>
      <c r="G174" s="968"/>
      <c r="H174" s="968"/>
      <c r="I174" s="968"/>
      <c r="J174" s="968"/>
      <c r="K174" s="968"/>
      <c r="L174" s="968"/>
      <c r="M174" s="968"/>
      <c r="N174" s="968"/>
    </row>
    <row r="175" customFormat="false" ht="11.25" hidden="false" customHeight="false" outlineLevel="0" collapsed="false">
      <c r="C175" s="968"/>
      <c r="D175" s="968"/>
      <c r="E175" s="968"/>
      <c r="F175" s="968"/>
      <c r="G175" s="968"/>
      <c r="H175" s="968"/>
      <c r="I175" s="968"/>
      <c r="J175" s="968"/>
      <c r="K175" s="968"/>
      <c r="L175" s="968"/>
      <c r="M175" s="968"/>
      <c r="N175" s="968"/>
    </row>
    <row r="176" customFormat="false" ht="11.25" hidden="false" customHeight="false" outlineLevel="0" collapsed="false">
      <c r="C176" s="968"/>
      <c r="D176" s="968"/>
      <c r="E176" s="968"/>
      <c r="F176" s="968"/>
      <c r="G176" s="968"/>
      <c r="H176" s="968"/>
      <c r="I176" s="968"/>
      <c r="J176" s="968"/>
      <c r="K176" s="968"/>
      <c r="L176" s="968"/>
      <c r="M176" s="968"/>
      <c r="N176" s="968"/>
    </row>
    <row r="177" customFormat="false" ht="11.25" hidden="false" customHeight="false" outlineLevel="0" collapsed="false">
      <c r="C177" s="968"/>
      <c r="D177" s="968"/>
      <c r="E177" s="968"/>
      <c r="F177" s="968"/>
      <c r="G177" s="968"/>
      <c r="H177" s="968"/>
      <c r="I177" s="968"/>
      <c r="J177" s="968"/>
      <c r="K177" s="968"/>
      <c r="L177" s="968"/>
      <c r="M177" s="968"/>
      <c r="N177" s="968"/>
    </row>
    <row r="178" customFormat="false" ht="11.25" hidden="false" customHeight="false" outlineLevel="0" collapsed="false">
      <c r="C178" s="968"/>
      <c r="D178" s="968"/>
      <c r="E178" s="968"/>
      <c r="F178" s="968"/>
      <c r="G178" s="968"/>
      <c r="H178" s="968"/>
      <c r="I178" s="968"/>
      <c r="J178" s="968"/>
      <c r="K178" s="968"/>
      <c r="L178" s="968"/>
      <c r="M178" s="968"/>
      <c r="N178" s="968"/>
    </row>
    <row r="179" customFormat="false" ht="11.25" hidden="false" customHeight="false" outlineLevel="0" collapsed="false">
      <c r="C179" s="968"/>
      <c r="D179" s="968"/>
      <c r="E179" s="968"/>
      <c r="F179" s="968"/>
      <c r="G179" s="968"/>
      <c r="H179" s="968"/>
      <c r="I179" s="968"/>
      <c r="J179" s="968"/>
      <c r="K179" s="968"/>
      <c r="L179" s="968"/>
      <c r="M179" s="968"/>
      <c r="N179" s="968"/>
    </row>
    <row r="180" customFormat="false" ht="11.25" hidden="false" customHeight="false" outlineLevel="0" collapsed="false">
      <c r="C180" s="968"/>
      <c r="D180" s="968"/>
      <c r="E180" s="968"/>
      <c r="F180" s="968"/>
      <c r="G180" s="968"/>
      <c r="H180" s="968"/>
      <c r="I180" s="968"/>
      <c r="J180" s="968"/>
      <c r="K180" s="968"/>
      <c r="L180" s="968"/>
      <c r="M180" s="968"/>
      <c r="N180" s="968"/>
    </row>
    <row r="181" customFormat="false" ht="11.25" hidden="false" customHeight="false" outlineLevel="0" collapsed="false">
      <c r="C181" s="968"/>
      <c r="D181" s="968"/>
      <c r="E181" s="968"/>
      <c r="F181" s="968"/>
      <c r="G181" s="968"/>
      <c r="H181" s="968"/>
      <c r="I181" s="968"/>
      <c r="J181" s="968"/>
      <c r="K181" s="968"/>
      <c r="L181" s="968"/>
      <c r="M181" s="968"/>
      <c r="N181" s="968"/>
    </row>
    <row r="182" customFormat="false" ht="11.25" hidden="false" customHeight="false" outlineLevel="0" collapsed="false">
      <c r="C182" s="968"/>
      <c r="D182" s="968"/>
      <c r="E182" s="968"/>
      <c r="F182" s="968"/>
      <c r="G182" s="968"/>
      <c r="H182" s="968"/>
      <c r="I182" s="968"/>
      <c r="J182" s="968"/>
      <c r="K182" s="968"/>
      <c r="L182" s="968"/>
      <c r="M182" s="968"/>
      <c r="N182" s="968"/>
    </row>
    <row r="183" customFormat="false" ht="11.25" hidden="false" customHeight="false" outlineLevel="0" collapsed="false">
      <c r="C183" s="968"/>
      <c r="D183" s="968"/>
      <c r="E183" s="968"/>
      <c r="F183" s="968"/>
      <c r="G183" s="968"/>
      <c r="H183" s="968"/>
      <c r="I183" s="968"/>
      <c r="J183" s="968"/>
      <c r="K183" s="968"/>
      <c r="L183" s="968"/>
      <c r="M183" s="968"/>
      <c r="N183" s="968"/>
    </row>
    <row r="184" customFormat="false" ht="11.25" hidden="false" customHeight="false" outlineLevel="0" collapsed="false">
      <c r="C184" s="968"/>
      <c r="D184" s="968"/>
      <c r="E184" s="968"/>
      <c r="F184" s="968"/>
      <c r="G184" s="968"/>
      <c r="H184" s="968"/>
      <c r="I184" s="968"/>
      <c r="J184" s="968"/>
      <c r="K184" s="968"/>
      <c r="L184" s="968"/>
      <c r="M184" s="968"/>
      <c r="N184" s="968"/>
    </row>
    <row r="185" customFormat="false" ht="11.25" hidden="false" customHeight="false" outlineLevel="0" collapsed="false">
      <c r="C185" s="968"/>
      <c r="D185" s="968"/>
      <c r="E185" s="968"/>
      <c r="F185" s="968"/>
      <c r="G185" s="968"/>
      <c r="H185" s="968"/>
      <c r="I185" s="968"/>
      <c r="J185" s="968"/>
      <c r="K185" s="968"/>
      <c r="L185" s="968"/>
      <c r="M185" s="968"/>
      <c r="N185" s="968"/>
    </row>
    <row r="186" customFormat="false" ht="11.25" hidden="false" customHeight="false" outlineLevel="0" collapsed="false">
      <c r="C186" s="968"/>
      <c r="D186" s="968"/>
      <c r="E186" s="968"/>
      <c r="F186" s="968"/>
      <c r="G186" s="968"/>
      <c r="H186" s="968"/>
      <c r="I186" s="968"/>
      <c r="J186" s="968"/>
      <c r="K186" s="968"/>
      <c r="L186" s="968"/>
      <c r="M186" s="968"/>
      <c r="N186" s="968"/>
    </row>
    <row r="187" customFormat="false" ht="11.25" hidden="false" customHeight="false" outlineLevel="0" collapsed="false">
      <c r="C187" s="968"/>
      <c r="D187" s="968"/>
      <c r="E187" s="968"/>
      <c r="F187" s="968"/>
      <c r="G187" s="968"/>
      <c r="H187" s="968"/>
      <c r="I187" s="968"/>
      <c r="J187" s="968"/>
      <c r="K187" s="968"/>
      <c r="L187" s="968"/>
      <c r="M187" s="968"/>
      <c r="N187" s="968"/>
    </row>
    <row r="188" customFormat="false" ht="11.25" hidden="false" customHeight="false" outlineLevel="0" collapsed="false">
      <c r="C188" s="968"/>
      <c r="D188" s="968"/>
      <c r="E188" s="968"/>
      <c r="F188" s="968"/>
      <c r="G188" s="968"/>
      <c r="H188" s="968"/>
      <c r="I188" s="968"/>
      <c r="J188" s="968"/>
      <c r="K188" s="968"/>
      <c r="L188" s="968"/>
      <c r="M188" s="968"/>
      <c r="N188" s="968"/>
    </row>
    <row r="189" customFormat="false" ht="11.25" hidden="false" customHeight="false" outlineLevel="0" collapsed="false">
      <c r="C189" s="968"/>
      <c r="D189" s="968"/>
      <c r="E189" s="968"/>
      <c r="F189" s="968"/>
      <c r="G189" s="968"/>
      <c r="H189" s="968"/>
      <c r="I189" s="968"/>
      <c r="J189" s="968"/>
      <c r="K189" s="968"/>
      <c r="L189" s="968"/>
      <c r="M189" s="968"/>
      <c r="N189" s="968"/>
    </row>
    <row r="190" customFormat="false" ht="11.25" hidden="false" customHeight="false" outlineLevel="0" collapsed="false">
      <c r="C190" s="968"/>
      <c r="D190" s="968"/>
      <c r="E190" s="968"/>
      <c r="F190" s="968"/>
      <c r="G190" s="968"/>
      <c r="H190" s="968"/>
      <c r="I190" s="968"/>
      <c r="J190" s="968"/>
      <c r="K190" s="968"/>
      <c r="L190" s="968"/>
      <c r="M190" s="968"/>
      <c r="N190" s="968"/>
    </row>
    <row r="191" customFormat="false" ht="11.25" hidden="false" customHeight="false" outlineLevel="0" collapsed="false">
      <c r="C191" s="968"/>
      <c r="D191" s="968"/>
      <c r="E191" s="968"/>
      <c r="F191" s="968"/>
      <c r="G191" s="968"/>
      <c r="H191" s="968"/>
      <c r="I191" s="968"/>
      <c r="J191" s="968"/>
      <c r="K191" s="968"/>
      <c r="L191" s="968"/>
      <c r="M191" s="968"/>
      <c r="N191" s="968"/>
    </row>
    <row r="192" customFormat="false" ht="11.25" hidden="false" customHeight="false" outlineLevel="0" collapsed="false">
      <c r="C192" s="968"/>
      <c r="D192" s="968"/>
      <c r="E192" s="968"/>
      <c r="F192" s="968"/>
      <c r="G192" s="968"/>
      <c r="H192" s="968"/>
      <c r="I192" s="968"/>
      <c r="J192" s="968"/>
      <c r="K192" s="968"/>
      <c r="L192" s="968"/>
      <c r="M192" s="968"/>
      <c r="N192" s="968"/>
    </row>
    <row r="193" customFormat="false" ht="11.25" hidden="false" customHeight="false" outlineLevel="0" collapsed="false">
      <c r="C193" s="968"/>
      <c r="D193" s="968"/>
      <c r="E193" s="968"/>
      <c r="F193" s="968"/>
      <c r="G193" s="968"/>
      <c r="H193" s="968"/>
      <c r="I193" s="968"/>
      <c r="J193" s="968"/>
      <c r="K193" s="968"/>
      <c r="L193" s="968"/>
      <c r="M193" s="968"/>
      <c r="N193" s="968"/>
    </row>
    <row r="194" customFormat="false" ht="11.25" hidden="false" customHeight="false" outlineLevel="0" collapsed="false">
      <c r="C194" s="968"/>
      <c r="D194" s="968"/>
      <c r="E194" s="968"/>
      <c r="F194" s="968"/>
      <c r="G194" s="968"/>
      <c r="H194" s="968"/>
      <c r="I194" s="968"/>
      <c r="J194" s="968"/>
      <c r="K194" s="968"/>
      <c r="L194" s="968"/>
      <c r="M194" s="968"/>
      <c r="N194" s="968"/>
    </row>
    <row r="195" customFormat="false" ht="11.25" hidden="false" customHeight="false" outlineLevel="0" collapsed="false">
      <c r="C195" s="968"/>
      <c r="D195" s="968"/>
      <c r="E195" s="968"/>
      <c r="F195" s="968"/>
      <c r="G195" s="968"/>
      <c r="H195" s="968"/>
      <c r="I195" s="968"/>
      <c r="J195" s="968"/>
      <c r="K195" s="968"/>
      <c r="L195" s="968"/>
      <c r="M195" s="968"/>
      <c r="N195" s="968"/>
    </row>
    <row r="196" customFormat="false" ht="11.25" hidden="false" customHeight="false" outlineLevel="0" collapsed="false">
      <c r="C196" s="968"/>
      <c r="D196" s="968"/>
      <c r="E196" s="968"/>
      <c r="F196" s="968"/>
      <c r="G196" s="968"/>
      <c r="H196" s="968"/>
      <c r="I196" s="968"/>
      <c r="J196" s="968"/>
      <c r="K196" s="968"/>
      <c r="L196" s="968"/>
      <c r="M196" s="968"/>
      <c r="N196" s="968"/>
    </row>
    <row r="197" customFormat="false" ht="11.25" hidden="false" customHeight="false" outlineLevel="0" collapsed="false">
      <c r="C197" s="968"/>
      <c r="D197" s="968"/>
      <c r="E197" s="968"/>
      <c r="F197" s="968"/>
      <c r="G197" s="968"/>
      <c r="H197" s="968"/>
      <c r="I197" s="968"/>
      <c r="J197" s="968"/>
      <c r="K197" s="968"/>
      <c r="L197" s="968"/>
      <c r="M197" s="968"/>
      <c r="N197" s="968"/>
    </row>
    <row r="198" customFormat="false" ht="11.25" hidden="false" customHeight="false" outlineLevel="0" collapsed="false">
      <c r="C198" s="968"/>
      <c r="D198" s="968"/>
      <c r="E198" s="968"/>
      <c r="F198" s="968"/>
      <c r="G198" s="968"/>
      <c r="H198" s="968"/>
      <c r="I198" s="968"/>
      <c r="J198" s="968"/>
      <c r="K198" s="968"/>
      <c r="L198" s="968"/>
      <c r="M198" s="968"/>
      <c r="N198" s="968"/>
    </row>
    <row r="199" customFormat="false" ht="11.25" hidden="false" customHeight="false" outlineLevel="0" collapsed="false">
      <c r="C199" s="968"/>
      <c r="D199" s="968"/>
      <c r="E199" s="968"/>
      <c r="F199" s="968"/>
      <c r="G199" s="968"/>
      <c r="H199" s="968"/>
      <c r="I199" s="968"/>
      <c r="J199" s="968"/>
      <c r="K199" s="968"/>
      <c r="L199" s="968"/>
      <c r="M199" s="968"/>
      <c r="N199" s="968"/>
    </row>
    <row r="200" customFormat="false" ht="11.25" hidden="false" customHeight="false" outlineLevel="0" collapsed="false">
      <c r="C200" s="968"/>
      <c r="D200" s="968"/>
      <c r="E200" s="968"/>
      <c r="F200" s="968"/>
      <c r="G200" s="968"/>
      <c r="H200" s="968"/>
      <c r="I200" s="968"/>
      <c r="J200" s="968"/>
      <c r="K200" s="968"/>
      <c r="L200" s="968"/>
      <c r="M200" s="968"/>
      <c r="N200" s="968"/>
    </row>
    <row r="201" customFormat="false" ht="11.25" hidden="false" customHeight="false" outlineLevel="0" collapsed="false">
      <c r="C201" s="968"/>
      <c r="D201" s="968"/>
      <c r="E201" s="968"/>
      <c r="F201" s="968"/>
      <c r="G201" s="968"/>
      <c r="H201" s="968"/>
      <c r="I201" s="968"/>
      <c r="J201" s="968"/>
      <c r="K201" s="968"/>
      <c r="L201" s="968"/>
      <c r="M201" s="968"/>
      <c r="N201" s="968"/>
    </row>
    <row r="202" customFormat="false" ht="11.25" hidden="false" customHeight="false" outlineLevel="0" collapsed="false">
      <c r="C202" s="968"/>
      <c r="D202" s="968"/>
      <c r="E202" s="968"/>
      <c r="F202" s="968"/>
      <c r="G202" s="968"/>
      <c r="H202" s="968"/>
      <c r="I202" s="968"/>
      <c r="J202" s="968"/>
      <c r="K202" s="968"/>
      <c r="L202" s="968"/>
      <c r="M202" s="968"/>
      <c r="N202" s="968"/>
    </row>
    <row r="203" customFormat="false" ht="11.25" hidden="false" customHeight="false" outlineLevel="0" collapsed="false">
      <c r="C203" s="968"/>
      <c r="D203" s="968"/>
      <c r="E203" s="968"/>
      <c r="F203" s="968"/>
      <c r="G203" s="968"/>
      <c r="H203" s="968"/>
      <c r="I203" s="968"/>
      <c r="J203" s="968"/>
      <c r="K203" s="968"/>
      <c r="L203" s="968"/>
      <c r="M203" s="968"/>
      <c r="N203" s="968"/>
    </row>
    <row r="204" customFormat="false" ht="11.25" hidden="false" customHeight="false" outlineLevel="0" collapsed="false">
      <c r="C204" s="968"/>
      <c r="D204" s="968"/>
      <c r="E204" s="968"/>
      <c r="F204" s="968"/>
      <c r="G204" s="968"/>
      <c r="H204" s="968"/>
      <c r="I204" s="968"/>
      <c r="J204" s="968"/>
      <c r="K204" s="968"/>
      <c r="L204" s="968"/>
      <c r="M204" s="968"/>
      <c r="N204" s="968"/>
    </row>
    <row r="205" customFormat="false" ht="11.25" hidden="false" customHeight="false" outlineLevel="0" collapsed="false">
      <c r="C205" s="968"/>
      <c r="D205" s="968"/>
      <c r="E205" s="968"/>
      <c r="F205" s="968"/>
      <c r="G205" s="968"/>
      <c r="H205" s="968"/>
      <c r="I205" s="968"/>
      <c r="J205" s="968"/>
      <c r="K205" s="968"/>
      <c r="L205" s="968"/>
      <c r="M205" s="968"/>
      <c r="N205" s="968"/>
    </row>
    <row r="206" customFormat="false" ht="11.25" hidden="false" customHeight="false" outlineLevel="0" collapsed="false">
      <c r="C206" s="968"/>
      <c r="D206" s="968"/>
      <c r="E206" s="968"/>
      <c r="F206" s="968"/>
      <c r="G206" s="968"/>
      <c r="H206" s="968"/>
      <c r="I206" s="968"/>
      <c r="J206" s="968"/>
      <c r="K206" s="968"/>
      <c r="L206" s="968"/>
      <c r="M206" s="968"/>
      <c r="N206" s="968"/>
    </row>
    <row r="207" customFormat="false" ht="11.25" hidden="false" customHeight="false" outlineLevel="0" collapsed="false">
      <c r="C207" s="968"/>
      <c r="D207" s="968"/>
      <c r="E207" s="968"/>
      <c r="F207" s="968"/>
      <c r="G207" s="968"/>
      <c r="H207" s="968"/>
      <c r="I207" s="968"/>
      <c r="J207" s="968"/>
      <c r="K207" s="968"/>
      <c r="L207" s="968"/>
      <c r="M207" s="968"/>
      <c r="N207" s="968"/>
    </row>
    <row r="208" customFormat="false" ht="11.25" hidden="false" customHeight="false" outlineLevel="0" collapsed="false">
      <c r="C208" s="968"/>
      <c r="D208" s="968"/>
      <c r="E208" s="968"/>
      <c r="F208" s="968"/>
      <c r="G208" s="968"/>
      <c r="H208" s="968"/>
      <c r="I208" s="968"/>
      <c r="J208" s="968"/>
      <c r="K208" s="968"/>
      <c r="L208" s="968"/>
      <c r="M208" s="968"/>
      <c r="N208" s="968"/>
    </row>
    <row r="209" customFormat="false" ht="11.25" hidden="false" customHeight="false" outlineLevel="0" collapsed="false">
      <c r="C209" s="968"/>
      <c r="D209" s="968"/>
      <c r="E209" s="968"/>
      <c r="F209" s="968"/>
      <c r="G209" s="968"/>
      <c r="H209" s="968"/>
      <c r="I209" s="968"/>
      <c r="J209" s="968"/>
      <c r="K209" s="968"/>
      <c r="L209" s="968"/>
      <c r="M209" s="968"/>
      <c r="N209" s="968"/>
    </row>
    <row r="210" customFormat="false" ht="11.25" hidden="false" customHeight="false" outlineLevel="0" collapsed="false">
      <c r="C210" s="968"/>
      <c r="D210" s="968"/>
      <c r="E210" s="968"/>
      <c r="F210" s="968"/>
      <c r="G210" s="968"/>
      <c r="H210" s="968"/>
      <c r="I210" s="968"/>
      <c r="J210" s="968"/>
      <c r="K210" s="968"/>
      <c r="L210" s="968"/>
      <c r="M210" s="968"/>
      <c r="N210" s="968"/>
    </row>
    <row r="211" customFormat="false" ht="11.25" hidden="false" customHeight="false" outlineLevel="0" collapsed="false">
      <c r="C211" s="968"/>
      <c r="D211" s="968"/>
      <c r="E211" s="968"/>
      <c r="F211" s="968"/>
      <c r="G211" s="968"/>
      <c r="H211" s="968"/>
      <c r="I211" s="968"/>
      <c r="J211" s="968"/>
      <c r="K211" s="968"/>
      <c r="L211" s="968"/>
      <c r="M211" s="968"/>
      <c r="N211" s="968"/>
    </row>
    <row r="212" customFormat="false" ht="11.25" hidden="false" customHeight="false" outlineLevel="0" collapsed="false">
      <c r="C212" s="968"/>
      <c r="D212" s="968"/>
      <c r="E212" s="968"/>
      <c r="F212" s="968"/>
      <c r="G212" s="968"/>
      <c r="H212" s="968"/>
      <c r="I212" s="968"/>
      <c r="J212" s="968"/>
      <c r="K212" s="968"/>
      <c r="L212" s="968"/>
      <c r="M212" s="968"/>
      <c r="N212" s="968"/>
    </row>
    <row r="213" customFormat="false" ht="11.25" hidden="false" customHeight="false" outlineLevel="0" collapsed="false">
      <c r="C213" s="968"/>
      <c r="D213" s="968"/>
      <c r="E213" s="968"/>
      <c r="F213" s="968"/>
      <c r="G213" s="968"/>
      <c r="H213" s="968"/>
      <c r="I213" s="968"/>
      <c r="J213" s="968"/>
      <c r="K213" s="968"/>
      <c r="L213" s="968"/>
      <c r="M213" s="968"/>
      <c r="N213" s="968"/>
    </row>
    <row r="214" customFormat="false" ht="11.25" hidden="false" customHeight="false" outlineLevel="0" collapsed="false">
      <c r="C214" s="968"/>
      <c r="D214" s="968"/>
      <c r="E214" s="968"/>
      <c r="F214" s="968"/>
      <c r="G214" s="968"/>
      <c r="H214" s="968"/>
      <c r="I214" s="968"/>
      <c r="J214" s="968"/>
      <c r="K214" s="968"/>
      <c r="L214" s="968"/>
      <c r="M214" s="968"/>
      <c r="N214" s="968"/>
    </row>
    <row r="215" customFormat="false" ht="11.25" hidden="false" customHeight="false" outlineLevel="0" collapsed="false">
      <c r="C215" s="968"/>
      <c r="D215" s="968"/>
      <c r="E215" s="968"/>
      <c r="F215" s="968"/>
      <c r="G215" s="968"/>
      <c r="H215" s="968"/>
      <c r="I215" s="968"/>
      <c r="J215" s="968"/>
      <c r="K215" s="968"/>
      <c r="L215" s="968"/>
      <c r="M215" s="968"/>
      <c r="N215" s="968"/>
    </row>
    <row r="216" customFormat="false" ht="11.25" hidden="false" customHeight="false" outlineLevel="0" collapsed="false">
      <c r="C216" s="968"/>
      <c r="D216" s="968"/>
      <c r="E216" s="968"/>
      <c r="F216" s="968"/>
      <c r="G216" s="968"/>
      <c r="H216" s="968"/>
      <c r="I216" s="968"/>
      <c r="J216" s="968"/>
      <c r="K216" s="968"/>
      <c r="L216" s="968"/>
      <c r="M216" s="968"/>
      <c r="N216" s="968"/>
    </row>
    <row r="217" customFormat="false" ht="11.25" hidden="false" customHeight="false" outlineLevel="0" collapsed="false">
      <c r="C217" s="968"/>
      <c r="D217" s="968"/>
      <c r="E217" s="968"/>
      <c r="F217" s="968"/>
      <c r="G217" s="968"/>
      <c r="H217" s="968"/>
      <c r="I217" s="968"/>
      <c r="J217" s="968"/>
      <c r="K217" s="968"/>
      <c r="L217" s="968"/>
      <c r="M217" s="968"/>
      <c r="N217" s="968"/>
    </row>
    <row r="218" customFormat="false" ht="11.25" hidden="false" customHeight="false" outlineLevel="0" collapsed="false">
      <c r="C218" s="968"/>
      <c r="D218" s="968"/>
      <c r="E218" s="968"/>
      <c r="F218" s="968"/>
      <c r="G218" s="968"/>
      <c r="H218" s="968"/>
      <c r="I218" s="968"/>
      <c r="J218" s="968"/>
      <c r="K218" s="968"/>
      <c r="L218" s="968"/>
      <c r="M218" s="968"/>
      <c r="N218" s="968"/>
    </row>
    <row r="219" customFormat="false" ht="11.25" hidden="false" customHeight="false" outlineLevel="0" collapsed="false">
      <c r="C219" s="968"/>
      <c r="D219" s="968"/>
      <c r="E219" s="968"/>
      <c r="F219" s="968"/>
      <c r="G219" s="968"/>
      <c r="H219" s="968"/>
      <c r="I219" s="968"/>
      <c r="J219" s="968"/>
      <c r="K219" s="968"/>
      <c r="L219" s="968"/>
      <c r="M219" s="968"/>
      <c r="N219" s="968"/>
    </row>
    <row r="220" customFormat="false" ht="11.25" hidden="false" customHeight="false" outlineLevel="0" collapsed="false">
      <c r="C220" s="968"/>
      <c r="D220" s="968"/>
      <c r="E220" s="968"/>
      <c r="F220" s="968"/>
      <c r="G220" s="968"/>
      <c r="H220" s="968"/>
      <c r="I220" s="968"/>
      <c r="J220" s="968"/>
      <c r="K220" s="968"/>
      <c r="L220" s="968"/>
      <c r="M220" s="968"/>
      <c r="N220" s="968"/>
    </row>
    <row r="221" customFormat="false" ht="11.25" hidden="false" customHeight="false" outlineLevel="0" collapsed="false">
      <c r="C221" s="968"/>
      <c r="D221" s="968"/>
      <c r="E221" s="968"/>
      <c r="F221" s="968"/>
      <c r="G221" s="968"/>
      <c r="H221" s="968"/>
      <c r="I221" s="968"/>
      <c r="J221" s="968"/>
      <c r="K221" s="968"/>
      <c r="L221" s="968"/>
      <c r="M221" s="968"/>
      <c r="N221" s="968"/>
    </row>
    <row r="222" customFormat="false" ht="11.25" hidden="false" customHeight="false" outlineLevel="0" collapsed="false">
      <c r="C222" s="968"/>
      <c r="D222" s="968"/>
      <c r="E222" s="968"/>
      <c r="F222" s="968"/>
      <c r="G222" s="968"/>
      <c r="H222" s="968"/>
      <c r="I222" s="968"/>
      <c r="J222" s="968"/>
      <c r="K222" s="968"/>
      <c r="L222" s="968"/>
      <c r="M222" s="968"/>
      <c r="N222" s="968"/>
    </row>
    <row r="223" customFormat="false" ht="11.25" hidden="false" customHeight="false" outlineLevel="0" collapsed="false">
      <c r="C223" s="968"/>
      <c r="D223" s="968"/>
      <c r="E223" s="968"/>
      <c r="F223" s="968"/>
      <c r="G223" s="968"/>
      <c r="H223" s="968"/>
      <c r="I223" s="968"/>
      <c r="J223" s="968"/>
      <c r="K223" s="968"/>
      <c r="L223" s="968"/>
      <c r="M223" s="968"/>
      <c r="N223" s="968"/>
    </row>
    <row r="224" customFormat="false" ht="11.25" hidden="false" customHeight="false" outlineLevel="0" collapsed="false">
      <c r="C224" s="968"/>
      <c r="D224" s="968"/>
      <c r="E224" s="968"/>
      <c r="F224" s="968"/>
      <c r="G224" s="968"/>
      <c r="H224" s="968"/>
      <c r="I224" s="968"/>
      <c r="J224" s="968"/>
      <c r="K224" s="968"/>
      <c r="L224" s="968"/>
      <c r="M224" s="968"/>
      <c r="N224" s="968"/>
    </row>
    <row r="225" customFormat="false" ht="11.25" hidden="false" customHeight="false" outlineLevel="0" collapsed="false">
      <c r="C225" s="968"/>
      <c r="D225" s="968"/>
      <c r="E225" s="968"/>
      <c r="F225" s="968"/>
      <c r="G225" s="968"/>
      <c r="H225" s="968"/>
      <c r="I225" s="968"/>
      <c r="J225" s="968"/>
      <c r="K225" s="968"/>
      <c r="L225" s="968"/>
      <c r="M225" s="968"/>
      <c r="N225" s="968"/>
    </row>
    <row r="226" customFormat="false" ht="11.25" hidden="false" customHeight="false" outlineLevel="0" collapsed="false">
      <c r="C226" s="968"/>
      <c r="D226" s="968"/>
      <c r="E226" s="968"/>
      <c r="F226" s="968"/>
      <c r="G226" s="968"/>
      <c r="H226" s="968"/>
      <c r="I226" s="968"/>
      <c r="J226" s="968"/>
      <c r="K226" s="968"/>
      <c r="L226" s="968"/>
      <c r="M226" s="968"/>
      <c r="N226" s="968"/>
    </row>
    <row r="227" customFormat="false" ht="11.25" hidden="false" customHeight="false" outlineLevel="0" collapsed="false">
      <c r="C227" s="968"/>
      <c r="D227" s="968"/>
      <c r="E227" s="968"/>
      <c r="F227" s="968"/>
      <c r="G227" s="968"/>
      <c r="H227" s="968"/>
      <c r="I227" s="968"/>
      <c r="J227" s="968"/>
      <c r="K227" s="968"/>
      <c r="L227" s="968"/>
      <c r="M227" s="968"/>
      <c r="N227" s="968"/>
    </row>
    <row r="228" customFormat="false" ht="11.25" hidden="false" customHeight="false" outlineLevel="0" collapsed="false">
      <c r="C228" s="968"/>
      <c r="D228" s="968"/>
      <c r="E228" s="968"/>
      <c r="F228" s="968"/>
      <c r="G228" s="968"/>
      <c r="H228" s="968"/>
      <c r="I228" s="968"/>
      <c r="J228" s="968"/>
      <c r="K228" s="968"/>
      <c r="L228" s="968"/>
      <c r="M228" s="968"/>
      <c r="N228" s="968"/>
    </row>
    <row r="229" customFormat="false" ht="11.25" hidden="false" customHeight="false" outlineLevel="0" collapsed="false">
      <c r="C229" s="968"/>
      <c r="D229" s="968"/>
      <c r="E229" s="968"/>
      <c r="F229" s="968"/>
      <c r="G229" s="968"/>
      <c r="H229" s="968"/>
      <c r="I229" s="968"/>
      <c r="J229" s="968"/>
      <c r="K229" s="968"/>
      <c r="L229" s="968"/>
      <c r="M229" s="968"/>
      <c r="N229" s="968"/>
    </row>
    <row r="230" customFormat="false" ht="11.25" hidden="false" customHeight="false" outlineLevel="0" collapsed="false">
      <c r="C230" s="968"/>
      <c r="D230" s="968"/>
      <c r="E230" s="968"/>
      <c r="F230" s="968"/>
      <c r="G230" s="968"/>
      <c r="H230" s="968"/>
      <c r="I230" s="968"/>
      <c r="J230" s="968"/>
      <c r="K230" s="968"/>
      <c r="L230" s="968"/>
      <c r="M230" s="968"/>
      <c r="N230" s="968"/>
    </row>
    <row r="231" customFormat="false" ht="11.25" hidden="false" customHeight="false" outlineLevel="0" collapsed="false">
      <c r="C231" s="968"/>
      <c r="D231" s="968"/>
      <c r="E231" s="968"/>
      <c r="F231" s="968"/>
      <c r="G231" s="968"/>
      <c r="H231" s="968"/>
      <c r="I231" s="968"/>
      <c r="J231" s="968"/>
      <c r="K231" s="968"/>
      <c r="L231" s="968"/>
      <c r="M231" s="968"/>
      <c r="N231" s="968"/>
    </row>
    <row r="232" customFormat="false" ht="11.25" hidden="false" customHeight="false" outlineLevel="0" collapsed="false">
      <c r="C232" s="968"/>
      <c r="D232" s="968"/>
      <c r="E232" s="968"/>
      <c r="F232" s="968"/>
      <c r="G232" s="968"/>
      <c r="H232" s="968"/>
      <c r="I232" s="968"/>
      <c r="J232" s="968"/>
      <c r="K232" s="968"/>
      <c r="L232" s="968"/>
      <c r="M232" s="968"/>
      <c r="N232" s="968"/>
    </row>
    <row r="233" customFormat="false" ht="11.25" hidden="false" customHeight="false" outlineLevel="0" collapsed="false">
      <c r="C233" s="968"/>
      <c r="D233" s="968"/>
      <c r="E233" s="968"/>
      <c r="F233" s="968"/>
      <c r="G233" s="968"/>
      <c r="H233" s="968"/>
      <c r="I233" s="968"/>
      <c r="J233" s="968"/>
      <c r="K233" s="968"/>
      <c r="L233" s="968"/>
      <c r="M233" s="968"/>
      <c r="N233" s="968"/>
    </row>
    <row r="234" customFormat="false" ht="11.25" hidden="false" customHeight="false" outlineLevel="0" collapsed="false">
      <c r="C234" s="968"/>
      <c r="D234" s="968"/>
      <c r="E234" s="968"/>
      <c r="F234" s="968"/>
      <c r="G234" s="968"/>
      <c r="H234" s="968"/>
      <c r="I234" s="968"/>
      <c r="J234" s="968"/>
      <c r="K234" s="968"/>
      <c r="L234" s="968"/>
      <c r="M234" s="968"/>
      <c r="N234" s="968"/>
    </row>
    <row r="235" customFormat="false" ht="11.25" hidden="false" customHeight="false" outlineLevel="0" collapsed="false">
      <c r="C235" s="968"/>
      <c r="D235" s="968"/>
      <c r="E235" s="968"/>
      <c r="F235" s="968"/>
      <c r="G235" s="968"/>
      <c r="H235" s="968"/>
      <c r="I235" s="968"/>
      <c r="J235" s="968"/>
      <c r="K235" s="968"/>
      <c r="L235" s="968"/>
      <c r="M235" s="968"/>
      <c r="N235" s="968"/>
    </row>
    <row r="236" customFormat="false" ht="11.25" hidden="false" customHeight="false" outlineLevel="0" collapsed="false">
      <c r="C236" s="968"/>
      <c r="D236" s="968"/>
      <c r="E236" s="968"/>
      <c r="F236" s="968"/>
      <c r="G236" s="968"/>
      <c r="H236" s="968"/>
      <c r="I236" s="968"/>
      <c r="J236" s="968"/>
      <c r="K236" s="968"/>
      <c r="L236" s="968"/>
      <c r="M236" s="968"/>
      <c r="N236" s="968"/>
    </row>
    <row r="237" customFormat="false" ht="11.25" hidden="false" customHeight="false" outlineLevel="0" collapsed="false">
      <c r="C237" s="968"/>
      <c r="D237" s="968"/>
      <c r="E237" s="968"/>
      <c r="F237" s="968"/>
      <c r="G237" s="968"/>
      <c r="H237" s="968"/>
      <c r="I237" s="968"/>
      <c r="J237" s="968"/>
      <c r="K237" s="968"/>
      <c r="L237" s="968"/>
      <c r="M237" s="968"/>
      <c r="N237" s="968"/>
    </row>
    <row r="238" customFormat="false" ht="11.25" hidden="false" customHeight="false" outlineLevel="0" collapsed="false">
      <c r="C238" s="968"/>
      <c r="D238" s="968"/>
      <c r="E238" s="968"/>
      <c r="F238" s="968"/>
      <c r="G238" s="968"/>
      <c r="H238" s="968"/>
      <c r="I238" s="968"/>
      <c r="J238" s="968"/>
      <c r="K238" s="968"/>
      <c r="L238" s="968"/>
      <c r="M238" s="968"/>
      <c r="N238" s="968"/>
    </row>
    <row r="239" customFormat="false" ht="11.25" hidden="false" customHeight="false" outlineLevel="0" collapsed="false">
      <c r="C239" s="968"/>
      <c r="D239" s="968"/>
      <c r="E239" s="968"/>
      <c r="F239" s="968"/>
      <c r="G239" s="968"/>
      <c r="H239" s="968"/>
      <c r="I239" s="968"/>
      <c r="J239" s="968"/>
      <c r="K239" s="968"/>
      <c r="L239" s="968"/>
      <c r="M239" s="968"/>
      <c r="N239" s="968"/>
    </row>
    <row r="240" customFormat="false" ht="11.25" hidden="false" customHeight="false" outlineLevel="0" collapsed="false">
      <c r="C240" s="968"/>
      <c r="D240" s="968"/>
      <c r="E240" s="968"/>
      <c r="F240" s="968"/>
      <c r="G240" s="968"/>
      <c r="H240" s="968"/>
      <c r="I240" s="968"/>
      <c r="J240" s="968"/>
      <c r="K240" s="968"/>
      <c r="L240" s="968"/>
      <c r="M240" s="968"/>
      <c r="N240" s="968"/>
    </row>
    <row r="241" customFormat="false" ht="11.25" hidden="false" customHeight="false" outlineLevel="0" collapsed="false">
      <c r="C241" s="968"/>
      <c r="D241" s="968"/>
      <c r="E241" s="968"/>
      <c r="F241" s="968"/>
      <c r="G241" s="968"/>
      <c r="H241" s="968"/>
      <c r="I241" s="968"/>
      <c r="J241" s="968"/>
      <c r="K241" s="968"/>
      <c r="L241" s="968"/>
      <c r="M241" s="968"/>
      <c r="N241" s="968"/>
    </row>
    <row r="242" customFormat="false" ht="11.25" hidden="false" customHeight="false" outlineLevel="0" collapsed="false">
      <c r="C242" s="968"/>
      <c r="D242" s="968"/>
      <c r="E242" s="968"/>
      <c r="F242" s="968"/>
      <c r="G242" s="968"/>
      <c r="H242" s="968"/>
      <c r="I242" s="968"/>
      <c r="J242" s="968"/>
      <c r="K242" s="968"/>
      <c r="L242" s="968"/>
      <c r="M242" s="968"/>
      <c r="N242" s="968"/>
    </row>
    <row r="243" customFormat="false" ht="11.25" hidden="false" customHeight="false" outlineLevel="0" collapsed="false">
      <c r="C243" s="968"/>
      <c r="D243" s="968"/>
      <c r="E243" s="968"/>
      <c r="F243" s="968"/>
      <c r="G243" s="968"/>
      <c r="H243" s="968"/>
      <c r="I243" s="968"/>
      <c r="J243" s="968"/>
      <c r="K243" s="968"/>
      <c r="L243" s="968"/>
      <c r="M243" s="968"/>
      <c r="N243" s="968"/>
    </row>
    <row r="244" customFormat="false" ht="11.25" hidden="false" customHeight="false" outlineLevel="0" collapsed="false">
      <c r="C244" s="968"/>
      <c r="D244" s="968"/>
      <c r="E244" s="968"/>
      <c r="F244" s="968"/>
      <c r="G244" s="968"/>
      <c r="H244" s="968"/>
      <c r="I244" s="968"/>
      <c r="J244" s="968"/>
      <c r="K244" s="968"/>
      <c r="L244" s="968"/>
      <c r="M244" s="968"/>
      <c r="N244" s="968"/>
    </row>
    <row r="245" customFormat="false" ht="11.25" hidden="false" customHeight="false" outlineLevel="0" collapsed="false">
      <c r="C245" s="968"/>
      <c r="D245" s="968"/>
      <c r="E245" s="968"/>
      <c r="F245" s="968"/>
      <c r="G245" s="968"/>
      <c r="H245" s="968"/>
      <c r="I245" s="968"/>
      <c r="J245" s="968"/>
      <c r="K245" s="968"/>
      <c r="L245" s="968"/>
      <c r="M245" s="968"/>
      <c r="N245" s="968"/>
    </row>
    <row r="246" customFormat="false" ht="11.25" hidden="false" customHeight="false" outlineLevel="0" collapsed="false">
      <c r="C246" s="968"/>
      <c r="D246" s="968"/>
      <c r="E246" s="968"/>
      <c r="F246" s="968"/>
      <c r="G246" s="968"/>
      <c r="H246" s="968"/>
      <c r="I246" s="968"/>
      <c r="J246" s="968"/>
      <c r="K246" s="968"/>
      <c r="L246" s="968"/>
      <c r="M246" s="968"/>
      <c r="N246" s="968"/>
    </row>
    <row r="247" customFormat="false" ht="11.25" hidden="false" customHeight="false" outlineLevel="0" collapsed="false">
      <c r="C247" s="968"/>
      <c r="D247" s="968"/>
      <c r="E247" s="968"/>
      <c r="F247" s="968"/>
      <c r="G247" s="968"/>
      <c r="H247" s="968"/>
      <c r="I247" s="968"/>
      <c r="J247" s="968"/>
      <c r="K247" s="968"/>
      <c r="L247" s="968"/>
      <c r="M247" s="968"/>
      <c r="N247" s="968"/>
    </row>
    <row r="248" customFormat="false" ht="11.25" hidden="false" customHeight="false" outlineLevel="0" collapsed="false">
      <c r="C248" s="968"/>
      <c r="D248" s="968"/>
      <c r="E248" s="968"/>
      <c r="F248" s="968"/>
      <c r="G248" s="968"/>
      <c r="H248" s="968"/>
      <c r="I248" s="968"/>
      <c r="J248" s="968"/>
      <c r="K248" s="968"/>
      <c r="L248" s="968"/>
      <c r="M248" s="968"/>
      <c r="N248" s="968"/>
    </row>
    <row r="249" customFormat="false" ht="11.25" hidden="false" customHeight="false" outlineLevel="0" collapsed="false">
      <c r="C249" s="968"/>
      <c r="D249" s="968"/>
      <c r="E249" s="968"/>
      <c r="F249" s="968"/>
      <c r="G249" s="968"/>
      <c r="H249" s="968"/>
      <c r="I249" s="968"/>
      <c r="J249" s="968"/>
      <c r="K249" s="968"/>
      <c r="L249" s="968"/>
      <c r="M249" s="968"/>
      <c r="N249" s="968"/>
    </row>
    <row r="250" customFormat="false" ht="11.25" hidden="false" customHeight="false" outlineLevel="0" collapsed="false">
      <c r="C250" s="968"/>
      <c r="D250" s="968"/>
      <c r="E250" s="968"/>
      <c r="F250" s="968"/>
      <c r="G250" s="968"/>
      <c r="H250" s="968"/>
      <c r="I250" s="968"/>
      <c r="J250" s="968"/>
      <c r="K250" s="968"/>
      <c r="L250" s="968"/>
      <c r="M250" s="968"/>
      <c r="N250" s="968"/>
    </row>
    <row r="251" customFormat="false" ht="11.25" hidden="false" customHeight="false" outlineLevel="0" collapsed="false">
      <c r="C251" s="968"/>
      <c r="D251" s="968"/>
      <c r="E251" s="968"/>
      <c r="F251" s="968"/>
      <c r="G251" s="968"/>
      <c r="H251" s="968"/>
      <c r="I251" s="968"/>
      <c r="J251" s="968"/>
      <c r="K251" s="968"/>
      <c r="L251" s="968"/>
      <c r="M251" s="968"/>
      <c r="N251" s="968"/>
    </row>
    <row r="252" customFormat="false" ht="11.25" hidden="false" customHeight="false" outlineLevel="0" collapsed="false">
      <c r="C252" s="968"/>
      <c r="D252" s="968"/>
      <c r="E252" s="968"/>
      <c r="F252" s="968"/>
      <c r="G252" s="968"/>
      <c r="H252" s="968"/>
      <c r="I252" s="968"/>
      <c r="J252" s="968"/>
      <c r="K252" s="968"/>
      <c r="L252" s="968"/>
      <c r="M252" s="968"/>
      <c r="N252" s="968"/>
    </row>
    <row r="253" customFormat="false" ht="11.25" hidden="false" customHeight="false" outlineLevel="0" collapsed="false">
      <c r="C253" s="968"/>
      <c r="D253" s="968"/>
      <c r="E253" s="968"/>
      <c r="F253" s="968"/>
      <c r="G253" s="968"/>
      <c r="H253" s="968"/>
      <c r="I253" s="968"/>
      <c r="J253" s="968"/>
      <c r="K253" s="968"/>
      <c r="L253" s="968"/>
      <c r="M253" s="968"/>
      <c r="N253" s="968"/>
    </row>
    <row r="254" customFormat="false" ht="11.25" hidden="false" customHeight="false" outlineLevel="0" collapsed="false">
      <c r="C254" s="968"/>
      <c r="D254" s="968"/>
      <c r="E254" s="968"/>
      <c r="F254" s="968"/>
      <c r="G254" s="968"/>
      <c r="H254" s="968"/>
      <c r="I254" s="968"/>
      <c r="J254" s="968"/>
      <c r="K254" s="968"/>
      <c r="L254" s="968"/>
      <c r="M254" s="968"/>
      <c r="N254" s="968"/>
    </row>
    <row r="255" customFormat="false" ht="11.25" hidden="false" customHeight="false" outlineLevel="0" collapsed="false">
      <c r="C255" s="968"/>
      <c r="D255" s="968"/>
      <c r="E255" s="968"/>
      <c r="F255" s="968"/>
      <c r="G255" s="968"/>
      <c r="H255" s="968"/>
      <c r="I255" s="968"/>
      <c r="J255" s="968"/>
      <c r="K255" s="968"/>
      <c r="L255" s="968"/>
      <c r="M255" s="968"/>
      <c r="N255" s="968"/>
    </row>
    <row r="256" customFormat="false" ht="11.25" hidden="false" customHeight="false" outlineLevel="0" collapsed="false">
      <c r="C256" s="968"/>
      <c r="D256" s="968"/>
      <c r="E256" s="968"/>
      <c r="F256" s="968"/>
      <c r="G256" s="968"/>
      <c r="H256" s="968"/>
      <c r="I256" s="968"/>
      <c r="J256" s="968"/>
      <c r="K256" s="968"/>
      <c r="L256" s="968"/>
      <c r="M256" s="968"/>
      <c r="N256" s="968"/>
    </row>
    <row r="257" customFormat="false" ht="11.25" hidden="false" customHeight="false" outlineLevel="0" collapsed="false">
      <c r="C257" s="968"/>
      <c r="D257" s="968"/>
      <c r="E257" s="968"/>
      <c r="F257" s="968"/>
      <c r="G257" s="968"/>
      <c r="H257" s="968"/>
      <c r="I257" s="968"/>
      <c r="J257" s="968"/>
      <c r="K257" s="968"/>
      <c r="L257" s="968"/>
      <c r="M257" s="968"/>
      <c r="N257" s="968"/>
    </row>
    <row r="258" customFormat="false" ht="11.25" hidden="false" customHeight="false" outlineLevel="0" collapsed="false">
      <c r="C258" s="968"/>
      <c r="D258" s="968"/>
      <c r="E258" s="968"/>
      <c r="F258" s="968"/>
      <c r="G258" s="968"/>
      <c r="H258" s="968"/>
      <c r="I258" s="968"/>
      <c r="J258" s="968"/>
      <c r="K258" s="968"/>
      <c r="L258" s="968"/>
      <c r="M258" s="968"/>
      <c r="N258" s="968"/>
    </row>
    <row r="259" customFormat="false" ht="11.25" hidden="false" customHeight="false" outlineLevel="0" collapsed="false">
      <c r="C259" s="968"/>
      <c r="D259" s="968"/>
      <c r="E259" s="968"/>
      <c r="F259" s="968"/>
      <c r="G259" s="968"/>
      <c r="H259" s="968"/>
      <c r="I259" s="968"/>
      <c r="J259" s="968"/>
      <c r="K259" s="968"/>
      <c r="L259" s="968"/>
      <c r="M259" s="968"/>
      <c r="N259" s="968"/>
    </row>
    <row r="260" customFormat="false" ht="11.25" hidden="false" customHeight="false" outlineLevel="0" collapsed="false">
      <c r="C260" s="968"/>
      <c r="D260" s="968"/>
      <c r="E260" s="968"/>
      <c r="F260" s="968"/>
      <c r="G260" s="968"/>
      <c r="H260" s="968"/>
      <c r="I260" s="968"/>
      <c r="J260" s="968"/>
      <c r="K260" s="968"/>
      <c r="L260" s="968"/>
      <c r="M260" s="968"/>
      <c r="N260" s="968"/>
    </row>
    <row r="261" customFormat="false" ht="11.25" hidden="false" customHeight="false" outlineLevel="0" collapsed="false">
      <c r="C261" s="968"/>
      <c r="D261" s="968"/>
      <c r="E261" s="968"/>
      <c r="F261" s="968"/>
      <c r="G261" s="968"/>
      <c r="H261" s="968"/>
      <c r="I261" s="968"/>
      <c r="J261" s="968"/>
      <c r="K261" s="968"/>
      <c r="L261" s="968"/>
      <c r="M261" s="968"/>
      <c r="N261" s="968"/>
    </row>
    <row r="262" customFormat="false" ht="11.25" hidden="false" customHeight="false" outlineLevel="0" collapsed="false">
      <c r="C262" s="968"/>
      <c r="D262" s="968"/>
      <c r="E262" s="968"/>
      <c r="F262" s="968"/>
      <c r="G262" s="968"/>
      <c r="H262" s="968"/>
      <c r="I262" s="968"/>
      <c r="J262" s="968"/>
      <c r="K262" s="968"/>
      <c r="L262" s="968"/>
      <c r="M262" s="968"/>
      <c r="N262" s="968"/>
    </row>
    <row r="263" customFormat="false" ht="11.25" hidden="false" customHeight="false" outlineLevel="0" collapsed="false">
      <c r="C263" s="968"/>
      <c r="D263" s="968"/>
      <c r="E263" s="968"/>
      <c r="F263" s="968"/>
      <c r="G263" s="968"/>
      <c r="H263" s="968"/>
      <c r="I263" s="968"/>
      <c r="J263" s="968"/>
      <c r="K263" s="968"/>
      <c r="L263" s="968"/>
      <c r="M263" s="968"/>
      <c r="N263" s="968"/>
    </row>
    <row r="264" customFormat="false" ht="11.25" hidden="false" customHeight="false" outlineLevel="0" collapsed="false">
      <c r="C264" s="968"/>
      <c r="D264" s="968"/>
      <c r="E264" s="968"/>
      <c r="F264" s="968"/>
      <c r="G264" s="968"/>
      <c r="H264" s="968"/>
      <c r="I264" s="968"/>
      <c r="J264" s="968"/>
      <c r="K264" s="968"/>
      <c r="L264" s="968"/>
      <c r="M264" s="968"/>
      <c r="N264" s="968"/>
    </row>
    <row r="265" customFormat="false" ht="11.25" hidden="false" customHeight="false" outlineLevel="0" collapsed="false">
      <c r="C265" s="968"/>
      <c r="D265" s="968"/>
      <c r="E265" s="968"/>
      <c r="F265" s="968"/>
      <c r="G265" s="968"/>
      <c r="H265" s="968"/>
      <c r="I265" s="968"/>
      <c r="J265" s="968"/>
      <c r="K265" s="968"/>
      <c r="L265" s="968"/>
      <c r="M265" s="968"/>
      <c r="N265" s="968"/>
    </row>
    <row r="266" customFormat="false" ht="11.25" hidden="false" customHeight="false" outlineLevel="0" collapsed="false">
      <c r="C266" s="968"/>
      <c r="D266" s="968"/>
      <c r="E266" s="968"/>
      <c r="F266" s="968"/>
      <c r="G266" s="968"/>
      <c r="H266" s="968"/>
      <c r="I266" s="968"/>
      <c r="J266" s="968"/>
      <c r="K266" s="968"/>
      <c r="L266" s="968"/>
      <c r="M266" s="968"/>
      <c r="N266" s="968"/>
    </row>
    <row r="267" customFormat="false" ht="11.25" hidden="false" customHeight="false" outlineLevel="0" collapsed="false">
      <c r="C267" s="968"/>
      <c r="D267" s="968"/>
      <c r="E267" s="968"/>
      <c r="F267" s="968"/>
      <c r="G267" s="968"/>
      <c r="H267" s="968"/>
      <c r="I267" s="968"/>
      <c r="J267" s="968"/>
      <c r="K267" s="968"/>
      <c r="L267" s="968"/>
      <c r="M267" s="968"/>
      <c r="N267" s="968"/>
    </row>
    <row r="268" customFormat="false" ht="11.25" hidden="false" customHeight="false" outlineLevel="0" collapsed="false">
      <c r="C268" s="968"/>
      <c r="D268" s="968"/>
      <c r="E268" s="968"/>
      <c r="F268" s="968"/>
      <c r="G268" s="968"/>
      <c r="H268" s="968"/>
      <c r="I268" s="968"/>
      <c r="J268" s="968"/>
      <c r="K268" s="968"/>
      <c r="L268" s="968"/>
      <c r="M268" s="968"/>
      <c r="N268" s="968"/>
    </row>
    <row r="269" customFormat="false" ht="11.25" hidden="false" customHeight="false" outlineLevel="0" collapsed="false">
      <c r="C269" s="968"/>
      <c r="D269" s="968"/>
      <c r="E269" s="968"/>
      <c r="F269" s="968"/>
      <c r="G269" s="968"/>
      <c r="H269" s="968"/>
      <c r="I269" s="968"/>
      <c r="J269" s="968"/>
      <c r="K269" s="968"/>
      <c r="L269" s="968"/>
      <c r="M269" s="968"/>
      <c r="N269" s="968"/>
    </row>
    <row r="270" customFormat="false" ht="11.25" hidden="false" customHeight="false" outlineLevel="0" collapsed="false">
      <c r="C270" s="968"/>
      <c r="D270" s="968"/>
      <c r="E270" s="968"/>
      <c r="F270" s="968"/>
      <c r="G270" s="968"/>
      <c r="H270" s="968"/>
      <c r="I270" s="968"/>
      <c r="J270" s="968"/>
      <c r="K270" s="968"/>
      <c r="L270" s="968"/>
      <c r="M270" s="968"/>
      <c r="N270" s="968"/>
    </row>
    <row r="271" customFormat="false" ht="11.25" hidden="false" customHeight="false" outlineLevel="0" collapsed="false">
      <c r="C271" s="968"/>
      <c r="D271" s="968"/>
      <c r="E271" s="968"/>
      <c r="F271" s="968"/>
      <c r="G271" s="968"/>
      <c r="H271" s="968"/>
      <c r="I271" s="968"/>
      <c r="J271" s="968"/>
      <c r="K271" s="968"/>
      <c r="L271" s="968"/>
      <c r="M271" s="968"/>
      <c r="N271" s="968"/>
    </row>
    <row r="272" customFormat="false" ht="11.25" hidden="false" customHeight="false" outlineLevel="0" collapsed="false">
      <c r="C272" s="968"/>
      <c r="D272" s="968"/>
      <c r="E272" s="968"/>
      <c r="F272" s="968"/>
      <c r="G272" s="968"/>
      <c r="H272" s="968"/>
      <c r="I272" s="968"/>
      <c r="J272" s="968"/>
      <c r="K272" s="968"/>
      <c r="L272" s="968"/>
      <c r="M272" s="968"/>
      <c r="N272" s="968"/>
    </row>
    <row r="273" customFormat="false" ht="11.25" hidden="false" customHeight="false" outlineLevel="0" collapsed="false">
      <c r="C273" s="968"/>
      <c r="D273" s="968"/>
      <c r="E273" s="968"/>
      <c r="F273" s="968"/>
      <c r="G273" s="968"/>
      <c r="H273" s="968"/>
      <c r="I273" s="968"/>
      <c r="J273" s="968"/>
      <c r="K273" s="968"/>
      <c r="L273" s="968"/>
      <c r="M273" s="968"/>
      <c r="N273" s="968"/>
    </row>
    <row r="291" customFormat="false" ht="11.45" hidden="false" customHeight="true" outlineLevel="0" collapsed="false">
      <c r="F291" s="968"/>
      <c r="H291" s="1003"/>
      <c r="I291" s="968"/>
      <c r="J291" s="968"/>
      <c r="K291" s="968"/>
      <c r="L291" s="968"/>
      <c r="M291" s="968"/>
      <c r="N291" s="968"/>
    </row>
    <row r="292" customFormat="false" ht="11.45" hidden="false" customHeight="true" outlineLevel="0" collapsed="false">
      <c r="F292" s="968"/>
      <c r="H292" s="1003"/>
      <c r="I292" s="968"/>
      <c r="J292" s="968"/>
      <c r="K292" s="968"/>
      <c r="L292" s="968"/>
      <c r="M292" s="968"/>
      <c r="N292" s="968"/>
    </row>
    <row r="293" customFormat="false" ht="11.45" hidden="false" customHeight="true" outlineLevel="0" collapsed="false">
      <c r="F293" s="966"/>
      <c r="H293" s="1003"/>
      <c r="I293" s="968"/>
      <c r="J293" s="968"/>
      <c r="K293" s="968"/>
      <c r="L293" s="968"/>
      <c r="M293" s="968"/>
      <c r="N293" s="968"/>
    </row>
    <row r="294" customFormat="false" ht="11.45" hidden="false" customHeight="true" outlineLevel="0" collapsed="false">
      <c r="H294" s="1003"/>
      <c r="I294" s="968"/>
      <c r="J294" s="968"/>
      <c r="K294" s="968"/>
      <c r="L294" s="968"/>
      <c r="M294" s="968"/>
      <c r="N294" s="968"/>
    </row>
    <row r="295" customFormat="false" ht="11.25" hidden="false" customHeight="false" outlineLevel="0" collapsed="false">
      <c r="G295" s="1003"/>
      <c r="H295" s="1003"/>
      <c r="I295" s="968"/>
      <c r="J295" s="968"/>
      <c r="K295" s="968"/>
      <c r="L295" s="968"/>
      <c r="M295" s="968"/>
      <c r="N295" s="968"/>
    </row>
    <row r="296" customFormat="false" ht="12.75" hidden="false" customHeight="false" outlineLevel="0" collapsed="false">
      <c r="G296" s="0"/>
      <c r="I296" s="968"/>
      <c r="J296" s="968"/>
      <c r="K296" s="968"/>
      <c r="L296" s="968"/>
      <c r="M296" s="968"/>
      <c r="N296" s="968"/>
    </row>
    <row r="297" customFormat="false" ht="12.75" hidden="false" customHeight="false" outlineLevel="0" collapsed="false">
      <c r="G297" s="0"/>
      <c r="I297" s="968"/>
      <c r="J297" s="968"/>
      <c r="K297" s="968"/>
      <c r="L297" s="968"/>
      <c r="M297" s="968"/>
      <c r="N297" s="968"/>
    </row>
    <row r="298" customFormat="false" ht="12.75" hidden="false" customHeight="false" outlineLevel="0" collapsed="false">
      <c r="G298" s="0"/>
      <c r="I298" s="968"/>
      <c r="J298" s="968"/>
      <c r="K298" s="968"/>
      <c r="L298" s="968"/>
      <c r="M298" s="968"/>
      <c r="N298" s="968"/>
    </row>
    <row r="299" customFormat="false" ht="12.75" hidden="false" customHeight="false" outlineLevel="0" collapsed="false">
      <c r="G299" s="0"/>
      <c r="I299" s="968"/>
      <c r="J299" s="968"/>
      <c r="K299" s="968"/>
      <c r="L299" s="968"/>
      <c r="M299" s="968"/>
      <c r="N299" s="968"/>
    </row>
    <row r="300" customFormat="false" ht="12.75" hidden="false" customHeight="false" outlineLevel="0" collapsed="false">
      <c r="G300" s="0"/>
      <c r="I300" s="968"/>
      <c r="J300" s="968"/>
      <c r="K300" s="968"/>
      <c r="L300" s="968"/>
      <c r="M300" s="968"/>
      <c r="N300" s="968"/>
    </row>
    <row r="301" customFormat="false" ht="12.75" hidden="false" customHeight="false" outlineLevel="0" collapsed="false">
      <c r="G301" s="0"/>
      <c r="I301" s="968"/>
      <c r="J301" s="968"/>
      <c r="K301" s="968"/>
      <c r="L301" s="968"/>
      <c r="M301" s="968"/>
      <c r="N301" s="968"/>
    </row>
    <row r="302" customFormat="false" ht="12.75" hidden="false" customHeight="false" outlineLevel="0" collapsed="false">
      <c r="G302" s="0"/>
      <c r="I302" s="968"/>
      <c r="J302" s="968"/>
      <c r="K302" s="968"/>
      <c r="L302" s="968"/>
      <c r="M302" s="968"/>
      <c r="N302" s="968"/>
    </row>
    <row r="303" customFormat="false" ht="12.75" hidden="false" customHeight="false" outlineLevel="0" collapsed="false">
      <c r="A303" s="0"/>
      <c r="B303" s="0"/>
      <c r="C303" s="0"/>
      <c r="D303" s="0"/>
      <c r="E303" s="0"/>
      <c r="F303" s="0"/>
      <c r="G303" s="0"/>
      <c r="I303" s="968"/>
      <c r="J303" s="968"/>
      <c r="K303" s="968"/>
      <c r="L303" s="968"/>
      <c r="M303" s="968"/>
      <c r="N303" s="968"/>
    </row>
    <row r="304" customFormat="false" ht="12.75" hidden="false" customHeight="false" outlineLevel="0" collapsed="false">
      <c r="A304" s="0"/>
      <c r="B304" s="0"/>
      <c r="C304" s="0"/>
      <c r="D304" s="0"/>
      <c r="E304" s="0"/>
      <c r="F304" s="0"/>
      <c r="G304" s="0"/>
      <c r="I304" s="968"/>
      <c r="J304" s="968"/>
      <c r="K304" s="968"/>
      <c r="L304" s="968"/>
      <c r="M304" s="968"/>
      <c r="N304" s="968"/>
    </row>
    <row r="305" customFormat="false" ht="11.45" hidden="false" customHeight="true" outlineLevel="0" collapsed="false">
      <c r="A305" s="982"/>
      <c r="B305" s="982"/>
      <c r="C305" s="983"/>
      <c r="D305" s="983"/>
      <c r="E305" s="983"/>
      <c r="F305" s="1007"/>
      <c r="H305" s="1003"/>
      <c r="I305" s="968"/>
      <c r="J305" s="968"/>
      <c r="K305" s="968"/>
      <c r="L305" s="968"/>
      <c r="M305" s="968"/>
      <c r="N305" s="968"/>
      <c r="O305" s="968"/>
    </row>
    <row r="306" customFormat="false" ht="11.45" hidden="false" customHeight="true" outlineLevel="0" collapsed="false">
      <c r="A306" s="1029"/>
      <c r="B306" s="1029"/>
      <c r="C306" s="982"/>
      <c r="D306" s="982"/>
      <c r="E306" s="982"/>
      <c r="F306" s="1027"/>
      <c r="G306" s="1027"/>
      <c r="H306" s="1027"/>
      <c r="I306" s="1027"/>
      <c r="J306" s="1027"/>
      <c r="K306" s="1027"/>
      <c r="L306" s="1027"/>
      <c r="M306" s="1027"/>
      <c r="N306" s="1027"/>
      <c r="O306" s="1027"/>
      <c r="P306" s="1027"/>
      <c r="Q306" s="1027"/>
      <c r="R306" s="1027"/>
      <c r="S306" s="1027"/>
      <c r="T306" s="1027"/>
      <c r="U306" s="1027"/>
      <c r="V306" s="1027"/>
      <c r="W306" s="1027"/>
      <c r="X306" s="1027"/>
      <c r="Y306" s="1027"/>
      <c r="Z306" s="1027"/>
      <c r="AA306" s="1027"/>
      <c r="AB306" s="1027"/>
    </row>
    <row r="307" customFormat="false" ht="11.45" hidden="false" customHeight="true" outlineLevel="0" collapsed="false">
      <c r="A307" s="1029"/>
      <c r="B307" s="1029"/>
      <c r="C307" s="982"/>
      <c r="D307" s="982"/>
      <c r="E307" s="982"/>
      <c r="F307" s="1028"/>
      <c r="G307" s="1028"/>
      <c r="H307" s="1028"/>
      <c r="I307" s="1028"/>
      <c r="J307" s="1028"/>
      <c r="K307" s="1028"/>
      <c r="L307" s="1028"/>
      <c r="M307" s="1028"/>
      <c r="N307" s="1028"/>
      <c r="O307" s="1028"/>
      <c r="P307" s="1028"/>
      <c r="Q307" s="1028"/>
      <c r="R307" s="1028"/>
      <c r="S307" s="1028"/>
      <c r="T307" s="1028"/>
      <c r="U307" s="1028"/>
      <c r="V307" s="1028"/>
      <c r="W307" s="1028"/>
      <c r="X307" s="1028"/>
      <c r="Y307" s="1028"/>
      <c r="Z307" s="1028"/>
      <c r="AA307" s="1028"/>
      <c r="AB307" s="1028"/>
    </row>
    <row r="308" customFormat="false" ht="11.45" hidden="false" customHeight="true" outlineLevel="0" collapsed="false">
      <c r="A308" s="982"/>
      <c r="B308" s="982"/>
      <c r="C308" s="983"/>
      <c r="D308" s="983"/>
      <c r="E308" s="983"/>
      <c r="F308" s="1007"/>
      <c r="H308" s="1003"/>
      <c r="I308" s="968"/>
      <c r="J308" s="968"/>
      <c r="K308" s="968"/>
      <c r="L308" s="968"/>
      <c r="M308" s="968"/>
      <c r="N308" s="968"/>
      <c r="O308" s="968"/>
    </row>
    <row r="309" customFormat="false" ht="11.45" hidden="false" customHeight="true" outlineLevel="0" collapsed="false">
      <c r="A309" s="982"/>
      <c r="B309" s="982"/>
      <c r="C309" s="983"/>
      <c r="D309" s="983"/>
      <c r="E309" s="983"/>
      <c r="F309" s="1029"/>
      <c r="G309" s="1029"/>
      <c r="H309" s="1029"/>
      <c r="I309" s="1029"/>
      <c r="J309" s="1029"/>
      <c r="K309" s="1029"/>
      <c r="L309" s="1029"/>
      <c r="M309" s="1029"/>
      <c r="N309" s="1029"/>
      <c r="O309" s="1029"/>
      <c r="P309" s="1029"/>
      <c r="Q309" s="1029"/>
      <c r="R309" s="1029"/>
      <c r="S309" s="1029"/>
      <c r="T309" s="1029"/>
      <c r="U309" s="1029"/>
      <c r="V309" s="1029"/>
      <c r="W309" s="1029"/>
      <c r="X309" s="1029"/>
      <c r="Y309" s="1029"/>
      <c r="Z309" s="1029"/>
      <c r="AA309" s="1029"/>
      <c r="AB309" s="1029"/>
    </row>
    <row r="310" customFormat="false" ht="11.45" hidden="false" customHeight="true" outlineLevel="0" collapsed="false">
      <c r="A310" s="982"/>
      <c r="B310" s="982"/>
      <c r="C310" s="982"/>
      <c r="D310" s="982"/>
      <c r="E310" s="982"/>
      <c r="F310" s="1027"/>
      <c r="G310" s="1027"/>
      <c r="H310" s="1027"/>
      <c r="I310" s="1027"/>
      <c r="J310" s="1027"/>
      <c r="K310" s="1027"/>
      <c r="L310" s="1027"/>
      <c r="M310" s="1027"/>
      <c r="N310" s="1027"/>
      <c r="O310" s="1027"/>
      <c r="P310" s="1027"/>
      <c r="Q310" s="1027"/>
      <c r="R310" s="1027"/>
      <c r="S310" s="1027"/>
      <c r="T310" s="1027"/>
      <c r="U310" s="1027"/>
      <c r="V310" s="1027"/>
      <c r="W310" s="1027"/>
      <c r="X310" s="1027"/>
      <c r="Y310" s="1027"/>
      <c r="Z310" s="1027"/>
      <c r="AA310" s="1027"/>
      <c r="AB310" s="1027"/>
    </row>
    <row r="311" customFormat="false" ht="11.45" hidden="false" customHeight="true" outlineLevel="0" collapsed="false">
      <c r="A311" s="982"/>
      <c r="B311" s="982"/>
      <c r="C311" s="983"/>
      <c r="D311" s="983"/>
      <c r="E311" s="983"/>
      <c r="F311" s="1029"/>
      <c r="G311" s="1030"/>
      <c r="H311" s="1030"/>
      <c r="I311" s="1030"/>
      <c r="J311" s="1030"/>
      <c r="K311" s="1030"/>
      <c r="L311" s="1030"/>
      <c r="M311" s="1030"/>
      <c r="N311" s="1030"/>
      <c r="O311" s="1030"/>
      <c r="P311" s="1030"/>
      <c r="Q311" s="1030"/>
      <c r="R311" s="1030"/>
      <c r="S311" s="1030"/>
      <c r="T311" s="1030"/>
      <c r="U311" s="1030"/>
      <c r="V311" s="1030"/>
      <c r="W311" s="1030"/>
      <c r="X311" s="1030"/>
      <c r="Y311" s="1030"/>
      <c r="Z311" s="1030"/>
      <c r="AA311" s="1030"/>
      <c r="AB311" s="1030"/>
    </row>
    <row r="312" customFormat="false" ht="11.45" hidden="false" customHeight="true" outlineLevel="0" collapsed="false">
      <c r="A312" s="982"/>
      <c r="B312" s="982"/>
      <c r="C312" s="982"/>
      <c r="D312" s="982"/>
      <c r="E312" s="982"/>
      <c r="F312" s="1029"/>
      <c r="G312" s="1030"/>
      <c r="H312" s="1030"/>
      <c r="I312" s="1030"/>
      <c r="J312" s="1030"/>
      <c r="K312" s="1030"/>
      <c r="L312" s="1030"/>
      <c r="M312" s="1030"/>
      <c r="N312" s="1030"/>
      <c r="O312" s="1030"/>
      <c r="P312" s="1030"/>
      <c r="Q312" s="1030"/>
      <c r="R312" s="1030"/>
      <c r="S312" s="1030"/>
      <c r="T312" s="1030"/>
      <c r="U312" s="1030"/>
      <c r="V312" s="1030"/>
      <c r="W312" s="1030"/>
      <c r="X312" s="1030"/>
      <c r="Y312" s="1030"/>
      <c r="Z312" s="1030"/>
      <c r="AA312" s="1030"/>
      <c r="AB312" s="1030"/>
    </row>
    <row r="313" customFormat="false" ht="11.45" hidden="false" customHeight="true" outlineLevel="0" collapsed="false">
      <c r="A313" s="982"/>
      <c r="B313" s="982"/>
      <c r="C313" s="982"/>
      <c r="D313" s="982"/>
      <c r="E313" s="982"/>
      <c r="F313" s="1029"/>
      <c r="G313" s="1030"/>
      <c r="H313" s="1030"/>
      <c r="I313" s="1030"/>
      <c r="J313" s="1030"/>
      <c r="K313" s="1030"/>
      <c r="L313" s="1030"/>
      <c r="M313" s="1030"/>
      <c r="N313" s="1030"/>
      <c r="O313" s="1030"/>
      <c r="P313" s="1030"/>
      <c r="Q313" s="1030"/>
      <c r="R313" s="1030"/>
      <c r="S313" s="1030"/>
      <c r="T313" s="1030"/>
      <c r="U313" s="1030"/>
      <c r="V313" s="1030"/>
      <c r="W313" s="1030"/>
      <c r="X313" s="1030"/>
      <c r="Y313" s="1030"/>
      <c r="Z313" s="1030"/>
      <c r="AA313" s="1030"/>
      <c r="AB313" s="1030"/>
    </row>
  </sheetData>
  <printOptions headings="false" gridLines="false" gridLinesSet="true" horizontalCentered="false" verticalCentered="false"/>
  <pageMargins left="0.390277777777778" right="0.240277777777778" top="0.984027777777778" bottom="0.984027777777778"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&amp;L&amp;D   &amp;T&amp;R&amp;F
&amp;A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3" activeCellId="0" sqref="A13"/>
    </sheetView>
  </sheetViews>
  <sheetFormatPr defaultColWidth="8.70703125" defaultRowHeight="12.75" customHeight="true" zeroHeight="false" outlineLevelRow="0" outlineLevelCol="0"/>
  <cols>
    <col collapsed="false" customWidth="true" hidden="false" outlineLevel="0" max="1" min="1" style="5" width="27.28"/>
    <col collapsed="false" customWidth="true" hidden="false" outlineLevel="0" max="2" min="2" style="5" width="2.13"/>
    <col collapsed="false" customWidth="true" hidden="false" outlineLevel="0" max="4" min="3" style="5" width="8.99"/>
    <col collapsed="false" customWidth="true" hidden="false" outlineLevel="0" max="5" min="5" style="5" width="9.85"/>
    <col collapsed="false" customWidth="true" hidden="false" outlineLevel="0" max="6" min="6" style="5" width="8.99"/>
    <col collapsed="false" customWidth="true" hidden="false" outlineLevel="0" max="7" min="7" style="5" width="10.85"/>
    <col collapsed="false" customWidth="true" hidden="false" outlineLevel="0" max="8" min="8" style="5" width="10.28"/>
    <col collapsed="false" customWidth="true" hidden="false" outlineLevel="0" max="22" min="9" style="5" width="8.99"/>
    <col collapsed="false" customWidth="true" hidden="false" outlineLevel="0" max="23" min="23" style="5" width="7.42"/>
    <col collapsed="false" customWidth="true" hidden="false" outlineLevel="0" max="24" min="24" style="5" width="7.14"/>
    <col collapsed="false" customWidth="true" hidden="false" outlineLevel="0" max="25" min="25" style="5" width="6.7"/>
    <col collapsed="false" customWidth="true" hidden="false" outlineLevel="0" max="27" min="26" style="5" width="7.14"/>
    <col collapsed="false" customWidth="false" hidden="false" outlineLevel="0" max="31" min="28" style="5" width="8.7"/>
    <col collapsed="false" customWidth="false" hidden="false" outlineLevel="0" max="257" min="32" style="1032" width="8.7"/>
  </cols>
  <sheetData>
    <row r="1" customFormat="false" ht="20.25" hidden="false" customHeight="false" outlineLevel="0" collapsed="false">
      <c r="A1" s="368" t="str">
        <f aca="false">'Project Assumptions'!$A$2</f>
        <v>CALEDONIA, Lowndes County, MS</v>
      </c>
      <c r="B1" s="369"/>
      <c r="C1" s="369"/>
      <c r="D1" s="370"/>
    </row>
    <row r="2" customFormat="false" ht="12.75" hidden="false" customHeight="false" outlineLevel="0" collapsed="false">
      <c r="A2" s="1033" t="s">
        <v>695</v>
      </c>
      <c r="B2" s="372"/>
      <c r="C2" s="372"/>
      <c r="D2" s="374"/>
    </row>
    <row r="3" customFormat="false" ht="11.25" hidden="false" customHeight="true" outlineLevel="0" collapsed="false">
      <c r="A3" s="54"/>
      <c r="B3" s="54"/>
      <c r="C3" s="1034"/>
      <c r="D3" s="1034"/>
      <c r="E3" s="1034"/>
      <c r="F3" s="1034"/>
      <c r="G3" s="1034"/>
      <c r="H3" s="1034"/>
      <c r="I3" s="1034"/>
      <c r="J3" s="1034"/>
      <c r="K3" s="1034"/>
      <c r="L3" s="1034"/>
      <c r="M3" s="1034"/>
      <c r="N3" s="1034"/>
      <c r="O3" s="1034"/>
      <c r="P3" s="1034"/>
      <c r="Q3" s="54"/>
      <c r="R3" s="54"/>
      <c r="S3" s="54"/>
      <c r="T3" s="54"/>
      <c r="U3" s="54"/>
      <c r="V3" s="54"/>
      <c r="W3" s="54"/>
      <c r="X3" s="54"/>
      <c r="Y3" s="54"/>
      <c r="Z3" s="54"/>
      <c r="AA3" s="54"/>
      <c r="AB3" s="54"/>
      <c r="AC3" s="54"/>
      <c r="AD3" s="54"/>
      <c r="AE3" s="54"/>
      <c r="AF3" s="1035"/>
      <c r="AG3" s="1035"/>
      <c r="AH3" s="1035"/>
      <c r="AI3" s="1035"/>
      <c r="AJ3" s="1035"/>
      <c r="AK3" s="1035"/>
      <c r="AL3" s="1035"/>
      <c r="AM3" s="1035"/>
      <c r="AN3" s="1035"/>
      <c r="AO3" s="1035"/>
      <c r="AP3" s="1035"/>
      <c r="AQ3" s="1035"/>
      <c r="AR3" s="1035"/>
      <c r="AS3" s="1035"/>
      <c r="AT3" s="1035"/>
      <c r="AU3" s="1035"/>
      <c r="AV3" s="1035"/>
      <c r="AW3" s="1035"/>
      <c r="AX3" s="1035"/>
      <c r="AY3" s="1035"/>
      <c r="AZ3" s="1035"/>
      <c r="BA3" s="1035"/>
      <c r="BB3" s="1035"/>
      <c r="BC3" s="1035"/>
      <c r="BD3" s="1035"/>
      <c r="BE3" s="1035"/>
      <c r="BF3" s="1035"/>
      <c r="BG3" s="1035"/>
      <c r="BH3" s="1035"/>
      <c r="BI3" s="1035"/>
      <c r="BJ3" s="1035"/>
      <c r="BK3" s="1035"/>
      <c r="BL3" s="1035"/>
      <c r="BM3" s="1035"/>
      <c r="BN3" s="1035"/>
      <c r="BO3" s="1035"/>
      <c r="BP3" s="1035"/>
      <c r="BQ3" s="1035"/>
      <c r="BR3" s="1035"/>
      <c r="BS3" s="1035"/>
      <c r="BT3" s="1035"/>
      <c r="BU3" s="1035"/>
      <c r="BV3" s="1035"/>
      <c r="BW3" s="1035"/>
      <c r="BX3" s="1035"/>
      <c r="BY3" s="1035"/>
      <c r="BZ3" s="1035"/>
      <c r="CA3" s="1035"/>
      <c r="CB3" s="1035"/>
      <c r="CC3" s="1035"/>
      <c r="CD3" s="1035"/>
      <c r="CE3" s="1035"/>
      <c r="CF3" s="1035"/>
      <c r="CG3" s="1035"/>
      <c r="CH3" s="1035"/>
      <c r="CI3" s="1035"/>
      <c r="CJ3" s="1035"/>
      <c r="CK3" s="1035"/>
      <c r="CL3" s="1035"/>
      <c r="CM3" s="1035"/>
      <c r="CN3" s="1035"/>
      <c r="CO3" s="1035"/>
      <c r="CP3" s="1035"/>
      <c r="CQ3" s="1035"/>
      <c r="CR3" s="1035"/>
      <c r="CS3" s="1035"/>
      <c r="CT3" s="1035"/>
      <c r="CU3" s="1035"/>
      <c r="CV3" s="1035"/>
      <c r="CW3" s="1035"/>
      <c r="CX3" s="1035"/>
      <c r="CY3" s="1035"/>
      <c r="CZ3" s="1035"/>
      <c r="DA3" s="1035"/>
      <c r="DB3" s="1035"/>
      <c r="DC3" s="1035"/>
      <c r="DD3" s="1035"/>
      <c r="DE3" s="1035"/>
      <c r="DF3" s="1035"/>
      <c r="DG3" s="1035"/>
      <c r="DH3" s="1035"/>
      <c r="DI3" s="1035"/>
      <c r="DJ3" s="1035"/>
      <c r="DK3" s="1035"/>
      <c r="DL3" s="1035"/>
      <c r="DM3" s="1035"/>
      <c r="DN3" s="1035"/>
      <c r="DO3" s="1035"/>
      <c r="DP3" s="1035"/>
      <c r="DQ3" s="1035"/>
      <c r="DR3" s="1035"/>
      <c r="DS3" s="1035"/>
      <c r="DT3" s="1035"/>
      <c r="DU3" s="1035"/>
      <c r="DV3" s="1035"/>
      <c r="DW3" s="1035"/>
      <c r="DX3" s="1035"/>
      <c r="DY3" s="1035"/>
      <c r="DZ3" s="1035"/>
      <c r="EA3" s="1035"/>
      <c r="EB3" s="1035"/>
      <c r="EC3" s="1035"/>
      <c r="ED3" s="1035"/>
      <c r="EE3" s="1035"/>
      <c r="EF3" s="1035"/>
      <c r="EG3" s="1035"/>
      <c r="EH3" s="1035"/>
      <c r="EI3" s="1035"/>
      <c r="EJ3" s="1035"/>
      <c r="EK3" s="1035"/>
      <c r="EL3" s="1035"/>
      <c r="EM3" s="1035"/>
      <c r="EN3" s="1035"/>
      <c r="EO3" s="1035"/>
      <c r="EP3" s="1035"/>
      <c r="EQ3" s="1035"/>
      <c r="ER3" s="1035"/>
      <c r="ES3" s="1035"/>
      <c r="ET3" s="1035"/>
      <c r="EU3" s="1035"/>
      <c r="EV3" s="1035"/>
      <c r="EW3" s="1035"/>
      <c r="EX3" s="1035"/>
      <c r="EY3" s="1035"/>
      <c r="EZ3" s="1035"/>
      <c r="FA3" s="1035"/>
      <c r="FB3" s="1035"/>
      <c r="FC3" s="1035"/>
      <c r="FD3" s="1035"/>
      <c r="FE3" s="1035"/>
      <c r="FF3" s="1035"/>
      <c r="FG3" s="1035"/>
      <c r="FH3" s="1035"/>
      <c r="FI3" s="1035"/>
      <c r="FJ3" s="1035"/>
      <c r="FK3" s="1035"/>
      <c r="FL3" s="1035"/>
      <c r="FM3" s="1035"/>
      <c r="FN3" s="1035"/>
      <c r="FO3" s="1035"/>
      <c r="FP3" s="1035"/>
      <c r="FQ3" s="1035"/>
      <c r="FR3" s="1035"/>
      <c r="FS3" s="1035"/>
      <c r="FT3" s="1035"/>
      <c r="FU3" s="1035"/>
      <c r="FV3" s="1035"/>
      <c r="FW3" s="1035"/>
      <c r="FX3" s="1035"/>
      <c r="FY3" s="1035"/>
      <c r="FZ3" s="1035"/>
      <c r="GA3" s="1035"/>
      <c r="GB3" s="1035"/>
      <c r="GC3" s="1035"/>
      <c r="GD3" s="1035"/>
      <c r="GE3" s="1035"/>
      <c r="GF3" s="1035"/>
      <c r="GG3" s="1035"/>
      <c r="GH3" s="1035"/>
      <c r="GI3" s="1035"/>
      <c r="GJ3" s="1035"/>
      <c r="GK3" s="1035"/>
      <c r="GL3" s="1035"/>
      <c r="GM3" s="1035"/>
      <c r="GN3" s="1035"/>
      <c r="GO3" s="1035"/>
      <c r="GP3" s="1035"/>
      <c r="GQ3" s="1035"/>
      <c r="GR3" s="1035"/>
      <c r="GS3" s="1035"/>
      <c r="GT3" s="1035"/>
      <c r="GU3" s="1035"/>
      <c r="GV3" s="1035"/>
      <c r="GW3" s="1035"/>
      <c r="GX3" s="1035"/>
      <c r="GY3" s="1035"/>
      <c r="GZ3" s="1035"/>
      <c r="HA3" s="1035"/>
      <c r="HB3" s="1035"/>
      <c r="HC3" s="1035"/>
      <c r="HD3" s="1035"/>
      <c r="HE3" s="1035"/>
      <c r="HF3" s="1035"/>
      <c r="HG3" s="1035"/>
      <c r="HH3" s="1035"/>
      <c r="HI3" s="1035"/>
      <c r="HJ3" s="1035"/>
      <c r="HK3" s="1035"/>
      <c r="HL3" s="1035"/>
      <c r="HM3" s="1035"/>
      <c r="HN3" s="1035"/>
      <c r="HO3" s="1035"/>
      <c r="HP3" s="1035"/>
      <c r="HQ3" s="1035"/>
      <c r="HR3" s="1035"/>
      <c r="HS3" s="1035"/>
      <c r="HT3" s="1035"/>
      <c r="HU3" s="1035"/>
      <c r="HV3" s="1035"/>
      <c r="HW3" s="1035"/>
      <c r="HX3" s="1035"/>
      <c r="HY3" s="1035"/>
      <c r="HZ3" s="1035"/>
      <c r="IA3" s="1035"/>
      <c r="IB3" s="1035"/>
      <c r="IC3" s="1035"/>
      <c r="ID3" s="1035"/>
      <c r="IE3" s="1035"/>
      <c r="IF3" s="1035"/>
      <c r="IG3" s="1035"/>
      <c r="IH3" s="1035"/>
      <c r="II3" s="1035"/>
      <c r="IJ3" s="1035"/>
      <c r="IK3" s="1035"/>
      <c r="IL3" s="1035"/>
      <c r="IM3" s="1035"/>
      <c r="IN3" s="1035"/>
      <c r="IO3" s="1035"/>
      <c r="IP3" s="1035"/>
      <c r="IQ3" s="1035"/>
      <c r="IR3" s="1035"/>
      <c r="IS3" s="1035"/>
      <c r="IT3" s="1035"/>
      <c r="IU3" s="1035"/>
      <c r="IV3" s="1035"/>
      <c r="IW3" s="1035"/>
    </row>
    <row r="4" customFormat="false" ht="11.25" hidden="false" customHeight="true" outlineLevel="0" collapsed="false">
      <c r="A4" s="1"/>
      <c r="B4" s="1"/>
      <c r="C4" s="450" t="n">
        <f aca="false">Operations!C3</f>
        <v>1</v>
      </c>
      <c r="D4" s="450" t="n">
        <f aca="false">Operations!D3</f>
        <v>2</v>
      </c>
      <c r="E4" s="450" t="n">
        <f aca="false">Operations!E3</f>
        <v>3</v>
      </c>
      <c r="F4" s="450" t="n">
        <f aca="false">Operations!F3</f>
        <v>4</v>
      </c>
      <c r="G4" s="450" t="n">
        <f aca="false">Operations!G3</f>
        <v>5</v>
      </c>
      <c r="H4" s="450" t="n">
        <f aca="false">Operations!H3</f>
        <v>6</v>
      </c>
      <c r="I4" s="450" t="n">
        <f aca="false">Operations!I3</f>
        <v>7</v>
      </c>
      <c r="J4" s="450" t="n">
        <f aca="false">Operations!J3</f>
        <v>8</v>
      </c>
      <c r="K4" s="450" t="n">
        <f aca="false">Operations!K3</f>
        <v>9</v>
      </c>
      <c r="L4" s="450" t="n">
        <f aca="false">Operations!L3</f>
        <v>10</v>
      </c>
      <c r="M4" s="450" t="n">
        <f aca="false">Operations!M3</f>
        <v>11</v>
      </c>
      <c r="N4" s="450" t="n">
        <f aca="false">Operations!N3</f>
        <v>12</v>
      </c>
      <c r="O4" s="450" t="n">
        <f aca="false">Operations!O3</f>
        <v>13</v>
      </c>
      <c r="P4" s="450" t="n">
        <f aca="false">Operations!P3</f>
        <v>14</v>
      </c>
      <c r="Q4" s="450" t="n">
        <f aca="false">Operations!Q3</f>
        <v>15</v>
      </c>
      <c r="R4" s="450" t="n">
        <f aca="false">Operations!R3</f>
        <v>16</v>
      </c>
      <c r="S4" s="450" t="n">
        <f aca="false">Operations!S3</f>
        <v>17</v>
      </c>
      <c r="T4" s="450" t="n">
        <f aca="false">Operations!T3</f>
        <v>18</v>
      </c>
      <c r="U4" s="450" t="n">
        <f aca="false">Operations!U3</f>
        <v>19</v>
      </c>
      <c r="V4" s="450" t="n">
        <f aca="false">Operations!V3</f>
        <v>20</v>
      </c>
      <c r="W4" s="450" t="n">
        <f aca="false">Operations!W3</f>
        <v>21</v>
      </c>
      <c r="X4" s="450"/>
      <c r="Y4" s="450"/>
      <c r="Z4" s="450"/>
      <c r="AA4" s="329"/>
      <c r="AB4" s="1"/>
      <c r="AC4" s="1"/>
      <c r="AD4" s="1"/>
      <c r="AE4" s="1"/>
      <c r="AF4" s="548"/>
      <c r="AG4" s="548"/>
      <c r="AH4" s="548"/>
      <c r="AI4" s="548"/>
      <c r="AJ4" s="548"/>
      <c r="AK4" s="548"/>
      <c r="AL4" s="548"/>
      <c r="AM4" s="548"/>
      <c r="AN4" s="548"/>
      <c r="AO4" s="548"/>
      <c r="AP4" s="548"/>
      <c r="AQ4" s="548"/>
      <c r="AR4" s="548"/>
      <c r="AS4" s="548"/>
      <c r="AT4" s="548"/>
      <c r="AU4" s="548"/>
      <c r="AV4" s="548"/>
      <c r="AW4" s="548"/>
      <c r="AX4" s="548"/>
      <c r="AY4" s="548"/>
      <c r="AZ4" s="548"/>
      <c r="BA4" s="548"/>
      <c r="BB4" s="548"/>
      <c r="BC4" s="548"/>
      <c r="BD4" s="548"/>
      <c r="BE4" s="548"/>
      <c r="BF4" s="548"/>
      <c r="BG4" s="548"/>
      <c r="BH4" s="548"/>
      <c r="BI4" s="548"/>
      <c r="BJ4" s="548"/>
      <c r="BK4" s="548"/>
      <c r="BL4" s="548"/>
      <c r="BM4" s="548"/>
      <c r="BN4" s="548"/>
      <c r="BO4" s="548"/>
      <c r="BP4" s="548"/>
      <c r="BQ4" s="548"/>
      <c r="BR4" s="548"/>
      <c r="BS4" s="548"/>
      <c r="BT4" s="548"/>
      <c r="BU4" s="548"/>
      <c r="BV4" s="548"/>
      <c r="BW4" s="548"/>
      <c r="BX4" s="548"/>
      <c r="BY4" s="548"/>
      <c r="BZ4" s="548"/>
      <c r="CA4" s="548"/>
      <c r="CB4" s="548"/>
      <c r="CC4" s="548"/>
      <c r="CD4" s="548"/>
      <c r="CE4" s="548"/>
      <c r="CF4" s="548"/>
      <c r="CG4" s="548"/>
      <c r="CH4" s="548"/>
      <c r="CI4" s="548"/>
      <c r="CJ4" s="548"/>
      <c r="CK4" s="548"/>
      <c r="CL4" s="548"/>
      <c r="CM4" s="548"/>
      <c r="CN4" s="548"/>
      <c r="CO4" s="548"/>
      <c r="CP4" s="548"/>
      <c r="CQ4" s="548"/>
      <c r="CR4" s="548"/>
      <c r="CS4" s="548"/>
      <c r="CT4" s="548"/>
      <c r="CU4" s="548"/>
      <c r="CV4" s="548"/>
      <c r="CW4" s="548"/>
      <c r="CX4" s="548"/>
      <c r="CY4" s="548"/>
      <c r="CZ4" s="548"/>
      <c r="DA4" s="548"/>
      <c r="DB4" s="548"/>
      <c r="DC4" s="548"/>
      <c r="DD4" s="548"/>
      <c r="DE4" s="548"/>
      <c r="DF4" s="548"/>
      <c r="DG4" s="548"/>
      <c r="DH4" s="548"/>
      <c r="DI4" s="548"/>
      <c r="DJ4" s="548"/>
      <c r="DK4" s="548"/>
      <c r="DL4" s="548"/>
      <c r="DM4" s="548"/>
      <c r="DN4" s="548"/>
      <c r="DO4" s="548"/>
      <c r="DP4" s="548"/>
      <c r="DQ4" s="548"/>
      <c r="DR4" s="548"/>
      <c r="DS4" s="548"/>
      <c r="DT4" s="548"/>
      <c r="DU4" s="548"/>
      <c r="DV4" s="548"/>
      <c r="DW4" s="548"/>
      <c r="DX4" s="548"/>
      <c r="DY4" s="548"/>
      <c r="DZ4" s="548"/>
      <c r="EA4" s="548"/>
      <c r="EB4" s="548"/>
      <c r="EC4" s="548"/>
      <c r="ED4" s="548"/>
      <c r="EE4" s="548"/>
      <c r="EF4" s="548"/>
      <c r="EG4" s="548"/>
      <c r="EH4" s="548"/>
      <c r="EI4" s="548"/>
      <c r="EJ4" s="548"/>
      <c r="EK4" s="548"/>
      <c r="EL4" s="548"/>
      <c r="EM4" s="548"/>
      <c r="EN4" s="548"/>
      <c r="EO4" s="548"/>
      <c r="EP4" s="548"/>
      <c r="EQ4" s="548"/>
      <c r="ER4" s="548"/>
      <c r="ES4" s="548"/>
      <c r="ET4" s="548"/>
      <c r="EU4" s="548"/>
      <c r="EV4" s="548"/>
      <c r="EW4" s="548"/>
      <c r="EX4" s="548"/>
      <c r="EY4" s="548"/>
      <c r="EZ4" s="548"/>
      <c r="FA4" s="548"/>
      <c r="FB4" s="548"/>
      <c r="FC4" s="548"/>
      <c r="FD4" s="548"/>
      <c r="FE4" s="548"/>
      <c r="FF4" s="548"/>
      <c r="FG4" s="548"/>
      <c r="FH4" s="548"/>
      <c r="FI4" s="548"/>
      <c r="FJ4" s="548"/>
      <c r="FK4" s="548"/>
      <c r="FL4" s="548"/>
      <c r="FM4" s="548"/>
      <c r="FN4" s="548"/>
      <c r="FO4" s="548"/>
      <c r="FP4" s="548"/>
      <c r="FQ4" s="548"/>
      <c r="FR4" s="548"/>
      <c r="FS4" s="548"/>
      <c r="FT4" s="548"/>
      <c r="FU4" s="548"/>
      <c r="FV4" s="548"/>
      <c r="FW4" s="548"/>
      <c r="FX4" s="548"/>
      <c r="FY4" s="548"/>
      <c r="FZ4" s="548"/>
      <c r="GA4" s="548"/>
      <c r="GB4" s="548"/>
      <c r="GC4" s="548"/>
      <c r="GD4" s="548"/>
      <c r="GE4" s="548"/>
      <c r="GF4" s="548"/>
      <c r="GG4" s="548"/>
      <c r="GH4" s="548"/>
      <c r="GI4" s="548"/>
      <c r="GJ4" s="548"/>
      <c r="GK4" s="548"/>
      <c r="GL4" s="548"/>
      <c r="GM4" s="548"/>
      <c r="GN4" s="548"/>
      <c r="GO4" s="548"/>
      <c r="GP4" s="548"/>
      <c r="GQ4" s="548"/>
      <c r="GR4" s="548"/>
      <c r="GS4" s="548"/>
      <c r="GT4" s="548"/>
      <c r="GU4" s="548"/>
      <c r="GV4" s="548"/>
      <c r="GW4" s="548"/>
      <c r="GX4" s="548"/>
      <c r="GY4" s="548"/>
      <c r="GZ4" s="548"/>
      <c r="HA4" s="548"/>
      <c r="HB4" s="548"/>
      <c r="HC4" s="548"/>
      <c r="HD4" s="548"/>
      <c r="HE4" s="548"/>
      <c r="HF4" s="548"/>
      <c r="HG4" s="548"/>
      <c r="HH4" s="548"/>
      <c r="HI4" s="548"/>
      <c r="HJ4" s="548"/>
      <c r="HK4" s="548"/>
      <c r="HL4" s="548"/>
      <c r="HM4" s="548"/>
      <c r="HN4" s="548"/>
      <c r="HO4" s="548"/>
      <c r="HP4" s="548"/>
      <c r="HQ4" s="548"/>
      <c r="HR4" s="548"/>
      <c r="HS4" s="548"/>
      <c r="HT4" s="548"/>
      <c r="HU4" s="548"/>
      <c r="HV4" s="548"/>
      <c r="HW4" s="548"/>
      <c r="HX4" s="548"/>
      <c r="HY4" s="548"/>
      <c r="HZ4" s="548"/>
      <c r="IA4" s="548"/>
      <c r="IB4" s="548"/>
      <c r="IC4" s="548"/>
      <c r="ID4" s="548"/>
      <c r="IE4" s="548"/>
      <c r="IF4" s="548"/>
      <c r="IG4" s="548"/>
      <c r="IH4" s="548"/>
      <c r="II4" s="548"/>
      <c r="IJ4" s="548"/>
      <c r="IK4" s="548"/>
      <c r="IL4" s="548"/>
      <c r="IM4" s="548"/>
      <c r="IN4" s="548"/>
      <c r="IO4" s="548"/>
      <c r="IP4" s="548"/>
      <c r="IQ4" s="548"/>
      <c r="IR4" s="548"/>
      <c r="IS4" s="548"/>
      <c r="IT4" s="548"/>
      <c r="IU4" s="548"/>
      <c r="IV4" s="548"/>
      <c r="IW4" s="548"/>
    </row>
    <row r="5" customFormat="false" ht="11.25" hidden="false" customHeight="true" outlineLevel="0" collapsed="false">
      <c r="A5" s="562"/>
      <c r="B5" s="380"/>
      <c r="C5" s="381" t="n">
        <f aca="false">+YEAR('Project Assumptions'!$I$17)</f>
        <v>1999</v>
      </c>
      <c r="D5" s="381" t="n">
        <f aca="false">C5+1</f>
        <v>2000</v>
      </c>
      <c r="E5" s="381" t="n">
        <f aca="false">D5+1</f>
        <v>2001</v>
      </c>
      <c r="F5" s="381" t="n">
        <f aca="false">E5+1</f>
        <v>2002</v>
      </c>
      <c r="G5" s="381" t="n">
        <f aca="false">F5+1</f>
        <v>2003</v>
      </c>
      <c r="H5" s="381" t="n">
        <f aca="false">G5+1</f>
        <v>2004</v>
      </c>
      <c r="I5" s="381" t="n">
        <f aca="false">H5+1</f>
        <v>2005</v>
      </c>
      <c r="J5" s="381" t="n">
        <f aca="false">I5+1</f>
        <v>2006</v>
      </c>
      <c r="K5" s="381" t="n">
        <f aca="false">J5+1</f>
        <v>2007</v>
      </c>
      <c r="L5" s="381" t="n">
        <f aca="false">K5+1</f>
        <v>2008</v>
      </c>
      <c r="M5" s="381" t="n">
        <f aca="false">L5+1</f>
        <v>2009</v>
      </c>
      <c r="N5" s="381" t="n">
        <f aca="false">M5+1</f>
        <v>2010</v>
      </c>
      <c r="O5" s="381" t="n">
        <f aca="false">N5+1</f>
        <v>2011</v>
      </c>
      <c r="P5" s="381" t="n">
        <f aca="false">O5+1</f>
        <v>2012</v>
      </c>
      <c r="Q5" s="381" t="n">
        <f aca="false">P5+1</f>
        <v>2013</v>
      </c>
      <c r="R5" s="381" t="n">
        <f aca="false">Q5+1</f>
        <v>2014</v>
      </c>
      <c r="S5" s="381" t="n">
        <f aca="false">R5+1</f>
        <v>2015</v>
      </c>
      <c r="T5" s="381" t="n">
        <f aca="false">S5+1</f>
        <v>2016</v>
      </c>
      <c r="U5" s="381" t="n">
        <f aca="false">T5+1</f>
        <v>2017</v>
      </c>
      <c r="V5" s="381" t="n">
        <f aca="false">U5+1</f>
        <v>2018</v>
      </c>
      <c r="W5" s="382" t="n">
        <f aca="false">V5+1</f>
        <v>2019</v>
      </c>
      <c r="X5" s="383"/>
      <c r="Y5" s="383"/>
      <c r="Z5" s="383"/>
      <c r="AA5" s="383"/>
      <c r="AB5" s="1"/>
      <c r="AC5" s="1"/>
      <c r="AD5" s="1"/>
      <c r="AE5" s="1"/>
      <c r="AF5" s="548"/>
      <c r="AG5" s="548"/>
      <c r="AH5" s="548"/>
      <c r="AI5" s="548"/>
      <c r="AJ5" s="548"/>
      <c r="AK5" s="548"/>
      <c r="AL5" s="548"/>
      <c r="AM5" s="548"/>
      <c r="AN5" s="548"/>
      <c r="AO5" s="548"/>
      <c r="AP5" s="548"/>
      <c r="AQ5" s="548"/>
      <c r="AR5" s="548"/>
      <c r="AS5" s="548"/>
      <c r="AT5" s="548"/>
      <c r="AU5" s="548"/>
      <c r="AV5" s="548"/>
      <c r="AW5" s="548"/>
      <c r="AX5" s="548"/>
      <c r="AY5" s="548"/>
      <c r="AZ5" s="548"/>
      <c r="BA5" s="548"/>
      <c r="BB5" s="548"/>
      <c r="BC5" s="548"/>
      <c r="BD5" s="548"/>
      <c r="BE5" s="548"/>
      <c r="BF5" s="548"/>
      <c r="BG5" s="548"/>
      <c r="BH5" s="548"/>
      <c r="BI5" s="548"/>
      <c r="BJ5" s="548"/>
      <c r="BK5" s="548"/>
      <c r="BL5" s="548"/>
      <c r="BM5" s="548"/>
      <c r="BN5" s="548"/>
      <c r="BO5" s="548"/>
      <c r="BP5" s="548"/>
      <c r="BQ5" s="548"/>
      <c r="BR5" s="548"/>
      <c r="BS5" s="548"/>
      <c r="BT5" s="548"/>
      <c r="BU5" s="548"/>
      <c r="BV5" s="548"/>
      <c r="BW5" s="548"/>
      <c r="BX5" s="548"/>
      <c r="BY5" s="548"/>
      <c r="BZ5" s="548"/>
      <c r="CA5" s="548"/>
      <c r="CB5" s="548"/>
      <c r="CC5" s="548"/>
      <c r="CD5" s="548"/>
      <c r="CE5" s="548"/>
      <c r="CF5" s="548"/>
      <c r="CG5" s="548"/>
      <c r="CH5" s="548"/>
      <c r="CI5" s="548"/>
      <c r="CJ5" s="548"/>
      <c r="CK5" s="548"/>
      <c r="CL5" s="548"/>
      <c r="CM5" s="548"/>
      <c r="CN5" s="548"/>
      <c r="CO5" s="548"/>
      <c r="CP5" s="548"/>
      <c r="CQ5" s="548"/>
      <c r="CR5" s="548"/>
      <c r="CS5" s="548"/>
      <c r="CT5" s="548"/>
      <c r="CU5" s="548"/>
      <c r="CV5" s="548"/>
      <c r="CW5" s="548"/>
      <c r="CX5" s="548"/>
      <c r="CY5" s="548"/>
      <c r="CZ5" s="548"/>
      <c r="DA5" s="548"/>
      <c r="DB5" s="548"/>
      <c r="DC5" s="548"/>
      <c r="DD5" s="548"/>
      <c r="DE5" s="548"/>
      <c r="DF5" s="548"/>
      <c r="DG5" s="548"/>
      <c r="DH5" s="548"/>
      <c r="DI5" s="548"/>
      <c r="DJ5" s="548"/>
      <c r="DK5" s="548"/>
      <c r="DL5" s="548"/>
      <c r="DM5" s="548"/>
      <c r="DN5" s="548"/>
      <c r="DO5" s="548"/>
      <c r="DP5" s="548"/>
      <c r="DQ5" s="548"/>
      <c r="DR5" s="548"/>
      <c r="DS5" s="548"/>
      <c r="DT5" s="548"/>
      <c r="DU5" s="548"/>
      <c r="DV5" s="548"/>
      <c r="DW5" s="548"/>
      <c r="DX5" s="548"/>
      <c r="DY5" s="548"/>
      <c r="DZ5" s="548"/>
      <c r="EA5" s="548"/>
      <c r="EB5" s="548"/>
      <c r="EC5" s="548"/>
      <c r="ED5" s="548"/>
      <c r="EE5" s="548"/>
      <c r="EF5" s="548"/>
      <c r="EG5" s="548"/>
      <c r="EH5" s="548"/>
      <c r="EI5" s="548"/>
      <c r="EJ5" s="548"/>
      <c r="EK5" s="548"/>
      <c r="EL5" s="548"/>
      <c r="EM5" s="548"/>
      <c r="EN5" s="548"/>
      <c r="EO5" s="548"/>
      <c r="EP5" s="548"/>
      <c r="EQ5" s="548"/>
      <c r="ER5" s="548"/>
      <c r="ES5" s="548"/>
      <c r="ET5" s="548"/>
      <c r="EU5" s="548"/>
      <c r="EV5" s="548"/>
      <c r="EW5" s="548"/>
      <c r="EX5" s="548"/>
      <c r="EY5" s="548"/>
      <c r="EZ5" s="548"/>
      <c r="FA5" s="548"/>
      <c r="FB5" s="548"/>
      <c r="FC5" s="548"/>
      <c r="FD5" s="548"/>
      <c r="FE5" s="548"/>
      <c r="FF5" s="548"/>
      <c r="FG5" s="548"/>
      <c r="FH5" s="548"/>
      <c r="FI5" s="548"/>
      <c r="FJ5" s="548"/>
      <c r="FK5" s="548"/>
      <c r="FL5" s="548"/>
      <c r="FM5" s="548"/>
      <c r="FN5" s="548"/>
      <c r="FO5" s="548"/>
      <c r="FP5" s="548"/>
      <c r="FQ5" s="548"/>
      <c r="FR5" s="548"/>
      <c r="FS5" s="548"/>
      <c r="FT5" s="548"/>
      <c r="FU5" s="548"/>
      <c r="FV5" s="548"/>
      <c r="FW5" s="548"/>
      <c r="FX5" s="548"/>
      <c r="FY5" s="548"/>
      <c r="FZ5" s="548"/>
      <c r="GA5" s="548"/>
      <c r="GB5" s="548"/>
      <c r="GC5" s="548"/>
      <c r="GD5" s="548"/>
      <c r="GE5" s="548"/>
      <c r="GF5" s="548"/>
      <c r="GG5" s="548"/>
      <c r="GH5" s="548"/>
      <c r="GI5" s="548"/>
      <c r="GJ5" s="548"/>
      <c r="GK5" s="548"/>
      <c r="GL5" s="548"/>
      <c r="GM5" s="548"/>
      <c r="GN5" s="548"/>
      <c r="GO5" s="548"/>
      <c r="GP5" s="548"/>
      <c r="GQ5" s="548"/>
      <c r="GR5" s="548"/>
      <c r="GS5" s="548"/>
      <c r="GT5" s="548"/>
      <c r="GU5" s="548"/>
      <c r="GV5" s="548"/>
      <c r="GW5" s="548"/>
      <c r="GX5" s="548"/>
      <c r="GY5" s="548"/>
      <c r="GZ5" s="548"/>
      <c r="HA5" s="548"/>
      <c r="HB5" s="548"/>
      <c r="HC5" s="548"/>
      <c r="HD5" s="548"/>
      <c r="HE5" s="548"/>
      <c r="HF5" s="548"/>
      <c r="HG5" s="548"/>
      <c r="HH5" s="548"/>
      <c r="HI5" s="548"/>
      <c r="HJ5" s="548"/>
      <c r="HK5" s="548"/>
      <c r="HL5" s="548"/>
      <c r="HM5" s="548"/>
      <c r="HN5" s="548"/>
      <c r="HO5" s="548"/>
      <c r="HP5" s="548"/>
      <c r="HQ5" s="548"/>
      <c r="HR5" s="548"/>
      <c r="HS5" s="548"/>
      <c r="HT5" s="548"/>
      <c r="HU5" s="548"/>
      <c r="HV5" s="548"/>
      <c r="HW5" s="548"/>
      <c r="HX5" s="548"/>
      <c r="HY5" s="548"/>
      <c r="HZ5" s="548"/>
      <c r="IA5" s="548"/>
      <c r="IB5" s="548"/>
      <c r="IC5" s="548"/>
      <c r="ID5" s="548"/>
      <c r="IE5" s="548"/>
      <c r="IF5" s="548"/>
      <c r="IG5" s="548"/>
      <c r="IH5" s="548"/>
      <c r="II5" s="548"/>
      <c r="IJ5" s="548"/>
      <c r="IK5" s="548"/>
      <c r="IL5" s="548"/>
      <c r="IM5" s="548"/>
      <c r="IN5" s="548"/>
      <c r="IO5" s="548"/>
      <c r="IP5" s="548"/>
      <c r="IQ5" s="548"/>
      <c r="IR5" s="548"/>
      <c r="IS5" s="548"/>
      <c r="IT5" s="548"/>
      <c r="IU5" s="548"/>
      <c r="IV5" s="548"/>
      <c r="IW5" s="548"/>
    </row>
    <row r="6" customFormat="false" ht="11.25" hidden="false" customHeight="true" outlineLevel="0" collapsed="false">
      <c r="A6" s="412" t="s">
        <v>696</v>
      </c>
      <c r="B6" s="385"/>
      <c r="C6" s="0"/>
      <c r="D6" s="541"/>
      <c r="E6" s="541"/>
      <c r="F6" s="541"/>
      <c r="G6" s="541"/>
      <c r="H6" s="541"/>
      <c r="I6" s="541"/>
      <c r="J6" s="541"/>
      <c r="K6" s="541"/>
      <c r="L6" s="541"/>
      <c r="M6" s="541"/>
      <c r="N6" s="541"/>
      <c r="O6" s="541"/>
      <c r="P6" s="541"/>
      <c r="Q6" s="541"/>
      <c r="R6" s="541"/>
      <c r="S6" s="541"/>
      <c r="T6" s="541"/>
      <c r="U6" s="541"/>
      <c r="V6" s="541"/>
      <c r="W6" s="1036"/>
      <c r="X6" s="537"/>
      <c r="Y6" s="1"/>
      <c r="Z6" s="1"/>
      <c r="AA6" s="1"/>
      <c r="AB6" s="1"/>
      <c r="AC6" s="1"/>
      <c r="AD6" s="1"/>
      <c r="AE6" s="1"/>
      <c r="AF6" s="548"/>
      <c r="AG6" s="548"/>
      <c r="AH6" s="548"/>
      <c r="AI6" s="548"/>
      <c r="AJ6" s="548"/>
      <c r="AK6" s="548"/>
      <c r="AL6" s="548"/>
      <c r="AM6" s="548"/>
      <c r="AN6" s="548"/>
      <c r="AO6" s="548"/>
      <c r="AP6" s="548"/>
      <c r="AQ6" s="548"/>
      <c r="AR6" s="548"/>
      <c r="AS6" s="548"/>
      <c r="AT6" s="548"/>
      <c r="AU6" s="548"/>
      <c r="AV6" s="548"/>
      <c r="AW6" s="548"/>
      <c r="AX6" s="548"/>
      <c r="AY6" s="548"/>
      <c r="AZ6" s="548"/>
      <c r="BA6" s="548"/>
      <c r="BB6" s="548"/>
      <c r="BC6" s="548"/>
      <c r="BD6" s="548"/>
      <c r="BE6" s="548"/>
      <c r="BF6" s="548"/>
      <c r="BG6" s="548"/>
      <c r="BH6" s="548"/>
      <c r="BI6" s="548"/>
      <c r="BJ6" s="548"/>
      <c r="BK6" s="548"/>
      <c r="BL6" s="548"/>
      <c r="BM6" s="548"/>
      <c r="BN6" s="548"/>
      <c r="BO6" s="548"/>
      <c r="BP6" s="548"/>
      <c r="BQ6" s="548"/>
      <c r="BR6" s="548"/>
      <c r="BS6" s="548"/>
      <c r="BT6" s="548"/>
      <c r="BU6" s="548"/>
      <c r="BV6" s="548"/>
      <c r="BW6" s="548"/>
      <c r="BX6" s="548"/>
      <c r="BY6" s="548"/>
      <c r="BZ6" s="548"/>
      <c r="CA6" s="548"/>
      <c r="CB6" s="548"/>
      <c r="CC6" s="548"/>
      <c r="CD6" s="548"/>
      <c r="CE6" s="548"/>
      <c r="CF6" s="548"/>
      <c r="CG6" s="548"/>
      <c r="CH6" s="548"/>
      <c r="CI6" s="548"/>
      <c r="CJ6" s="548"/>
      <c r="CK6" s="548"/>
      <c r="CL6" s="548"/>
      <c r="CM6" s="548"/>
      <c r="CN6" s="548"/>
      <c r="CO6" s="548"/>
      <c r="CP6" s="548"/>
      <c r="CQ6" s="548"/>
      <c r="CR6" s="548"/>
      <c r="CS6" s="548"/>
      <c r="CT6" s="548"/>
      <c r="CU6" s="548"/>
      <c r="CV6" s="548"/>
      <c r="CW6" s="548"/>
      <c r="CX6" s="548"/>
      <c r="CY6" s="548"/>
      <c r="CZ6" s="548"/>
      <c r="DA6" s="548"/>
      <c r="DB6" s="548"/>
      <c r="DC6" s="548"/>
      <c r="DD6" s="548"/>
      <c r="DE6" s="548"/>
      <c r="DF6" s="548"/>
      <c r="DG6" s="548"/>
      <c r="DH6" s="548"/>
      <c r="DI6" s="548"/>
      <c r="DJ6" s="548"/>
      <c r="DK6" s="548"/>
      <c r="DL6" s="548"/>
      <c r="DM6" s="548"/>
      <c r="DN6" s="548"/>
      <c r="DO6" s="548"/>
      <c r="DP6" s="548"/>
      <c r="DQ6" s="548"/>
      <c r="DR6" s="548"/>
      <c r="DS6" s="548"/>
      <c r="DT6" s="548"/>
      <c r="DU6" s="548"/>
      <c r="DV6" s="548"/>
      <c r="DW6" s="548"/>
      <c r="DX6" s="548"/>
      <c r="DY6" s="548"/>
      <c r="DZ6" s="548"/>
      <c r="EA6" s="548"/>
      <c r="EB6" s="548"/>
      <c r="EC6" s="548"/>
      <c r="ED6" s="548"/>
      <c r="EE6" s="548"/>
      <c r="EF6" s="548"/>
      <c r="EG6" s="548"/>
      <c r="EH6" s="548"/>
      <c r="EI6" s="548"/>
      <c r="EJ6" s="548"/>
      <c r="EK6" s="548"/>
      <c r="EL6" s="548"/>
      <c r="EM6" s="548"/>
      <c r="EN6" s="548"/>
      <c r="EO6" s="548"/>
      <c r="EP6" s="548"/>
      <c r="EQ6" s="548"/>
      <c r="ER6" s="548"/>
      <c r="ES6" s="548"/>
      <c r="ET6" s="548"/>
      <c r="EU6" s="548"/>
      <c r="EV6" s="548"/>
      <c r="EW6" s="548"/>
      <c r="EX6" s="548"/>
      <c r="EY6" s="548"/>
      <c r="EZ6" s="548"/>
      <c r="FA6" s="548"/>
      <c r="FB6" s="548"/>
      <c r="FC6" s="548"/>
      <c r="FD6" s="548"/>
      <c r="FE6" s="548"/>
      <c r="FF6" s="548"/>
      <c r="FG6" s="548"/>
      <c r="FH6" s="548"/>
      <c r="FI6" s="548"/>
      <c r="FJ6" s="548"/>
      <c r="FK6" s="548"/>
      <c r="FL6" s="548"/>
      <c r="FM6" s="548"/>
      <c r="FN6" s="548"/>
      <c r="FO6" s="548"/>
      <c r="FP6" s="548"/>
      <c r="FQ6" s="548"/>
      <c r="FR6" s="548"/>
      <c r="FS6" s="548"/>
      <c r="FT6" s="548"/>
      <c r="FU6" s="548"/>
      <c r="FV6" s="548"/>
      <c r="FW6" s="548"/>
      <c r="FX6" s="548"/>
      <c r="FY6" s="548"/>
      <c r="FZ6" s="548"/>
      <c r="GA6" s="548"/>
      <c r="GB6" s="548"/>
      <c r="GC6" s="548"/>
      <c r="GD6" s="548"/>
      <c r="GE6" s="548"/>
      <c r="GF6" s="548"/>
      <c r="GG6" s="548"/>
      <c r="GH6" s="548"/>
      <c r="GI6" s="548"/>
      <c r="GJ6" s="548"/>
      <c r="GK6" s="548"/>
      <c r="GL6" s="548"/>
      <c r="GM6" s="548"/>
      <c r="GN6" s="548"/>
      <c r="GO6" s="548"/>
      <c r="GP6" s="548"/>
      <c r="GQ6" s="548"/>
      <c r="GR6" s="548"/>
      <c r="GS6" s="548"/>
      <c r="GT6" s="548"/>
      <c r="GU6" s="548"/>
      <c r="GV6" s="548"/>
      <c r="GW6" s="548"/>
      <c r="GX6" s="548"/>
      <c r="GY6" s="548"/>
      <c r="GZ6" s="548"/>
      <c r="HA6" s="548"/>
      <c r="HB6" s="548"/>
      <c r="HC6" s="548"/>
      <c r="HD6" s="548"/>
      <c r="HE6" s="548"/>
      <c r="HF6" s="548"/>
      <c r="HG6" s="548"/>
      <c r="HH6" s="548"/>
      <c r="HI6" s="548"/>
      <c r="HJ6" s="548"/>
      <c r="HK6" s="548"/>
      <c r="HL6" s="548"/>
      <c r="HM6" s="548"/>
      <c r="HN6" s="548"/>
      <c r="HO6" s="548"/>
      <c r="HP6" s="548"/>
      <c r="HQ6" s="548"/>
      <c r="HR6" s="548"/>
      <c r="HS6" s="548"/>
      <c r="HT6" s="548"/>
      <c r="HU6" s="548"/>
      <c r="HV6" s="548"/>
      <c r="HW6" s="548"/>
      <c r="HX6" s="548"/>
      <c r="HY6" s="548"/>
      <c r="HZ6" s="548"/>
      <c r="IA6" s="548"/>
      <c r="IB6" s="548"/>
      <c r="IC6" s="548"/>
      <c r="ID6" s="548"/>
      <c r="IE6" s="548"/>
      <c r="IF6" s="548"/>
      <c r="IG6" s="548"/>
      <c r="IH6" s="548"/>
      <c r="II6" s="548"/>
      <c r="IJ6" s="548"/>
      <c r="IK6" s="548"/>
      <c r="IL6" s="548"/>
      <c r="IM6" s="548"/>
      <c r="IN6" s="548"/>
      <c r="IO6" s="548"/>
      <c r="IP6" s="548"/>
      <c r="IQ6" s="548"/>
      <c r="IR6" s="548"/>
      <c r="IS6" s="548"/>
      <c r="IT6" s="548"/>
      <c r="IU6" s="548"/>
      <c r="IV6" s="548"/>
      <c r="IW6" s="548"/>
    </row>
    <row r="7" customFormat="false" ht="11.25" hidden="false" customHeight="true" outlineLevel="0" collapsed="false">
      <c r="A7" s="412" t="s">
        <v>697</v>
      </c>
      <c r="B7" s="385"/>
      <c r="C7" s="818" t="n">
        <f aca="false">StartsYear</f>
        <v>120</v>
      </c>
      <c r="D7" s="818" t="n">
        <f aca="false">StartsYear</f>
        <v>120</v>
      </c>
      <c r="E7" s="818" t="n">
        <f aca="false">StartsYear</f>
        <v>120</v>
      </c>
      <c r="F7" s="818" t="n">
        <f aca="false">StartsYear</f>
        <v>120</v>
      </c>
      <c r="G7" s="818" t="n">
        <f aca="false">StartsYear</f>
        <v>120</v>
      </c>
      <c r="H7" s="818" t="n">
        <f aca="false">StartsYear</f>
        <v>120</v>
      </c>
      <c r="I7" s="818" t="n">
        <f aca="false">StartsYear</f>
        <v>120</v>
      </c>
      <c r="J7" s="818" t="n">
        <f aca="false">StartsYear</f>
        <v>120</v>
      </c>
      <c r="K7" s="818" t="n">
        <f aca="false">StartsYear</f>
        <v>120</v>
      </c>
      <c r="L7" s="818" t="n">
        <f aca="false">StartsYear</f>
        <v>120</v>
      </c>
      <c r="M7" s="818" t="n">
        <f aca="false">StartsYear</f>
        <v>120</v>
      </c>
      <c r="N7" s="818" t="n">
        <f aca="false">StartsYear</f>
        <v>120</v>
      </c>
      <c r="O7" s="818" t="n">
        <f aca="false">StartsYear</f>
        <v>120</v>
      </c>
      <c r="P7" s="818" t="n">
        <f aca="false">StartsYear</f>
        <v>120</v>
      </c>
      <c r="Q7" s="818" t="n">
        <f aca="false">StartsYear</f>
        <v>120</v>
      </c>
      <c r="R7" s="818" t="n">
        <f aca="false">StartsYear</f>
        <v>120</v>
      </c>
      <c r="S7" s="818" t="n">
        <f aca="false">StartsYear</f>
        <v>120</v>
      </c>
      <c r="T7" s="818" t="n">
        <f aca="false">StartsYear</f>
        <v>120</v>
      </c>
      <c r="U7" s="818" t="n">
        <f aca="false">StartsYear</f>
        <v>120</v>
      </c>
      <c r="V7" s="818" t="n">
        <f aca="false">StartsYear</f>
        <v>120</v>
      </c>
      <c r="W7" s="871" t="s">
        <v>698</v>
      </c>
      <c r="X7" s="1037"/>
      <c r="Y7" s="1037"/>
      <c r="Z7" s="1037"/>
      <c r="AA7" s="1037"/>
      <c r="AB7" s="1"/>
      <c r="AC7" s="1"/>
      <c r="AD7" s="1"/>
      <c r="AE7" s="1"/>
      <c r="AF7" s="548"/>
      <c r="AG7" s="548"/>
      <c r="AH7" s="548"/>
      <c r="AI7" s="548"/>
      <c r="AJ7" s="548"/>
      <c r="AK7" s="548"/>
      <c r="AL7" s="548"/>
      <c r="AM7" s="548"/>
      <c r="AN7" s="548"/>
      <c r="AO7" s="548"/>
      <c r="AP7" s="548"/>
      <c r="AQ7" s="548"/>
      <c r="AR7" s="548"/>
      <c r="AS7" s="548"/>
      <c r="AT7" s="548"/>
      <c r="AU7" s="548"/>
      <c r="AV7" s="548"/>
      <c r="AW7" s="548"/>
      <c r="AX7" s="548"/>
      <c r="AY7" s="548"/>
      <c r="AZ7" s="548"/>
      <c r="BA7" s="548"/>
      <c r="BB7" s="548"/>
      <c r="BC7" s="548"/>
      <c r="BD7" s="548"/>
      <c r="BE7" s="548"/>
      <c r="BF7" s="548"/>
      <c r="BG7" s="548"/>
      <c r="BH7" s="548"/>
      <c r="BI7" s="548"/>
      <c r="BJ7" s="548"/>
      <c r="BK7" s="548"/>
      <c r="BL7" s="548"/>
      <c r="BM7" s="548"/>
      <c r="BN7" s="548"/>
      <c r="BO7" s="548"/>
      <c r="BP7" s="548"/>
      <c r="BQ7" s="548"/>
      <c r="BR7" s="548"/>
      <c r="BS7" s="548"/>
      <c r="BT7" s="548"/>
      <c r="BU7" s="548"/>
      <c r="BV7" s="548"/>
      <c r="BW7" s="548"/>
      <c r="BX7" s="548"/>
      <c r="BY7" s="548"/>
      <c r="BZ7" s="548"/>
      <c r="CA7" s="548"/>
      <c r="CB7" s="548"/>
      <c r="CC7" s="548"/>
      <c r="CD7" s="548"/>
      <c r="CE7" s="548"/>
      <c r="CF7" s="548"/>
      <c r="CG7" s="548"/>
      <c r="CH7" s="548"/>
      <c r="CI7" s="548"/>
      <c r="CJ7" s="548"/>
      <c r="CK7" s="548"/>
      <c r="CL7" s="548"/>
      <c r="CM7" s="548"/>
      <c r="CN7" s="548"/>
      <c r="CO7" s="548"/>
      <c r="CP7" s="548"/>
      <c r="CQ7" s="548"/>
      <c r="CR7" s="548"/>
      <c r="CS7" s="548"/>
      <c r="CT7" s="548"/>
      <c r="CU7" s="548"/>
      <c r="CV7" s="548"/>
      <c r="CW7" s="548"/>
      <c r="CX7" s="548"/>
      <c r="CY7" s="548"/>
      <c r="CZ7" s="548"/>
      <c r="DA7" s="548"/>
      <c r="DB7" s="548"/>
      <c r="DC7" s="548"/>
      <c r="DD7" s="548"/>
      <c r="DE7" s="548"/>
      <c r="DF7" s="548"/>
      <c r="DG7" s="548"/>
      <c r="DH7" s="548"/>
      <c r="DI7" s="548"/>
      <c r="DJ7" s="548"/>
      <c r="DK7" s="548"/>
      <c r="DL7" s="548"/>
      <c r="DM7" s="548"/>
      <c r="DN7" s="548"/>
      <c r="DO7" s="548"/>
      <c r="DP7" s="548"/>
      <c r="DQ7" s="548"/>
      <c r="DR7" s="548"/>
      <c r="DS7" s="548"/>
      <c r="DT7" s="548"/>
      <c r="DU7" s="548"/>
      <c r="DV7" s="548"/>
      <c r="DW7" s="548"/>
      <c r="DX7" s="548"/>
      <c r="DY7" s="548"/>
      <c r="DZ7" s="548"/>
      <c r="EA7" s="548"/>
      <c r="EB7" s="548"/>
      <c r="EC7" s="548"/>
      <c r="ED7" s="548"/>
      <c r="EE7" s="548"/>
      <c r="EF7" s="548"/>
      <c r="EG7" s="548"/>
      <c r="EH7" s="548"/>
      <c r="EI7" s="548"/>
      <c r="EJ7" s="548"/>
      <c r="EK7" s="548"/>
      <c r="EL7" s="548"/>
      <c r="EM7" s="548"/>
      <c r="EN7" s="548"/>
      <c r="EO7" s="548"/>
      <c r="EP7" s="548"/>
      <c r="EQ7" s="548"/>
      <c r="ER7" s="548"/>
      <c r="ES7" s="548"/>
      <c r="ET7" s="548"/>
      <c r="EU7" s="548"/>
      <c r="EV7" s="548"/>
      <c r="EW7" s="548"/>
      <c r="EX7" s="548"/>
      <c r="EY7" s="548"/>
      <c r="EZ7" s="548"/>
      <c r="FA7" s="548"/>
      <c r="FB7" s="548"/>
      <c r="FC7" s="548"/>
      <c r="FD7" s="548"/>
      <c r="FE7" s="548"/>
      <c r="FF7" s="548"/>
      <c r="FG7" s="548"/>
      <c r="FH7" s="548"/>
      <c r="FI7" s="548"/>
      <c r="FJ7" s="548"/>
      <c r="FK7" s="548"/>
      <c r="FL7" s="548"/>
      <c r="FM7" s="548"/>
      <c r="FN7" s="548"/>
      <c r="FO7" s="548"/>
      <c r="FP7" s="548"/>
      <c r="FQ7" s="548"/>
      <c r="FR7" s="548"/>
      <c r="FS7" s="548"/>
      <c r="FT7" s="548"/>
      <c r="FU7" s="548"/>
      <c r="FV7" s="548"/>
      <c r="FW7" s="548"/>
      <c r="FX7" s="548"/>
      <c r="FY7" s="548"/>
      <c r="FZ7" s="548"/>
      <c r="GA7" s="548"/>
      <c r="GB7" s="548"/>
      <c r="GC7" s="548"/>
      <c r="GD7" s="548"/>
      <c r="GE7" s="548"/>
      <c r="GF7" s="548"/>
      <c r="GG7" s="548"/>
      <c r="GH7" s="548"/>
      <c r="GI7" s="548"/>
      <c r="GJ7" s="548"/>
      <c r="GK7" s="548"/>
      <c r="GL7" s="548"/>
      <c r="GM7" s="548"/>
      <c r="GN7" s="548"/>
      <c r="GO7" s="548"/>
      <c r="GP7" s="548"/>
      <c r="GQ7" s="548"/>
      <c r="GR7" s="548"/>
      <c r="GS7" s="548"/>
      <c r="GT7" s="548"/>
      <c r="GU7" s="548"/>
      <c r="GV7" s="548"/>
      <c r="GW7" s="548"/>
      <c r="GX7" s="548"/>
      <c r="GY7" s="548"/>
      <c r="GZ7" s="548"/>
      <c r="HA7" s="548"/>
      <c r="HB7" s="548"/>
      <c r="HC7" s="548"/>
      <c r="HD7" s="548"/>
      <c r="HE7" s="548"/>
      <c r="HF7" s="548"/>
      <c r="HG7" s="548"/>
      <c r="HH7" s="548"/>
      <c r="HI7" s="548"/>
      <c r="HJ7" s="548"/>
      <c r="HK7" s="548"/>
      <c r="HL7" s="548"/>
      <c r="HM7" s="548"/>
      <c r="HN7" s="548"/>
      <c r="HO7" s="548"/>
      <c r="HP7" s="548"/>
      <c r="HQ7" s="548"/>
      <c r="HR7" s="548"/>
      <c r="HS7" s="548"/>
      <c r="HT7" s="548"/>
      <c r="HU7" s="548"/>
      <c r="HV7" s="548"/>
      <c r="HW7" s="548"/>
      <c r="HX7" s="548"/>
      <c r="HY7" s="548"/>
      <c r="HZ7" s="548"/>
      <c r="IA7" s="548"/>
      <c r="IB7" s="548"/>
      <c r="IC7" s="548"/>
      <c r="ID7" s="548"/>
      <c r="IE7" s="548"/>
      <c r="IF7" s="548"/>
      <c r="IG7" s="548"/>
      <c r="IH7" s="548"/>
      <c r="II7" s="548"/>
      <c r="IJ7" s="548"/>
      <c r="IK7" s="548"/>
      <c r="IL7" s="548"/>
      <c r="IM7" s="548"/>
      <c r="IN7" s="548"/>
      <c r="IO7" s="548"/>
      <c r="IP7" s="548"/>
      <c r="IQ7" s="548"/>
      <c r="IR7" s="548"/>
      <c r="IS7" s="548"/>
      <c r="IT7" s="548"/>
      <c r="IU7" s="548"/>
      <c r="IV7" s="548"/>
      <c r="IW7" s="548"/>
    </row>
    <row r="8" customFormat="false" ht="11.25" hidden="false" customHeight="true" outlineLevel="0" collapsed="false">
      <c r="A8" s="412" t="s">
        <v>699</v>
      </c>
      <c r="B8" s="697"/>
      <c r="C8" s="818" t="n">
        <f aca="false">C7</f>
        <v>120</v>
      </c>
      <c r="D8" s="818" t="n">
        <f aca="false">C8+D7</f>
        <v>240</v>
      </c>
      <c r="E8" s="818" t="n">
        <f aca="false">D8+E7</f>
        <v>360</v>
      </c>
      <c r="F8" s="818" t="n">
        <f aca="false">E8+F7</f>
        <v>480</v>
      </c>
      <c r="G8" s="818" t="n">
        <f aca="false">F8+G7</f>
        <v>600</v>
      </c>
      <c r="H8" s="818" t="n">
        <f aca="false">G8+H7</f>
        <v>720</v>
      </c>
      <c r="I8" s="818" t="n">
        <f aca="false">H8+I7</f>
        <v>840</v>
      </c>
      <c r="J8" s="818" t="n">
        <f aca="false">I8+J7</f>
        <v>960</v>
      </c>
      <c r="K8" s="818" t="n">
        <f aca="false">J8+K7</f>
        <v>1080</v>
      </c>
      <c r="L8" s="818" t="n">
        <f aca="false">K8+L7</f>
        <v>1200</v>
      </c>
      <c r="M8" s="818" t="n">
        <f aca="false">L8+M7</f>
        <v>1320</v>
      </c>
      <c r="N8" s="818" t="n">
        <f aca="false">M8+N7</f>
        <v>1440</v>
      </c>
      <c r="O8" s="818" t="n">
        <f aca="false">N8+O7</f>
        <v>1560</v>
      </c>
      <c r="P8" s="818" t="n">
        <f aca="false">O8+P7</f>
        <v>1680</v>
      </c>
      <c r="Q8" s="818" t="n">
        <f aca="false">P8+Q7</f>
        <v>1800</v>
      </c>
      <c r="R8" s="818" t="n">
        <f aca="false">Q8+R7</f>
        <v>1920</v>
      </c>
      <c r="S8" s="818" t="n">
        <f aca="false">R8+S7</f>
        <v>2040</v>
      </c>
      <c r="T8" s="818" t="n">
        <f aca="false">S8+T7</f>
        <v>2160</v>
      </c>
      <c r="U8" s="818" t="n">
        <f aca="false">T8+U7</f>
        <v>2280</v>
      </c>
      <c r="V8" s="818" t="n">
        <f aca="false">U8+V7</f>
        <v>2400</v>
      </c>
      <c r="W8" s="871" t="e">
        <f aca="false">V8+W7</f>
        <v>#VALUE!</v>
      </c>
      <c r="X8" s="1037"/>
      <c r="Y8" s="1037"/>
      <c r="Z8" s="1037"/>
      <c r="AA8" s="1037"/>
      <c r="AB8" s="1"/>
      <c r="AC8" s="1"/>
      <c r="AD8" s="1"/>
      <c r="AE8" s="1"/>
      <c r="AF8" s="548"/>
      <c r="AG8" s="548"/>
      <c r="AH8" s="548"/>
      <c r="AI8" s="548"/>
      <c r="AJ8" s="548"/>
      <c r="AK8" s="548"/>
      <c r="AL8" s="548"/>
      <c r="AM8" s="548"/>
      <c r="AN8" s="548"/>
      <c r="AO8" s="548"/>
      <c r="AP8" s="548"/>
      <c r="AQ8" s="548"/>
      <c r="AR8" s="548"/>
      <c r="AS8" s="548"/>
      <c r="AT8" s="548"/>
      <c r="AU8" s="548"/>
      <c r="AV8" s="548"/>
      <c r="AW8" s="548"/>
      <c r="AX8" s="548"/>
      <c r="AY8" s="548"/>
      <c r="AZ8" s="548"/>
      <c r="BA8" s="548"/>
      <c r="BB8" s="548"/>
      <c r="BC8" s="548"/>
      <c r="BD8" s="548"/>
      <c r="BE8" s="548"/>
      <c r="BF8" s="548"/>
      <c r="BG8" s="548"/>
      <c r="BH8" s="548"/>
      <c r="BI8" s="548"/>
      <c r="BJ8" s="548"/>
      <c r="BK8" s="548"/>
      <c r="BL8" s="548"/>
      <c r="BM8" s="548"/>
      <c r="BN8" s="548"/>
      <c r="BO8" s="548"/>
      <c r="BP8" s="548"/>
      <c r="BQ8" s="548"/>
      <c r="BR8" s="548"/>
      <c r="BS8" s="548"/>
      <c r="BT8" s="548"/>
      <c r="BU8" s="548"/>
      <c r="BV8" s="548"/>
      <c r="BW8" s="548"/>
      <c r="BX8" s="548"/>
      <c r="BY8" s="548"/>
      <c r="BZ8" s="548"/>
      <c r="CA8" s="548"/>
      <c r="CB8" s="548"/>
      <c r="CC8" s="548"/>
      <c r="CD8" s="548"/>
      <c r="CE8" s="548"/>
      <c r="CF8" s="548"/>
      <c r="CG8" s="548"/>
      <c r="CH8" s="548"/>
      <c r="CI8" s="548"/>
      <c r="CJ8" s="548"/>
      <c r="CK8" s="548"/>
      <c r="CL8" s="548"/>
      <c r="CM8" s="548"/>
      <c r="CN8" s="548"/>
      <c r="CO8" s="548"/>
      <c r="CP8" s="548"/>
      <c r="CQ8" s="548"/>
      <c r="CR8" s="548"/>
      <c r="CS8" s="548"/>
      <c r="CT8" s="548"/>
      <c r="CU8" s="548"/>
      <c r="CV8" s="548"/>
      <c r="CW8" s="548"/>
      <c r="CX8" s="548"/>
      <c r="CY8" s="548"/>
      <c r="CZ8" s="548"/>
      <c r="DA8" s="548"/>
      <c r="DB8" s="548"/>
      <c r="DC8" s="548"/>
      <c r="DD8" s="548"/>
      <c r="DE8" s="548"/>
      <c r="DF8" s="548"/>
      <c r="DG8" s="548"/>
      <c r="DH8" s="548"/>
      <c r="DI8" s="548"/>
      <c r="DJ8" s="548"/>
      <c r="DK8" s="548"/>
      <c r="DL8" s="548"/>
      <c r="DM8" s="548"/>
      <c r="DN8" s="548"/>
      <c r="DO8" s="548"/>
      <c r="DP8" s="548"/>
      <c r="DQ8" s="548"/>
      <c r="DR8" s="548"/>
      <c r="DS8" s="548"/>
      <c r="DT8" s="548"/>
      <c r="DU8" s="548"/>
      <c r="DV8" s="548"/>
      <c r="DW8" s="548"/>
      <c r="DX8" s="548"/>
      <c r="DY8" s="548"/>
      <c r="DZ8" s="548"/>
      <c r="EA8" s="548"/>
      <c r="EB8" s="548"/>
      <c r="EC8" s="548"/>
      <c r="ED8" s="548"/>
      <c r="EE8" s="548"/>
      <c r="EF8" s="548"/>
      <c r="EG8" s="548"/>
      <c r="EH8" s="548"/>
      <c r="EI8" s="548"/>
      <c r="EJ8" s="548"/>
      <c r="EK8" s="548"/>
      <c r="EL8" s="548"/>
      <c r="EM8" s="548"/>
      <c r="EN8" s="548"/>
      <c r="EO8" s="548"/>
      <c r="EP8" s="548"/>
      <c r="EQ8" s="548"/>
      <c r="ER8" s="548"/>
      <c r="ES8" s="548"/>
      <c r="ET8" s="548"/>
      <c r="EU8" s="548"/>
      <c r="EV8" s="548"/>
      <c r="EW8" s="548"/>
      <c r="EX8" s="548"/>
      <c r="EY8" s="548"/>
      <c r="EZ8" s="548"/>
      <c r="FA8" s="548"/>
      <c r="FB8" s="548"/>
      <c r="FC8" s="548"/>
      <c r="FD8" s="548"/>
      <c r="FE8" s="548"/>
      <c r="FF8" s="548"/>
      <c r="FG8" s="548"/>
      <c r="FH8" s="548"/>
      <c r="FI8" s="548"/>
      <c r="FJ8" s="548"/>
      <c r="FK8" s="548"/>
      <c r="FL8" s="548"/>
      <c r="FM8" s="548"/>
      <c r="FN8" s="548"/>
      <c r="FO8" s="548"/>
      <c r="FP8" s="548"/>
      <c r="FQ8" s="548"/>
      <c r="FR8" s="548"/>
      <c r="FS8" s="548"/>
      <c r="FT8" s="548"/>
      <c r="FU8" s="548"/>
      <c r="FV8" s="548"/>
      <c r="FW8" s="548"/>
      <c r="FX8" s="548"/>
      <c r="FY8" s="548"/>
      <c r="FZ8" s="548"/>
      <c r="GA8" s="548"/>
      <c r="GB8" s="548"/>
      <c r="GC8" s="548"/>
      <c r="GD8" s="548"/>
      <c r="GE8" s="548"/>
      <c r="GF8" s="548"/>
      <c r="GG8" s="548"/>
      <c r="GH8" s="548"/>
      <c r="GI8" s="548"/>
      <c r="GJ8" s="548"/>
      <c r="GK8" s="548"/>
      <c r="GL8" s="548"/>
      <c r="GM8" s="548"/>
      <c r="GN8" s="548"/>
      <c r="GO8" s="548"/>
      <c r="GP8" s="548"/>
      <c r="GQ8" s="548"/>
      <c r="GR8" s="548"/>
      <c r="GS8" s="548"/>
      <c r="GT8" s="548"/>
      <c r="GU8" s="548"/>
      <c r="GV8" s="548"/>
      <c r="GW8" s="548"/>
      <c r="GX8" s="548"/>
      <c r="GY8" s="548"/>
      <c r="GZ8" s="548"/>
      <c r="HA8" s="548"/>
      <c r="HB8" s="548"/>
      <c r="HC8" s="548"/>
      <c r="HD8" s="548"/>
      <c r="HE8" s="548"/>
      <c r="HF8" s="548"/>
      <c r="HG8" s="548"/>
      <c r="HH8" s="548"/>
      <c r="HI8" s="548"/>
      <c r="HJ8" s="548"/>
      <c r="HK8" s="548"/>
      <c r="HL8" s="548"/>
      <c r="HM8" s="548"/>
      <c r="HN8" s="548"/>
      <c r="HO8" s="548"/>
      <c r="HP8" s="548"/>
      <c r="HQ8" s="548"/>
      <c r="HR8" s="548"/>
      <c r="HS8" s="548"/>
      <c r="HT8" s="548"/>
      <c r="HU8" s="548"/>
      <c r="HV8" s="548"/>
      <c r="HW8" s="548"/>
      <c r="HX8" s="548"/>
      <c r="HY8" s="548"/>
      <c r="HZ8" s="548"/>
      <c r="IA8" s="548"/>
      <c r="IB8" s="548"/>
      <c r="IC8" s="548"/>
      <c r="ID8" s="548"/>
      <c r="IE8" s="548"/>
      <c r="IF8" s="548"/>
      <c r="IG8" s="548"/>
      <c r="IH8" s="548"/>
      <c r="II8" s="548"/>
      <c r="IJ8" s="548"/>
      <c r="IK8" s="548"/>
      <c r="IL8" s="548"/>
      <c r="IM8" s="548"/>
      <c r="IN8" s="548"/>
      <c r="IO8" s="548"/>
      <c r="IP8" s="548"/>
      <c r="IQ8" s="548"/>
      <c r="IR8" s="548"/>
      <c r="IS8" s="548"/>
      <c r="IT8" s="548"/>
      <c r="IU8" s="548"/>
      <c r="IV8" s="548"/>
      <c r="IW8" s="548"/>
    </row>
    <row r="9" customFormat="false" ht="11.25" hidden="false" customHeight="true" outlineLevel="0" collapsed="false">
      <c r="A9" s="412"/>
      <c r="B9" s="697"/>
      <c r="C9" s="818"/>
      <c r="D9" s="818"/>
      <c r="E9" s="818"/>
      <c r="F9" s="818"/>
      <c r="G9" s="818"/>
      <c r="H9" s="818"/>
      <c r="I9" s="818"/>
      <c r="J9" s="818"/>
      <c r="K9" s="818"/>
      <c r="L9" s="818"/>
      <c r="M9" s="818"/>
      <c r="N9" s="818"/>
      <c r="O9" s="818"/>
      <c r="P9" s="818"/>
      <c r="Q9" s="818"/>
      <c r="R9" s="818"/>
      <c r="S9" s="818"/>
      <c r="T9" s="818"/>
      <c r="U9" s="818"/>
      <c r="V9" s="818"/>
      <c r="W9" s="871"/>
      <c r="X9" s="1037"/>
      <c r="Y9" s="1037"/>
      <c r="Z9" s="1037"/>
      <c r="AA9" s="1037"/>
      <c r="AB9" s="1"/>
      <c r="AC9" s="1"/>
      <c r="AD9" s="1"/>
      <c r="AE9" s="1"/>
      <c r="AF9" s="548"/>
      <c r="AG9" s="548"/>
      <c r="AH9" s="548"/>
      <c r="AI9" s="548"/>
      <c r="AJ9" s="548"/>
      <c r="AK9" s="548"/>
      <c r="AL9" s="548"/>
      <c r="AM9" s="548"/>
      <c r="AN9" s="548"/>
      <c r="AO9" s="548"/>
      <c r="AP9" s="548"/>
      <c r="AQ9" s="548"/>
      <c r="AR9" s="548"/>
      <c r="AS9" s="548"/>
      <c r="AT9" s="548"/>
      <c r="AU9" s="548"/>
      <c r="AV9" s="548"/>
      <c r="AW9" s="548"/>
      <c r="AX9" s="548"/>
      <c r="AY9" s="548"/>
      <c r="AZ9" s="548"/>
      <c r="BA9" s="548"/>
      <c r="BB9" s="548"/>
      <c r="BC9" s="548"/>
      <c r="BD9" s="548"/>
      <c r="BE9" s="548"/>
      <c r="BF9" s="548"/>
      <c r="BG9" s="548"/>
      <c r="BH9" s="548"/>
      <c r="BI9" s="548"/>
      <c r="BJ9" s="548"/>
      <c r="BK9" s="548"/>
      <c r="BL9" s="548"/>
      <c r="BM9" s="548"/>
      <c r="BN9" s="548"/>
      <c r="BO9" s="548"/>
      <c r="BP9" s="548"/>
      <c r="BQ9" s="548"/>
      <c r="BR9" s="548"/>
      <c r="BS9" s="548"/>
      <c r="BT9" s="548"/>
      <c r="BU9" s="548"/>
      <c r="BV9" s="548"/>
      <c r="BW9" s="548"/>
      <c r="BX9" s="548"/>
      <c r="BY9" s="548"/>
      <c r="BZ9" s="548"/>
      <c r="CA9" s="548"/>
      <c r="CB9" s="548"/>
      <c r="CC9" s="548"/>
      <c r="CD9" s="548"/>
      <c r="CE9" s="548"/>
      <c r="CF9" s="548"/>
      <c r="CG9" s="548"/>
      <c r="CH9" s="548"/>
      <c r="CI9" s="548"/>
      <c r="CJ9" s="548"/>
      <c r="CK9" s="548"/>
      <c r="CL9" s="548"/>
      <c r="CM9" s="548"/>
      <c r="CN9" s="548"/>
      <c r="CO9" s="548"/>
      <c r="CP9" s="548"/>
      <c r="CQ9" s="548"/>
      <c r="CR9" s="548"/>
      <c r="CS9" s="548"/>
      <c r="CT9" s="548"/>
      <c r="CU9" s="548"/>
      <c r="CV9" s="548"/>
      <c r="CW9" s="548"/>
      <c r="CX9" s="548"/>
      <c r="CY9" s="548"/>
      <c r="CZ9" s="548"/>
      <c r="DA9" s="548"/>
      <c r="DB9" s="548"/>
      <c r="DC9" s="548"/>
      <c r="DD9" s="548"/>
      <c r="DE9" s="548"/>
      <c r="DF9" s="548"/>
      <c r="DG9" s="548"/>
      <c r="DH9" s="548"/>
      <c r="DI9" s="548"/>
      <c r="DJ9" s="548"/>
      <c r="DK9" s="548"/>
      <c r="DL9" s="548"/>
      <c r="DM9" s="548"/>
      <c r="DN9" s="548"/>
      <c r="DO9" s="548"/>
      <c r="DP9" s="548"/>
      <c r="DQ9" s="548"/>
      <c r="DR9" s="548"/>
      <c r="DS9" s="548"/>
      <c r="DT9" s="548"/>
      <c r="DU9" s="548"/>
      <c r="DV9" s="548"/>
      <c r="DW9" s="548"/>
      <c r="DX9" s="548"/>
      <c r="DY9" s="548"/>
      <c r="DZ9" s="548"/>
      <c r="EA9" s="548"/>
      <c r="EB9" s="548"/>
      <c r="EC9" s="548"/>
      <c r="ED9" s="548"/>
      <c r="EE9" s="548"/>
      <c r="EF9" s="548"/>
      <c r="EG9" s="548"/>
      <c r="EH9" s="548"/>
      <c r="EI9" s="548"/>
      <c r="EJ9" s="548"/>
      <c r="EK9" s="548"/>
      <c r="EL9" s="548"/>
      <c r="EM9" s="548"/>
      <c r="EN9" s="548"/>
      <c r="EO9" s="548"/>
      <c r="EP9" s="548"/>
      <c r="EQ9" s="548"/>
      <c r="ER9" s="548"/>
      <c r="ES9" s="548"/>
      <c r="ET9" s="548"/>
      <c r="EU9" s="548"/>
      <c r="EV9" s="548"/>
      <c r="EW9" s="548"/>
      <c r="EX9" s="548"/>
      <c r="EY9" s="548"/>
      <c r="EZ9" s="548"/>
      <c r="FA9" s="548"/>
      <c r="FB9" s="548"/>
      <c r="FC9" s="548"/>
      <c r="FD9" s="548"/>
      <c r="FE9" s="548"/>
      <c r="FF9" s="548"/>
      <c r="FG9" s="548"/>
      <c r="FH9" s="548"/>
      <c r="FI9" s="548"/>
      <c r="FJ9" s="548"/>
      <c r="FK9" s="548"/>
      <c r="FL9" s="548"/>
      <c r="FM9" s="548"/>
      <c r="FN9" s="548"/>
      <c r="FO9" s="548"/>
      <c r="FP9" s="548"/>
      <c r="FQ9" s="548"/>
      <c r="FR9" s="548"/>
      <c r="FS9" s="548"/>
      <c r="FT9" s="548"/>
      <c r="FU9" s="548"/>
      <c r="FV9" s="548"/>
      <c r="FW9" s="548"/>
      <c r="FX9" s="548"/>
      <c r="FY9" s="548"/>
      <c r="FZ9" s="548"/>
      <c r="GA9" s="548"/>
      <c r="GB9" s="548"/>
      <c r="GC9" s="548"/>
      <c r="GD9" s="548"/>
      <c r="GE9" s="548"/>
      <c r="GF9" s="548"/>
      <c r="GG9" s="548"/>
      <c r="GH9" s="548"/>
      <c r="GI9" s="548"/>
      <c r="GJ9" s="548"/>
      <c r="GK9" s="548"/>
      <c r="GL9" s="548"/>
      <c r="GM9" s="548"/>
      <c r="GN9" s="548"/>
      <c r="GO9" s="548"/>
      <c r="GP9" s="548"/>
      <c r="GQ9" s="548"/>
      <c r="GR9" s="548"/>
      <c r="GS9" s="548"/>
      <c r="GT9" s="548"/>
      <c r="GU9" s="548"/>
      <c r="GV9" s="548"/>
      <c r="GW9" s="548"/>
      <c r="GX9" s="548"/>
      <c r="GY9" s="548"/>
      <c r="GZ9" s="548"/>
      <c r="HA9" s="548"/>
      <c r="HB9" s="548"/>
      <c r="HC9" s="548"/>
      <c r="HD9" s="548"/>
      <c r="HE9" s="548"/>
      <c r="HF9" s="548"/>
      <c r="HG9" s="548"/>
      <c r="HH9" s="548"/>
      <c r="HI9" s="548"/>
      <c r="HJ9" s="548"/>
      <c r="HK9" s="548"/>
      <c r="HL9" s="548"/>
      <c r="HM9" s="548"/>
      <c r="HN9" s="548"/>
      <c r="HO9" s="548"/>
      <c r="HP9" s="548"/>
      <c r="HQ9" s="548"/>
      <c r="HR9" s="548"/>
      <c r="HS9" s="548"/>
      <c r="HT9" s="548"/>
      <c r="HU9" s="548"/>
      <c r="HV9" s="548"/>
      <c r="HW9" s="548"/>
      <c r="HX9" s="548"/>
      <c r="HY9" s="548"/>
      <c r="HZ9" s="548"/>
      <c r="IA9" s="548"/>
      <c r="IB9" s="548"/>
      <c r="IC9" s="548"/>
      <c r="ID9" s="548"/>
      <c r="IE9" s="548"/>
      <c r="IF9" s="548"/>
      <c r="IG9" s="548"/>
      <c r="IH9" s="548"/>
      <c r="II9" s="548"/>
      <c r="IJ9" s="548"/>
      <c r="IK9" s="548"/>
      <c r="IL9" s="548"/>
      <c r="IM9" s="548"/>
      <c r="IN9" s="548"/>
      <c r="IO9" s="548"/>
      <c r="IP9" s="548"/>
      <c r="IQ9" s="548"/>
      <c r="IR9" s="548"/>
      <c r="IS9" s="548"/>
      <c r="IT9" s="548"/>
      <c r="IU9" s="548"/>
      <c r="IV9" s="548"/>
      <c r="IW9" s="548"/>
    </row>
    <row r="10" customFormat="false" ht="11.25" hidden="false" customHeight="true" outlineLevel="0" collapsed="false">
      <c r="A10" s="412"/>
      <c r="B10" s="385"/>
      <c r="C10" s="385"/>
      <c r="D10" s="385"/>
      <c r="E10" s="385"/>
      <c r="F10" s="385"/>
      <c r="G10" s="385"/>
      <c r="H10" s="385"/>
      <c r="I10" s="385"/>
      <c r="J10" s="385"/>
      <c r="K10" s="385"/>
      <c r="L10" s="385"/>
      <c r="M10" s="385"/>
      <c r="N10" s="385"/>
      <c r="O10" s="385"/>
      <c r="P10" s="385"/>
      <c r="Q10" s="385"/>
      <c r="R10" s="385"/>
      <c r="S10" s="385"/>
      <c r="T10" s="385"/>
      <c r="U10" s="385"/>
      <c r="V10" s="385"/>
      <c r="W10" s="416"/>
      <c r="X10" s="1"/>
      <c r="Y10" s="1"/>
      <c r="Z10" s="1"/>
      <c r="AA10" s="1"/>
      <c r="AB10" s="1"/>
      <c r="AC10" s="1"/>
      <c r="AD10" s="1"/>
      <c r="AE10" s="1"/>
      <c r="AF10" s="548"/>
      <c r="AG10" s="548"/>
      <c r="AH10" s="548"/>
      <c r="AI10" s="548"/>
      <c r="AJ10" s="548"/>
      <c r="AK10" s="548"/>
      <c r="AL10" s="548"/>
      <c r="AM10" s="548"/>
      <c r="AN10" s="548"/>
      <c r="AO10" s="548"/>
      <c r="AP10" s="548"/>
      <c r="AQ10" s="548"/>
      <c r="AR10" s="548"/>
      <c r="AS10" s="548"/>
      <c r="AT10" s="548"/>
      <c r="AU10" s="548"/>
      <c r="AV10" s="548"/>
      <c r="AW10" s="548"/>
      <c r="AX10" s="548"/>
      <c r="AY10" s="548"/>
      <c r="AZ10" s="548"/>
      <c r="BA10" s="548"/>
      <c r="BB10" s="548"/>
      <c r="BC10" s="548"/>
      <c r="BD10" s="548"/>
      <c r="BE10" s="548"/>
      <c r="BF10" s="548"/>
      <c r="BG10" s="548"/>
      <c r="BH10" s="548"/>
      <c r="BI10" s="548"/>
      <c r="BJ10" s="548"/>
      <c r="BK10" s="548"/>
      <c r="BL10" s="548"/>
      <c r="BM10" s="548"/>
      <c r="BN10" s="548"/>
      <c r="BO10" s="548"/>
      <c r="BP10" s="548"/>
      <c r="BQ10" s="548"/>
      <c r="BR10" s="548"/>
      <c r="BS10" s="548"/>
      <c r="BT10" s="548"/>
      <c r="BU10" s="548"/>
      <c r="BV10" s="548"/>
      <c r="BW10" s="548"/>
      <c r="BX10" s="548"/>
      <c r="BY10" s="548"/>
      <c r="BZ10" s="548"/>
      <c r="CA10" s="548"/>
      <c r="CB10" s="548"/>
      <c r="CC10" s="548"/>
      <c r="CD10" s="548"/>
      <c r="CE10" s="548"/>
      <c r="CF10" s="548"/>
      <c r="CG10" s="548"/>
      <c r="CH10" s="548"/>
      <c r="CI10" s="548"/>
      <c r="CJ10" s="548"/>
      <c r="CK10" s="548"/>
      <c r="CL10" s="548"/>
      <c r="CM10" s="548"/>
      <c r="CN10" s="548"/>
      <c r="CO10" s="548"/>
      <c r="CP10" s="548"/>
      <c r="CQ10" s="548"/>
      <c r="CR10" s="548"/>
      <c r="CS10" s="548"/>
      <c r="CT10" s="548"/>
      <c r="CU10" s="548"/>
      <c r="CV10" s="548"/>
      <c r="CW10" s="548"/>
      <c r="CX10" s="548"/>
      <c r="CY10" s="548"/>
      <c r="CZ10" s="548"/>
      <c r="DA10" s="548"/>
      <c r="DB10" s="548"/>
      <c r="DC10" s="548"/>
      <c r="DD10" s="548"/>
      <c r="DE10" s="548"/>
      <c r="DF10" s="548"/>
      <c r="DG10" s="548"/>
      <c r="DH10" s="548"/>
      <c r="DI10" s="548"/>
      <c r="DJ10" s="548"/>
      <c r="DK10" s="548"/>
      <c r="DL10" s="548"/>
      <c r="DM10" s="548"/>
      <c r="DN10" s="548"/>
      <c r="DO10" s="548"/>
      <c r="DP10" s="548"/>
      <c r="DQ10" s="548"/>
      <c r="DR10" s="548"/>
      <c r="DS10" s="548"/>
      <c r="DT10" s="548"/>
      <c r="DU10" s="548"/>
      <c r="DV10" s="548"/>
      <c r="DW10" s="548"/>
      <c r="DX10" s="548"/>
      <c r="DY10" s="548"/>
      <c r="DZ10" s="548"/>
      <c r="EA10" s="548"/>
      <c r="EB10" s="548"/>
      <c r="EC10" s="548"/>
      <c r="ED10" s="548"/>
      <c r="EE10" s="548"/>
      <c r="EF10" s="548"/>
      <c r="EG10" s="548"/>
      <c r="EH10" s="548"/>
      <c r="EI10" s="548"/>
      <c r="EJ10" s="548"/>
      <c r="EK10" s="548"/>
      <c r="EL10" s="548"/>
      <c r="EM10" s="548"/>
      <c r="EN10" s="548"/>
      <c r="EO10" s="548"/>
      <c r="EP10" s="548"/>
      <c r="EQ10" s="548"/>
      <c r="ER10" s="548"/>
      <c r="ES10" s="548"/>
      <c r="ET10" s="548"/>
      <c r="EU10" s="548"/>
      <c r="EV10" s="548"/>
      <c r="EW10" s="548"/>
      <c r="EX10" s="548"/>
      <c r="EY10" s="548"/>
      <c r="EZ10" s="548"/>
      <c r="FA10" s="548"/>
      <c r="FB10" s="548"/>
      <c r="FC10" s="548"/>
      <c r="FD10" s="548"/>
      <c r="FE10" s="548"/>
      <c r="FF10" s="548"/>
      <c r="FG10" s="548"/>
      <c r="FH10" s="548"/>
      <c r="FI10" s="548"/>
      <c r="FJ10" s="548"/>
      <c r="FK10" s="548"/>
      <c r="FL10" s="548"/>
      <c r="FM10" s="548"/>
      <c r="FN10" s="548"/>
      <c r="FO10" s="548"/>
      <c r="FP10" s="548"/>
      <c r="FQ10" s="548"/>
      <c r="FR10" s="548"/>
      <c r="FS10" s="548"/>
      <c r="FT10" s="548"/>
      <c r="FU10" s="548"/>
      <c r="FV10" s="548"/>
      <c r="FW10" s="548"/>
      <c r="FX10" s="548"/>
      <c r="FY10" s="548"/>
      <c r="FZ10" s="548"/>
      <c r="GA10" s="548"/>
      <c r="GB10" s="548"/>
      <c r="GC10" s="548"/>
      <c r="GD10" s="548"/>
      <c r="GE10" s="548"/>
      <c r="GF10" s="548"/>
      <c r="GG10" s="548"/>
      <c r="GH10" s="548"/>
      <c r="GI10" s="548"/>
      <c r="GJ10" s="548"/>
      <c r="GK10" s="548"/>
      <c r="GL10" s="548"/>
      <c r="GM10" s="548"/>
      <c r="GN10" s="548"/>
      <c r="GO10" s="548"/>
      <c r="GP10" s="548"/>
      <c r="GQ10" s="548"/>
      <c r="GR10" s="548"/>
      <c r="GS10" s="548"/>
      <c r="GT10" s="548"/>
      <c r="GU10" s="548"/>
      <c r="GV10" s="548"/>
      <c r="GW10" s="548"/>
      <c r="GX10" s="548"/>
      <c r="GY10" s="548"/>
      <c r="GZ10" s="548"/>
      <c r="HA10" s="548"/>
      <c r="HB10" s="548"/>
      <c r="HC10" s="548"/>
      <c r="HD10" s="548"/>
      <c r="HE10" s="548"/>
      <c r="HF10" s="548"/>
      <c r="HG10" s="548"/>
      <c r="HH10" s="548"/>
      <c r="HI10" s="548"/>
      <c r="HJ10" s="548"/>
      <c r="HK10" s="548"/>
      <c r="HL10" s="548"/>
      <c r="HM10" s="548"/>
      <c r="HN10" s="548"/>
      <c r="HO10" s="548"/>
      <c r="HP10" s="548"/>
      <c r="HQ10" s="548"/>
      <c r="HR10" s="548"/>
      <c r="HS10" s="548"/>
      <c r="HT10" s="548"/>
      <c r="HU10" s="548"/>
      <c r="HV10" s="548"/>
      <c r="HW10" s="548"/>
      <c r="HX10" s="548"/>
      <c r="HY10" s="548"/>
      <c r="HZ10" s="548"/>
      <c r="IA10" s="548"/>
      <c r="IB10" s="548"/>
      <c r="IC10" s="548"/>
      <c r="ID10" s="548"/>
      <c r="IE10" s="548"/>
      <c r="IF10" s="548"/>
      <c r="IG10" s="548"/>
      <c r="IH10" s="548"/>
      <c r="II10" s="548"/>
      <c r="IJ10" s="548"/>
      <c r="IK10" s="548"/>
      <c r="IL10" s="548"/>
      <c r="IM10" s="548"/>
      <c r="IN10" s="548"/>
      <c r="IO10" s="548"/>
      <c r="IP10" s="548"/>
      <c r="IQ10" s="548"/>
      <c r="IR10" s="548"/>
      <c r="IS10" s="548"/>
      <c r="IT10" s="548"/>
      <c r="IU10" s="548"/>
      <c r="IV10" s="548"/>
      <c r="IW10" s="548"/>
    </row>
    <row r="11" customFormat="false" ht="11.25" hidden="false" customHeight="true" outlineLevel="0" collapsed="false">
      <c r="A11" s="412" t="s">
        <v>700</v>
      </c>
      <c r="B11" s="385"/>
      <c r="C11" s="818" t="n">
        <f aca="false">'Book Income Statement'!D32</f>
        <v>1349.28</v>
      </c>
      <c r="D11" s="818" t="n">
        <f aca="false">'Book Income Statement'!E32</f>
        <v>1389.7584</v>
      </c>
      <c r="E11" s="818" t="n">
        <f aca="false">'Book Income Statement'!F32</f>
        <v>1431.451152</v>
      </c>
      <c r="F11" s="818" t="n">
        <f aca="false">'Book Income Statement'!G32</f>
        <v>1474.39468656</v>
      </c>
      <c r="G11" s="818" t="n">
        <f aca="false">'Book Income Statement'!H32</f>
        <v>1518.6265271568</v>
      </c>
      <c r="H11" s="818" t="n">
        <f aca="false">'Book Income Statement'!I32</f>
        <v>1564.1853229715</v>
      </c>
      <c r="I11" s="818" t="n">
        <f aca="false">'Book Income Statement'!J32</f>
        <v>1611.11088266065</v>
      </c>
      <c r="J11" s="818" t="n">
        <f aca="false">'Book Income Statement'!K32</f>
        <v>1659.44420914047</v>
      </c>
      <c r="K11" s="818" t="n">
        <f aca="false">'Book Income Statement'!L32</f>
        <v>1709.22753541468</v>
      </c>
      <c r="L11" s="818" t="n">
        <f aca="false">'Book Income Statement'!M32</f>
        <v>1760.50436147712</v>
      </c>
      <c r="M11" s="818" t="n">
        <f aca="false">'Book Income Statement'!N32</f>
        <v>1813.31949232144</v>
      </c>
      <c r="N11" s="818" t="n">
        <f aca="false">'Book Income Statement'!O32</f>
        <v>1867.71907709108</v>
      </c>
      <c r="O11" s="818" t="n">
        <f aca="false">'Book Income Statement'!P32</f>
        <v>1923.75064940381</v>
      </c>
      <c r="P11" s="818" t="n">
        <f aca="false">'Book Income Statement'!Q32</f>
        <v>1981.46316888593</v>
      </c>
      <c r="Q11" s="818" t="n">
        <f aca="false">'Book Income Statement'!R32</f>
        <v>2040.90706395251</v>
      </c>
      <c r="R11" s="818" t="n">
        <f aca="false">'Book Income Statement'!S32</f>
        <v>2102.13427587108</v>
      </c>
      <c r="S11" s="818" t="n">
        <f aca="false">'Book Income Statement'!T32</f>
        <v>2165.19830414721</v>
      </c>
      <c r="T11" s="818" t="n">
        <f aca="false">'Book Income Statement'!U32</f>
        <v>2230.15425327163</v>
      </c>
      <c r="U11" s="818" t="n">
        <f aca="false">'Book Income Statement'!V32</f>
        <v>2297.05888086978</v>
      </c>
      <c r="V11" s="818" t="n">
        <f aca="false">'Book Income Statement'!W32</f>
        <v>2365.97064729587</v>
      </c>
      <c r="W11" s="871" t="n">
        <f aca="false">'Book Income Statement'!X32</f>
        <v>2436.94976671475</v>
      </c>
      <c r="X11" s="1037"/>
      <c r="Y11" s="1037"/>
      <c r="Z11" s="1037"/>
      <c r="AA11" s="1037"/>
      <c r="AB11" s="1"/>
      <c r="AC11" s="1"/>
      <c r="AD11" s="1"/>
      <c r="AE11" s="1"/>
      <c r="AF11" s="548"/>
      <c r="AG11" s="548"/>
      <c r="AH11" s="548"/>
      <c r="AI11" s="548"/>
      <c r="AJ11" s="548"/>
      <c r="AK11" s="548"/>
      <c r="AL11" s="548"/>
      <c r="AM11" s="548"/>
      <c r="AN11" s="548"/>
      <c r="AO11" s="548"/>
      <c r="AP11" s="548"/>
      <c r="AQ11" s="548"/>
      <c r="AR11" s="548"/>
      <c r="AS11" s="548"/>
      <c r="AT11" s="548"/>
      <c r="AU11" s="548"/>
      <c r="AV11" s="548"/>
      <c r="AW11" s="548"/>
      <c r="AX11" s="548"/>
      <c r="AY11" s="548"/>
      <c r="AZ11" s="548"/>
      <c r="BA11" s="548"/>
      <c r="BB11" s="548"/>
      <c r="BC11" s="548"/>
      <c r="BD11" s="548"/>
      <c r="BE11" s="548"/>
      <c r="BF11" s="548"/>
      <c r="BG11" s="548"/>
      <c r="BH11" s="548"/>
      <c r="BI11" s="548"/>
      <c r="BJ11" s="548"/>
      <c r="BK11" s="548"/>
      <c r="BL11" s="548"/>
      <c r="BM11" s="548"/>
      <c r="BN11" s="548"/>
      <c r="BO11" s="548"/>
      <c r="BP11" s="548"/>
      <c r="BQ11" s="548"/>
      <c r="BR11" s="548"/>
      <c r="BS11" s="548"/>
      <c r="BT11" s="548"/>
      <c r="BU11" s="548"/>
      <c r="BV11" s="548"/>
      <c r="BW11" s="548"/>
      <c r="BX11" s="548"/>
      <c r="BY11" s="548"/>
      <c r="BZ11" s="548"/>
      <c r="CA11" s="548"/>
      <c r="CB11" s="548"/>
      <c r="CC11" s="548"/>
      <c r="CD11" s="548"/>
      <c r="CE11" s="548"/>
      <c r="CF11" s="548"/>
      <c r="CG11" s="548"/>
      <c r="CH11" s="548"/>
      <c r="CI11" s="548"/>
      <c r="CJ11" s="548"/>
      <c r="CK11" s="548"/>
      <c r="CL11" s="548"/>
      <c r="CM11" s="548"/>
      <c r="CN11" s="548"/>
      <c r="CO11" s="548"/>
      <c r="CP11" s="548"/>
      <c r="CQ11" s="548"/>
      <c r="CR11" s="548"/>
      <c r="CS11" s="548"/>
      <c r="CT11" s="548"/>
      <c r="CU11" s="548"/>
      <c r="CV11" s="548"/>
      <c r="CW11" s="548"/>
      <c r="CX11" s="548"/>
      <c r="CY11" s="548"/>
      <c r="CZ11" s="548"/>
      <c r="DA11" s="548"/>
      <c r="DB11" s="548"/>
      <c r="DC11" s="548"/>
      <c r="DD11" s="548"/>
      <c r="DE11" s="548"/>
      <c r="DF11" s="548"/>
      <c r="DG11" s="548"/>
      <c r="DH11" s="548"/>
      <c r="DI11" s="548"/>
      <c r="DJ11" s="548"/>
      <c r="DK11" s="548"/>
      <c r="DL11" s="548"/>
      <c r="DM11" s="548"/>
      <c r="DN11" s="548"/>
      <c r="DO11" s="548"/>
      <c r="DP11" s="548"/>
      <c r="DQ11" s="548"/>
      <c r="DR11" s="548"/>
      <c r="DS11" s="548"/>
      <c r="DT11" s="548"/>
      <c r="DU11" s="548"/>
      <c r="DV11" s="548"/>
      <c r="DW11" s="548"/>
      <c r="DX11" s="548"/>
      <c r="DY11" s="548"/>
      <c r="DZ11" s="548"/>
      <c r="EA11" s="548"/>
      <c r="EB11" s="548"/>
      <c r="EC11" s="548"/>
      <c r="ED11" s="548"/>
      <c r="EE11" s="548"/>
      <c r="EF11" s="548"/>
      <c r="EG11" s="548"/>
      <c r="EH11" s="548"/>
      <c r="EI11" s="548"/>
      <c r="EJ11" s="548"/>
      <c r="EK11" s="548"/>
      <c r="EL11" s="548"/>
      <c r="EM11" s="548"/>
      <c r="EN11" s="548"/>
      <c r="EO11" s="548"/>
      <c r="EP11" s="548"/>
      <c r="EQ11" s="548"/>
      <c r="ER11" s="548"/>
      <c r="ES11" s="548"/>
      <c r="ET11" s="548"/>
      <c r="EU11" s="548"/>
      <c r="EV11" s="548"/>
      <c r="EW11" s="548"/>
      <c r="EX11" s="548"/>
      <c r="EY11" s="548"/>
      <c r="EZ11" s="548"/>
      <c r="FA11" s="548"/>
      <c r="FB11" s="548"/>
      <c r="FC11" s="548"/>
      <c r="FD11" s="548"/>
      <c r="FE11" s="548"/>
      <c r="FF11" s="548"/>
      <c r="FG11" s="548"/>
      <c r="FH11" s="548"/>
      <c r="FI11" s="548"/>
      <c r="FJ11" s="548"/>
      <c r="FK11" s="548"/>
      <c r="FL11" s="548"/>
      <c r="FM11" s="548"/>
      <c r="FN11" s="548"/>
      <c r="FO11" s="548"/>
      <c r="FP11" s="548"/>
      <c r="FQ11" s="548"/>
      <c r="FR11" s="548"/>
      <c r="FS11" s="548"/>
      <c r="FT11" s="548"/>
      <c r="FU11" s="548"/>
      <c r="FV11" s="548"/>
      <c r="FW11" s="548"/>
      <c r="FX11" s="548"/>
      <c r="FY11" s="548"/>
      <c r="FZ11" s="548"/>
      <c r="GA11" s="548"/>
      <c r="GB11" s="548"/>
      <c r="GC11" s="548"/>
      <c r="GD11" s="548"/>
      <c r="GE11" s="548"/>
      <c r="GF11" s="548"/>
      <c r="GG11" s="548"/>
      <c r="GH11" s="548"/>
      <c r="GI11" s="548"/>
      <c r="GJ11" s="548"/>
      <c r="GK11" s="548"/>
      <c r="GL11" s="548"/>
      <c r="GM11" s="548"/>
      <c r="GN11" s="548"/>
      <c r="GO11" s="548"/>
      <c r="GP11" s="548"/>
      <c r="GQ11" s="548"/>
      <c r="GR11" s="548"/>
      <c r="GS11" s="548"/>
      <c r="GT11" s="548"/>
      <c r="GU11" s="548"/>
      <c r="GV11" s="548"/>
      <c r="GW11" s="548"/>
      <c r="GX11" s="548"/>
      <c r="GY11" s="548"/>
      <c r="GZ11" s="548"/>
      <c r="HA11" s="548"/>
      <c r="HB11" s="548"/>
      <c r="HC11" s="548"/>
      <c r="HD11" s="548"/>
      <c r="HE11" s="548"/>
      <c r="HF11" s="548"/>
      <c r="HG11" s="548"/>
      <c r="HH11" s="548"/>
      <c r="HI11" s="548"/>
      <c r="HJ11" s="548"/>
      <c r="HK11" s="548"/>
      <c r="HL11" s="548"/>
      <c r="HM11" s="548"/>
      <c r="HN11" s="548"/>
      <c r="HO11" s="548"/>
      <c r="HP11" s="548"/>
      <c r="HQ11" s="548"/>
      <c r="HR11" s="548"/>
      <c r="HS11" s="548"/>
      <c r="HT11" s="548"/>
      <c r="HU11" s="548"/>
      <c r="HV11" s="548"/>
      <c r="HW11" s="548"/>
      <c r="HX11" s="548"/>
      <c r="HY11" s="548"/>
      <c r="HZ11" s="548"/>
      <c r="IA11" s="548"/>
      <c r="IB11" s="548"/>
      <c r="IC11" s="548"/>
      <c r="ID11" s="548"/>
      <c r="IE11" s="548"/>
      <c r="IF11" s="548"/>
      <c r="IG11" s="548"/>
      <c r="IH11" s="548"/>
      <c r="II11" s="548"/>
      <c r="IJ11" s="548"/>
      <c r="IK11" s="548"/>
      <c r="IL11" s="548"/>
      <c r="IM11" s="548"/>
      <c r="IN11" s="548"/>
      <c r="IO11" s="548"/>
      <c r="IP11" s="548"/>
      <c r="IQ11" s="548"/>
      <c r="IR11" s="548"/>
      <c r="IS11" s="548"/>
      <c r="IT11" s="548"/>
      <c r="IU11" s="548"/>
      <c r="IV11" s="548"/>
      <c r="IW11" s="548"/>
    </row>
    <row r="12" customFormat="false" ht="11.25" hidden="false" customHeight="true" outlineLevel="0" collapsed="false">
      <c r="A12" s="1038" t="s">
        <v>701</v>
      </c>
      <c r="B12" s="385"/>
      <c r="C12" s="1039" t="n">
        <f aca="false">0*6</f>
        <v>0</v>
      </c>
      <c r="D12" s="1039" t="n">
        <f aca="false">0*6</f>
        <v>0</v>
      </c>
      <c r="E12" s="1039" t="n">
        <f aca="false">0*6</f>
        <v>0</v>
      </c>
      <c r="F12" s="1039" t="n">
        <f aca="false">237.48235891*6</f>
        <v>1424.89415346</v>
      </c>
      <c r="G12" s="1039" t="n">
        <f aca="false">0*6</f>
        <v>0</v>
      </c>
      <c r="H12" s="1039" t="n">
        <f aca="false">0*6</f>
        <v>0</v>
      </c>
      <c r="I12" s="1039" t="n">
        <f aca="false">259.503385604648*6</f>
        <v>1557.02031362789</v>
      </c>
      <c r="J12" s="1039" t="n">
        <f aca="false">0*6</f>
        <v>0</v>
      </c>
      <c r="K12" s="1039" t="n">
        <f aca="false">0*6</f>
        <v>0</v>
      </c>
      <c r="L12" s="1039" t="n">
        <f aca="false">1520.17618140425*6</f>
        <v>9121.0570884255</v>
      </c>
      <c r="M12" s="1039" t="n">
        <f aca="false">0*6</f>
        <v>0</v>
      </c>
      <c r="N12" s="1039" t="n">
        <f aca="false">0*6</f>
        <v>0</v>
      </c>
      <c r="O12" s="1039" t="n">
        <f aca="false">0*6</f>
        <v>0</v>
      </c>
      <c r="P12" s="1039" t="n">
        <f aca="false">319.156431944428*6</f>
        <v>1914.93859166657</v>
      </c>
      <c r="Q12" s="1039" t="n">
        <f aca="false">0*6</f>
        <v>0</v>
      </c>
      <c r="R12" s="1039" t="n">
        <f aca="false">0*6</f>
        <v>0</v>
      </c>
      <c r="S12" s="1039" t="n">
        <f aca="false">2231.34430356686*6</f>
        <v>13388.0658214012</v>
      </c>
      <c r="T12" s="1039" t="n">
        <f aca="false">0*6</f>
        <v>0</v>
      </c>
      <c r="U12" s="1039" t="n">
        <f aca="false">0*6</f>
        <v>0</v>
      </c>
      <c r="V12" s="1039" t="n">
        <f aca="false">3707.26239365785*6</f>
        <v>22243.5743619471</v>
      </c>
      <c r="W12" s="871"/>
      <c r="X12" s="1037"/>
      <c r="Y12" s="1037"/>
      <c r="Z12" s="1037"/>
      <c r="AA12" s="1037"/>
      <c r="AB12" s="1"/>
      <c r="AC12" s="1"/>
      <c r="AD12" s="1"/>
      <c r="AE12" s="1"/>
      <c r="AF12" s="548"/>
      <c r="AG12" s="548"/>
      <c r="AH12" s="548"/>
      <c r="AI12" s="548"/>
      <c r="AJ12" s="548"/>
      <c r="AK12" s="548"/>
      <c r="AL12" s="548"/>
      <c r="AM12" s="548"/>
      <c r="AN12" s="548"/>
      <c r="AO12" s="548"/>
      <c r="AP12" s="548"/>
      <c r="AQ12" s="548"/>
      <c r="AR12" s="548"/>
      <c r="AS12" s="548"/>
      <c r="AT12" s="548"/>
      <c r="AU12" s="548"/>
      <c r="AV12" s="548"/>
      <c r="AW12" s="548"/>
      <c r="AX12" s="548"/>
      <c r="AY12" s="548"/>
      <c r="AZ12" s="548"/>
      <c r="BA12" s="548"/>
      <c r="BB12" s="548"/>
      <c r="BC12" s="548"/>
      <c r="BD12" s="548"/>
      <c r="BE12" s="548"/>
      <c r="BF12" s="548"/>
      <c r="BG12" s="548"/>
      <c r="BH12" s="548"/>
      <c r="BI12" s="548"/>
      <c r="BJ12" s="548"/>
      <c r="BK12" s="548"/>
      <c r="BL12" s="548"/>
      <c r="BM12" s="548"/>
      <c r="BN12" s="548"/>
      <c r="BO12" s="548"/>
      <c r="BP12" s="548"/>
      <c r="BQ12" s="548"/>
      <c r="BR12" s="548"/>
      <c r="BS12" s="548"/>
      <c r="BT12" s="548"/>
      <c r="BU12" s="548"/>
      <c r="BV12" s="548"/>
      <c r="BW12" s="548"/>
      <c r="BX12" s="548"/>
      <c r="BY12" s="548"/>
      <c r="BZ12" s="548"/>
      <c r="CA12" s="548"/>
      <c r="CB12" s="548"/>
      <c r="CC12" s="548"/>
      <c r="CD12" s="548"/>
      <c r="CE12" s="548"/>
      <c r="CF12" s="548"/>
      <c r="CG12" s="548"/>
      <c r="CH12" s="548"/>
      <c r="CI12" s="548"/>
      <c r="CJ12" s="548"/>
      <c r="CK12" s="548"/>
      <c r="CL12" s="548"/>
      <c r="CM12" s="548"/>
      <c r="CN12" s="548"/>
      <c r="CO12" s="548"/>
      <c r="CP12" s="548"/>
      <c r="CQ12" s="548"/>
      <c r="CR12" s="548"/>
      <c r="CS12" s="548"/>
      <c r="CT12" s="548"/>
      <c r="CU12" s="548"/>
      <c r="CV12" s="548"/>
      <c r="CW12" s="548"/>
      <c r="CX12" s="548"/>
      <c r="CY12" s="548"/>
      <c r="CZ12" s="548"/>
      <c r="DA12" s="548"/>
      <c r="DB12" s="548"/>
      <c r="DC12" s="548"/>
      <c r="DD12" s="548"/>
      <c r="DE12" s="548"/>
      <c r="DF12" s="548"/>
      <c r="DG12" s="548"/>
      <c r="DH12" s="548"/>
      <c r="DI12" s="548"/>
      <c r="DJ12" s="548"/>
      <c r="DK12" s="548"/>
      <c r="DL12" s="548"/>
      <c r="DM12" s="548"/>
      <c r="DN12" s="548"/>
      <c r="DO12" s="548"/>
      <c r="DP12" s="548"/>
      <c r="DQ12" s="548"/>
      <c r="DR12" s="548"/>
      <c r="DS12" s="548"/>
      <c r="DT12" s="548"/>
      <c r="DU12" s="548"/>
      <c r="DV12" s="548"/>
      <c r="DW12" s="548"/>
      <c r="DX12" s="548"/>
      <c r="DY12" s="548"/>
      <c r="DZ12" s="548"/>
      <c r="EA12" s="548"/>
      <c r="EB12" s="548"/>
      <c r="EC12" s="548"/>
      <c r="ED12" s="548"/>
      <c r="EE12" s="548"/>
      <c r="EF12" s="548"/>
      <c r="EG12" s="548"/>
      <c r="EH12" s="548"/>
      <c r="EI12" s="548"/>
      <c r="EJ12" s="548"/>
      <c r="EK12" s="548"/>
      <c r="EL12" s="548"/>
      <c r="EM12" s="548"/>
      <c r="EN12" s="548"/>
      <c r="EO12" s="548"/>
      <c r="EP12" s="548"/>
      <c r="EQ12" s="548"/>
      <c r="ER12" s="548"/>
      <c r="ES12" s="548"/>
      <c r="ET12" s="548"/>
      <c r="EU12" s="548"/>
      <c r="EV12" s="548"/>
      <c r="EW12" s="548"/>
      <c r="EX12" s="548"/>
      <c r="EY12" s="548"/>
      <c r="EZ12" s="548"/>
      <c r="FA12" s="548"/>
      <c r="FB12" s="548"/>
      <c r="FC12" s="548"/>
      <c r="FD12" s="548"/>
      <c r="FE12" s="548"/>
      <c r="FF12" s="548"/>
      <c r="FG12" s="548"/>
      <c r="FH12" s="548"/>
      <c r="FI12" s="548"/>
      <c r="FJ12" s="548"/>
      <c r="FK12" s="548"/>
      <c r="FL12" s="548"/>
      <c r="FM12" s="548"/>
      <c r="FN12" s="548"/>
      <c r="FO12" s="548"/>
      <c r="FP12" s="548"/>
      <c r="FQ12" s="548"/>
      <c r="FR12" s="548"/>
      <c r="FS12" s="548"/>
      <c r="FT12" s="548"/>
      <c r="FU12" s="548"/>
      <c r="FV12" s="548"/>
      <c r="FW12" s="548"/>
      <c r="FX12" s="548"/>
      <c r="FY12" s="548"/>
      <c r="FZ12" s="548"/>
      <c r="GA12" s="548"/>
      <c r="GB12" s="548"/>
      <c r="GC12" s="548"/>
      <c r="GD12" s="548"/>
      <c r="GE12" s="548"/>
      <c r="GF12" s="548"/>
      <c r="GG12" s="548"/>
      <c r="GH12" s="548"/>
      <c r="GI12" s="548"/>
      <c r="GJ12" s="548"/>
      <c r="GK12" s="548"/>
      <c r="GL12" s="548"/>
      <c r="GM12" s="548"/>
      <c r="GN12" s="548"/>
      <c r="GO12" s="548"/>
      <c r="GP12" s="548"/>
      <c r="GQ12" s="548"/>
      <c r="GR12" s="548"/>
      <c r="GS12" s="548"/>
      <c r="GT12" s="548"/>
      <c r="GU12" s="548"/>
      <c r="GV12" s="548"/>
      <c r="GW12" s="548"/>
      <c r="GX12" s="548"/>
      <c r="GY12" s="548"/>
      <c r="GZ12" s="548"/>
      <c r="HA12" s="548"/>
      <c r="HB12" s="548"/>
      <c r="HC12" s="548"/>
      <c r="HD12" s="548"/>
      <c r="HE12" s="548"/>
      <c r="HF12" s="548"/>
      <c r="HG12" s="548"/>
      <c r="HH12" s="548"/>
      <c r="HI12" s="548"/>
      <c r="HJ12" s="548"/>
      <c r="HK12" s="548"/>
      <c r="HL12" s="548"/>
      <c r="HM12" s="548"/>
      <c r="HN12" s="548"/>
      <c r="HO12" s="548"/>
      <c r="HP12" s="548"/>
      <c r="HQ12" s="548"/>
      <c r="HR12" s="548"/>
      <c r="HS12" s="548"/>
      <c r="HT12" s="548"/>
      <c r="HU12" s="548"/>
      <c r="HV12" s="548"/>
      <c r="HW12" s="548"/>
      <c r="HX12" s="548"/>
      <c r="HY12" s="548"/>
      <c r="HZ12" s="548"/>
      <c r="IA12" s="548"/>
      <c r="IB12" s="548"/>
      <c r="IC12" s="548"/>
      <c r="ID12" s="548"/>
      <c r="IE12" s="548"/>
      <c r="IF12" s="548"/>
      <c r="IG12" s="548"/>
      <c r="IH12" s="548"/>
      <c r="II12" s="548"/>
      <c r="IJ12" s="548"/>
      <c r="IK12" s="548"/>
      <c r="IL12" s="548"/>
      <c r="IM12" s="548"/>
      <c r="IN12" s="548"/>
      <c r="IO12" s="548"/>
      <c r="IP12" s="548"/>
      <c r="IQ12" s="548"/>
      <c r="IR12" s="548"/>
      <c r="IS12" s="548"/>
      <c r="IT12" s="548"/>
      <c r="IU12" s="548"/>
      <c r="IV12" s="548"/>
      <c r="IW12" s="548"/>
    </row>
    <row r="13" customFormat="false" ht="11.25" hidden="false" customHeight="true" outlineLevel="0" collapsed="false">
      <c r="A13" s="412" t="s">
        <v>702</v>
      </c>
      <c r="B13" s="385"/>
      <c r="C13" s="818" t="n">
        <f aca="false">C11</f>
        <v>1349.28</v>
      </c>
      <c r="D13" s="818" t="n">
        <f aca="false">C13+D11-D12</f>
        <v>2739.0384</v>
      </c>
      <c r="E13" s="818" t="n">
        <f aca="false">D13+E11-E12</f>
        <v>4170.489552</v>
      </c>
      <c r="F13" s="818" t="n">
        <f aca="false">E13+F11-F12</f>
        <v>4219.9900851</v>
      </c>
      <c r="G13" s="818" t="n">
        <f aca="false">F13+G11-G12</f>
        <v>5738.6166122568</v>
      </c>
      <c r="H13" s="818" t="n">
        <f aca="false">G13+H11-H12</f>
        <v>7302.80193522831</v>
      </c>
      <c r="I13" s="818" t="n">
        <f aca="false">H13+I11-I12</f>
        <v>7356.89250426107</v>
      </c>
      <c r="J13" s="818" t="n">
        <f aca="false">I13+J11-J12</f>
        <v>9016.33671340154</v>
      </c>
      <c r="K13" s="818" t="n">
        <f aca="false">J13+K11-K12</f>
        <v>10725.5642488162</v>
      </c>
      <c r="L13" s="818" t="n">
        <f aca="false">K13+L11-L12</f>
        <v>3365.01152186784</v>
      </c>
      <c r="M13" s="818" t="n">
        <f aca="false">L13+M11-M12</f>
        <v>5178.33101418928</v>
      </c>
      <c r="N13" s="818" t="n">
        <f aca="false">M13+N11-N12</f>
        <v>7046.05009128036</v>
      </c>
      <c r="O13" s="818" t="n">
        <f aca="false">N13+O11-O12</f>
        <v>8969.80074068417</v>
      </c>
      <c r="P13" s="818" t="n">
        <f aca="false">O13+P11-P12</f>
        <v>9036.32531790354</v>
      </c>
      <c r="Q13" s="818" t="n">
        <f aca="false">P13+Q11-Q12</f>
        <v>11077.232381856</v>
      </c>
      <c r="R13" s="818" t="n">
        <f aca="false">Q13+R11-R12</f>
        <v>13179.3666577271</v>
      </c>
      <c r="S13" s="818" t="n">
        <f aca="false">R13+S11-S12</f>
        <v>1956.49914047317</v>
      </c>
      <c r="T13" s="818" t="n">
        <f aca="false">S13+T11-T12</f>
        <v>4186.6533937448</v>
      </c>
      <c r="U13" s="818" t="n">
        <f aca="false">T13+U11-U12</f>
        <v>6483.71227461458</v>
      </c>
      <c r="V13" s="818" t="n">
        <f aca="false">U13+V11-V12</f>
        <v>-13393.8914400367</v>
      </c>
      <c r="W13" s="871" t="n">
        <f aca="false">V13+W11-W12</f>
        <v>-10956.9416733219</v>
      </c>
      <c r="X13" s="1037"/>
      <c r="Y13" s="1037"/>
      <c r="Z13" s="1037"/>
      <c r="AA13" s="1037"/>
      <c r="AB13" s="1"/>
      <c r="AC13" s="1"/>
      <c r="AD13" s="1"/>
      <c r="AE13" s="1"/>
      <c r="AF13" s="548"/>
      <c r="AG13" s="548"/>
      <c r="AH13" s="548"/>
      <c r="AI13" s="548"/>
      <c r="AJ13" s="548"/>
      <c r="AK13" s="548"/>
      <c r="AL13" s="548"/>
      <c r="AM13" s="548"/>
      <c r="AN13" s="548"/>
      <c r="AO13" s="548"/>
      <c r="AP13" s="548"/>
      <c r="AQ13" s="548"/>
      <c r="AR13" s="548"/>
      <c r="AS13" s="548"/>
      <c r="AT13" s="548"/>
      <c r="AU13" s="548"/>
      <c r="AV13" s="548"/>
      <c r="AW13" s="548"/>
      <c r="AX13" s="548"/>
      <c r="AY13" s="548"/>
      <c r="AZ13" s="548"/>
      <c r="BA13" s="548"/>
      <c r="BB13" s="548"/>
      <c r="BC13" s="548"/>
      <c r="BD13" s="548"/>
      <c r="BE13" s="548"/>
      <c r="BF13" s="548"/>
      <c r="BG13" s="548"/>
      <c r="BH13" s="548"/>
      <c r="BI13" s="548"/>
      <c r="BJ13" s="548"/>
      <c r="BK13" s="548"/>
      <c r="BL13" s="548"/>
      <c r="BM13" s="548"/>
      <c r="BN13" s="548"/>
      <c r="BO13" s="548"/>
      <c r="BP13" s="548"/>
      <c r="BQ13" s="548"/>
      <c r="BR13" s="548"/>
      <c r="BS13" s="548"/>
      <c r="BT13" s="548"/>
      <c r="BU13" s="548"/>
      <c r="BV13" s="548"/>
      <c r="BW13" s="548"/>
      <c r="BX13" s="548"/>
      <c r="BY13" s="548"/>
      <c r="BZ13" s="548"/>
      <c r="CA13" s="548"/>
      <c r="CB13" s="548"/>
      <c r="CC13" s="548"/>
      <c r="CD13" s="548"/>
      <c r="CE13" s="548"/>
      <c r="CF13" s="548"/>
      <c r="CG13" s="548"/>
      <c r="CH13" s="548"/>
      <c r="CI13" s="548"/>
      <c r="CJ13" s="548"/>
      <c r="CK13" s="548"/>
      <c r="CL13" s="548"/>
      <c r="CM13" s="548"/>
      <c r="CN13" s="548"/>
      <c r="CO13" s="548"/>
      <c r="CP13" s="548"/>
      <c r="CQ13" s="548"/>
      <c r="CR13" s="548"/>
      <c r="CS13" s="548"/>
      <c r="CT13" s="548"/>
      <c r="CU13" s="548"/>
      <c r="CV13" s="548"/>
      <c r="CW13" s="548"/>
      <c r="CX13" s="548"/>
      <c r="CY13" s="548"/>
      <c r="CZ13" s="548"/>
      <c r="DA13" s="548"/>
      <c r="DB13" s="548"/>
      <c r="DC13" s="548"/>
      <c r="DD13" s="548"/>
      <c r="DE13" s="548"/>
      <c r="DF13" s="548"/>
      <c r="DG13" s="548"/>
      <c r="DH13" s="548"/>
      <c r="DI13" s="548"/>
      <c r="DJ13" s="548"/>
      <c r="DK13" s="548"/>
      <c r="DL13" s="548"/>
      <c r="DM13" s="548"/>
      <c r="DN13" s="548"/>
      <c r="DO13" s="548"/>
      <c r="DP13" s="548"/>
      <c r="DQ13" s="548"/>
      <c r="DR13" s="548"/>
      <c r="DS13" s="548"/>
      <c r="DT13" s="548"/>
      <c r="DU13" s="548"/>
      <c r="DV13" s="548"/>
      <c r="DW13" s="548"/>
      <c r="DX13" s="548"/>
      <c r="DY13" s="548"/>
      <c r="DZ13" s="548"/>
      <c r="EA13" s="548"/>
      <c r="EB13" s="548"/>
      <c r="EC13" s="548"/>
      <c r="ED13" s="548"/>
      <c r="EE13" s="548"/>
      <c r="EF13" s="548"/>
      <c r="EG13" s="548"/>
      <c r="EH13" s="548"/>
      <c r="EI13" s="548"/>
      <c r="EJ13" s="548"/>
      <c r="EK13" s="548"/>
      <c r="EL13" s="548"/>
      <c r="EM13" s="548"/>
      <c r="EN13" s="548"/>
      <c r="EO13" s="548"/>
      <c r="EP13" s="548"/>
      <c r="EQ13" s="548"/>
      <c r="ER13" s="548"/>
      <c r="ES13" s="548"/>
      <c r="ET13" s="548"/>
      <c r="EU13" s="548"/>
      <c r="EV13" s="548"/>
      <c r="EW13" s="548"/>
      <c r="EX13" s="548"/>
      <c r="EY13" s="548"/>
      <c r="EZ13" s="548"/>
      <c r="FA13" s="548"/>
      <c r="FB13" s="548"/>
      <c r="FC13" s="548"/>
      <c r="FD13" s="548"/>
      <c r="FE13" s="548"/>
      <c r="FF13" s="548"/>
      <c r="FG13" s="548"/>
      <c r="FH13" s="548"/>
      <c r="FI13" s="548"/>
      <c r="FJ13" s="548"/>
      <c r="FK13" s="548"/>
      <c r="FL13" s="548"/>
      <c r="FM13" s="548"/>
      <c r="FN13" s="548"/>
      <c r="FO13" s="548"/>
      <c r="FP13" s="548"/>
      <c r="FQ13" s="548"/>
      <c r="FR13" s="548"/>
      <c r="FS13" s="548"/>
      <c r="FT13" s="548"/>
      <c r="FU13" s="548"/>
      <c r="FV13" s="548"/>
      <c r="FW13" s="548"/>
      <c r="FX13" s="548"/>
      <c r="FY13" s="548"/>
      <c r="FZ13" s="548"/>
      <c r="GA13" s="548"/>
      <c r="GB13" s="548"/>
      <c r="GC13" s="548"/>
      <c r="GD13" s="548"/>
      <c r="GE13" s="548"/>
      <c r="GF13" s="548"/>
      <c r="GG13" s="548"/>
      <c r="GH13" s="548"/>
      <c r="GI13" s="548"/>
      <c r="GJ13" s="548"/>
      <c r="GK13" s="548"/>
      <c r="GL13" s="548"/>
      <c r="GM13" s="548"/>
      <c r="GN13" s="548"/>
      <c r="GO13" s="548"/>
      <c r="GP13" s="548"/>
      <c r="GQ13" s="548"/>
      <c r="GR13" s="548"/>
      <c r="GS13" s="548"/>
      <c r="GT13" s="548"/>
      <c r="GU13" s="548"/>
      <c r="GV13" s="548"/>
      <c r="GW13" s="548"/>
      <c r="GX13" s="548"/>
      <c r="GY13" s="548"/>
      <c r="GZ13" s="548"/>
      <c r="HA13" s="548"/>
      <c r="HB13" s="548"/>
      <c r="HC13" s="548"/>
      <c r="HD13" s="548"/>
      <c r="HE13" s="548"/>
      <c r="HF13" s="548"/>
      <c r="HG13" s="548"/>
      <c r="HH13" s="548"/>
      <c r="HI13" s="548"/>
      <c r="HJ13" s="548"/>
      <c r="HK13" s="548"/>
      <c r="HL13" s="548"/>
      <c r="HM13" s="548"/>
      <c r="HN13" s="548"/>
      <c r="HO13" s="548"/>
      <c r="HP13" s="548"/>
      <c r="HQ13" s="548"/>
      <c r="HR13" s="548"/>
      <c r="HS13" s="548"/>
      <c r="HT13" s="548"/>
      <c r="HU13" s="548"/>
      <c r="HV13" s="548"/>
      <c r="HW13" s="548"/>
      <c r="HX13" s="548"/>
      <c r="HY13" s="548"/>
      <c r="HZ13" s="548"/>
      <c r="IA13" s="548"/>
      <c r="IB13" s="548"/>
      <c r="IC13" s="548"/>
      <c r="ID13" s="548"/>
      <c r="IE13" s="548"/>
      <c r="IF13" s="548"/>
      <c r="IG13" s="548"/>
      <c r="IH13" s="548"/>
      <c r="II13" s="548"/>
      <c r="IJ13" s="548"/>
      <c r="IK13" s="548"/>
      <c r="IL13" s="548"/>
      <c r="IM13" s="548"/>
      <c r="IN13" s="548"/>
      <c r="IO13" s="548"/>
      <c r="IP13" s="548"/>
      <c r="IQ13" s="548"/>
      <c r="IR13" s="548"/>
      <c r="IS13" s="548"/>
      <c r="IT13" s="548"/>
      <c r="IU13" s="548"/>
      <c r="IV13" s="548"/>
      <c r="IW13" s="548"/>
    </row>
    <row r="14" customFormat="false" ht="11.25" hidden="false" customHeight="false" outlineLevel="0" collapsed="false">
      <c r="A14" s="468" t="s">
        <v>703</v>
      </c>
      <c r="B14" s="772"/>
      <c r="C14" s="823" t="n">
        <f aca="false">C13*InterestIncome</f>
        <v>18.203074330799</v>
      </c>
      <c r="D14" s="823" t="n">
        <f aca="false">D13*InterestIncome</f>
        <v>36.952240891522</v>
      </c>
      <c r="E14" s="823" t="n">
        <f aca="false">E13*InterestIncome</f>
        <v>56.2638824490667</v>
      </c>
      <c r="F14" s="823" t="n">
        <f aca="false">F13*InterestIncome</f>
        <v>56.9316918610742</v>
      </c>
      <c r="G14" s="823" t="n">
        <f aca="false">G13*InterestIncome</f>
        <v>77.4194123894734</v>
      </c>
      <c r="H14" s="823" t="n">
        <f aca="false">H13*InterestIncome</f>
        <v>98.5217645337245</v>
      </c>
      <c r="I14" s="823" t="n">
        <f aca="false">I13*InterestIncome</f>
        <v>99.2514979090792</v>
      </c>
      <c r="J14" s="823" t="n">
        <f aca="false">J13*InterestIncome</f>
        <v>121.638983298915</v>
      </c>
      <c r="K14" s="823" t="n">
        <f aca="false">K13*InterestIncome</f>
        <v>144.698093250446</v>
      </c>
      <c r="L14" s="823" t="n">
        <f aca="false">L13*InterestIncome</f>
        <v>45.3972154456862</v>
      </c>
      <c r="M14" s="823" t="n">
        <f aca="false">M13*InterestIncome</f>
        <v>69.8606251932656</v>
      </c>
      <c r="N14" s="823" t="n">
        <f aca="false">N13*InterestIncome</f>
        <v>95.0579372332723</v>
      </c>
      <c r="O14" s="823" t="n">
        <f aca="false">O13*InterestIncome</f>
        <v>121.011168634479</v>
      </c>
      <c r="P14" s="823" t="n">
        <f aca="false">P13*InterestIncome</f>
        <v>121.908648641556</v>
      </c>
      <c r="Q14" s="823" t="n">
        <f aca="false">Q13*InterestIncome</f>
        <v>149.442431835097</v>
      </c>
      <c r="R14" s="823" t="n">
        <f aca="false">R13*InterestIncome</f>
        <v>177.802228524443</v>
      </c>
      <c r="S14" s="823" t="n">
        <f aca="false">S13*InterestIncome</f>
        <v>26.3950397857951</v>
      </c>
      <c r="T14" s="823" t="n">
        <f aca="false">T13*InterestIncome</f>
        <v>56.4819480935229</v>
      </c>
      <c r="U14" s="823" t="n">
        <f aca="false">U13*InterestIncome</f>
        <v>87.4714636504826</v>
      </c>
      <c r="V14" s="823" t="n">
        <f aca="false">V13*InterestIncome</f>
        <v>-180.696372481353</v>
      </c>
      <c r="W14" s="824" t="n">
        <f aca="false">W13*InterestIncome</f>
        <v>-147.819595426974</v>
      </c>
      <c r="X14" s="821"/>
      <c r="Y14" s="821"/>
      <c r="Z14" s="821"/>
      <c r="AA14" s="821"/>
      <c r="AB14" s="1"/>
      <c r="AC14" s="1"/>
      <c r="AD14" s="1"/>
      <c r="AE14" s="1"/>
      <c r="AF14" s="548"/>
      <c r="AG14" s="548"/>
      <c r="AH14" s="548"/>
      <c r="AI14" s="548"/>
      <c r="AJ14" s="548"/>
      <c r="AK14" s="548"/>
      <c r="AL14" s="548"/>
      <c r="AM14" s="548"/>
      <c r="AN14" s="548"/>
      <c r="AO14" s="548"/>
      <c r="AP14" s="548"/>
      <c r="AQ14" s="548"/>
      <c r="AR14" s="548"/>
      <c r="AS14" s="548"/>
      <c r="AT14" s="548"/>
      <c r="AU14" s="548"/>
      <c r="AV14" s="548"/>
      <c r="AW14" s="548"/>
      <c r="AX14" s="548"/>
      <c r="AY14" s="548"/>
      <c r="AZ14" s="548"/>
      <c r="BA14" s="548"/>
      <c r="BB14" s="548"/>
      <c r="BC14" s="548"/>
      <c r="BD14" s="548"/>
      <c r="BE14" s="548"/>
      <c r="BF14" s="548"/>
      <c r="BG14" s="548"/>
      <c r="BH14" s="548"/>
      <c r="BI14" s="548"/>
      <c r="BJ14" s="548"/>
      <c r="BK14" s="548"/>
      <c r="BL14" s="548"/>
      <c r="BM14" s="548"/>
      <c r="BN14" s="548"/>
      <c r="BO14" s="548"/>
      <c r="BP14" s="548"/>
      <c r="BQ14" s="548"/>
      <c r="BR14" s="548"/>
      <c r="BS14" s="548"/>
      <c r="BT14" s="548"/>
      <c r="BU14" s="548"/>
      <c r="BV14" s="548"/>
      <c r="BW14" s="548"/>
      <c r="BX14" s="548"/>
      <c r="BY14" s="548"/>
      <c r="BZ14" s="548"/>
      <c r="CA14" s="548"/>
      <c r="CB14" s="548"/>
      <c r="CC14" s="548"/>
      <c r="CD14" s="548"/>
      <c r="CE14" s="548"/>
      <c r="CF14" s="548"/>
      <c r="CG14" s="548"/>
      <c r="CH14" s="548"/>
      <c r="CI14" s="548"/>
      <c r="CJ14" s="548"/>
      <c r="CK14" s="548"/>
      <c r="CL14" s="548"/>
      <c r="CM14" s="548"/>
      <c r="CN14" s="548"/>
      <c r="CO14" s="548"/>
      <c r="CP14" s="548"/>
      <c r="CQ14" s="548"/>
      <c r="CR14" s="548"/>
      <c r="CS14" s="548"/>
      <c r="CT14" s="548"/>
      <c r="CU14" s="548"/>
      <c r="CV14" s="548"/>
      <c r="CW14" s="548"/>
      <c r="CX14" s="548"/>
      <c r="CY14" s="548"/>
      <c r="CZ14" s="548"/>
      <c r="DA14" s="548"/>
      <c r="DB14" s="548"/>
      <c r="DC14" s="548"/>
      <c r="DD14" s="548"/>
      <c r="DE14" s="548"/>
      <c r="DF14" s="548"/>
      <c r="DG14" s="548"/>
      <c r="DH14" s="548"/>
      <c r="DI14" s="548"/>
      <c r="DJ14" s="548"/>
      <c r="DK14" s="548"/>
      <c r="DL14" s="548"/>
      <c r="DM14" s="548"/>
      <c r="DN14" s="548"/>
      <c r="DO14" s="548"/>
      <c r="DP14" s="548"/>
      <c r="DQ14" s="548"/>
      <c r="DR14" s="548"/>
      <c r="DS14" s="548"/>
      <c r="DT14" s="548"/>
      <c r="DU14" s="548"/>
      <c r="DV14" s="548"/>
      <c r="DW14" s="548"/>
      <c r="DX14" s="548"/>
      <c r="DY14" s="548"/>
      <c r="DZ14" s="548"/>
      <c r="EA14" s="548"/>
      <c r="EB14" s="548"/>
      <c r="EC14" s="548"/>
      <c r="ED14" s="548"/>
      <c r="EE14" s="548"/>
      <c r="EF14" s="548"/>
      <c r="EG14" s="548"/>
      <c r="EH14" s="548"/>
      <c r="EI14" s="548"/>
      <c r="EJ14" s="548"/>
      <c r="EK14" s="548"/>
      <c r="EL14" s="548"/>
      <c r="EM14" s="548"/>
      <c r="EN14" s="548"/>
      <c r="EO14" s="548"/>
      <c r="EP14" s="548"/>
      <c r="EQ14" s="548"/>
      <c r="ER14" s="548"/>
      <c r="ES14" s="548"/>
      <c r="ET14" s="548"/>
      <c r="EU14" s="548"/>
      <c r="EV14" s="548"/>
      <c r="EW14" s="548"/>
      <c r="EX14" s="548"/>
      <c r="EY14" s="548"/>
      <c r="EZ14" s="548"/>
      <c r="FA14" s="548"/>
      <c r="FB14" s="548"/>
      <c r="FC14" s="548"/>
      <c r="FD14" s="548"/>
      <c r="FE14" s="548"/>
      <c r="FF14" s="548"/>
      <c r="FG14" s="548"/>
      <c r="FH14" s="548"/>
      <c r="FI14" s="548"/>
      <c r="FJ14" s="548"/>
      <c r="FK14" s="548"/>
      <c r="FL14" s="548"/>
      <c r="FM14" s="548"/>
      <c r="FN14" s="548"/>
      <c r="FO14" s="548"/>
      <c r="FP14" s="548"/>
      <c r="FQ14" s="548"/>
      <c r="FR14" s="548"/>
      <c r="FS14" s="548"/>
      <c r="FT14" s="548"/>
      <c r="FU14" s="548"/>
      <c r="FV14" s="548"/>
      <c r="FW14" s="548"/>
      <c r="FX14" s="548"/>
      <c r="FY14" s="548"/>
      <c r="FZ14" s="548"/>
      <c r="GA14" s="548"/>
      <c r="GB14" s="548"/>
      <c r="GC14" s="548"/>
      <c r="GD14" s="548"/>
      <c r="GE14" s="548"/>
      <c r="GF14" s="548"/>
      <c r="GG14" s="548"/>
      <c r="GH14" s="548"/>
      <c r="GI14" s="548"/>
      <c r="GJ14" s="548"/>
      <c r="GK14" s="548"/>
      <c r="GL14" s="548"/>
      <c r="GM14" s="548"/>
      <c r="GN14" s="548"/>
      <c r="GO14" s="548"/>
      <c r="GP14" s="548"/>
      <c r="GQ14" s="548"/>
      <c r="GR14" s="548"/>
      <c r="GS14" s="548"/>
      <c r="GT14" s="548"/>
      <c r="GU14" s="548"/>
      <c r="GV14" s="548"/>
      <c r="GW14" s="548"/>
      <c r="GX14" s="548"/>
      <c r="GY14" s="548"/>
      <c r="GZ14" s="548"/>
      <c r="HA14" s="548"/>
      <c r="HB14" s="548"/>
      <c r="HC14" s="548"/>
      <c r="HD14" s="548"/>
      <c r="HE14" s="548"/>
      <c r="HF14" s="548"/>
      <c r="HG14" s="548"/>
      <c r="HH14" s="548"/>
      <c r="HI14" s="548"/>
      <c r="HJ14" s="548"/>
      <c r="HK14" s="548"/>
      <c r="HL14" s="548"/>
      <c r="HM14" s="548"/>
      <c r="HN14" s="548"/>
      <c r="HO14" s="548"/>
      <c r="HP14" s="548"/>
      <c r="HQ14" s="548"/>
      <c r="HR14" s="548"/>
      <c r="HS14" s="548"/>
      <c r="HT14" s="548"/>
      <c r="HU14" s="548"/>
      <c r="HV14" s="548"/>
      <c r="HW14" s="548"/>
      <c r="HX14" s="548"/>
      <c r="HY14" s="548"/>
      <c r="HZ14" s="548"/>
      <c r="IA14" s="548"/>
      <c r="IB14" s="548"/>
      <c r="IC14" s="548"/>
      <c r="ID14" s="548"/>
      <c r="IE14" s="548"/>
      <c r="IF14" s="548"/>
      <c r="IG14" s="548"/>
      <c r="IH14" s="548"/>
      <c r="II14" s="548"/>
      <c r="IJ14" s="548"/>
      <c r="IK14" s="548"/>
      <c r="IL14" s="548"/>
      <c r="IM14" s="548"/>
      <c r="IN14" s="548"/>
      <c r="IO14" s="548"/>
      <c r="IP14" s="548"/>
      <c r="IQ14" s="548"/>
      <c r="IR14" s="548"/>
      <c r="IS14" s="548"/>
      <c r="IT14" s="548"/>
      <c r="IU14" s="548"/>
      <c r="IV14" s="548"/>
      <c r="IW14" s="548"/>
    </row>
    <row r="15" customFormat="false" ht="11.25" hidden="true" customHeight="false" outlineLevel="0" collapsed="false">
      <c r="A15" s="1" t="s">
        <v>704</v>
      </c>
      <c r="B15" s="1"/>
      <c r="C15" s="1040" t="n">
        <f aca="false">C14</f>
        <v>18.203074330799</v>
      </c>
      <c r="D15" s="1040" t="n">
        <f aca="false">C15+D14</f>
        <v>55.1553152223211</v>
      </c>
      <c r="E15" s="1040" t="n">
        <f aca="false">D15+E14</f>
        <v>111.419197671388</v>
      </c>
      <c r="F15" s="1040" t="n">
        <f aca="false">E15+F14</f>
        <v>168.350889532462</v>
      </c>
      <c r="G15" s="1040" t="n">
        <f aca="false">F15+G14</f>
        <v>245.770301921935</v>
      </c>
      <c r="H15" s="1040" t="n">
        <f aca="false">G15+H14</f>
        <v>344.29206645566</v>
      </c>
      <c r="I15" s="1040" t="n">
        <f aca="false">H15+I14</f>
        <v>443.543564364739</v>
      </c>
      <c r="J15" s="1040" t="n">
        <f aca="false">I15+J14</f>
        <v>565.182547663654</v>
      </c>
      <c r="K15" s="1040" t="n">
        <f aca="false">J15+K14</f>
        <v>709.880640914101</v>
      </c>
      <c r="L15" s="1040" t="n">
        <f aca="false">K15+L14</f>
        <v>755.277856359787</v>
      </c>
      <c r="M15" s="1040" t="n">
        <f aca="false">L15+M14</f>
        <v>825.138481553053</v>
      </c>
      <c r="N15" s="1040" t="n">
        <f aca="false">M15+N14</f>
        <v>920.196418786325</v>
      </c>
      <c r="O15" s="1040" t="n">
        <f aca="false">N15+O14</f>
        <v>1041.2075874208</v>
      </c>
      <c r="P15" s="1040" t="n">
        <f aca="false">O15+P14</f>
        <v>1163.11623606236</v>
      </c>
      <c r="Q15" s="1040" t="n">
        <f aca="false">P15+Q14</f>
        <v>1312.55866789746</v>
      </c>
      <c r="R15" s="1040" t="n">
        <f aca="false">Q15+R14</f>
        <v>1490.3608964219</v>
      </c>
      <c r="S15" s="1040" t="n">
        <f aca="false">R15+S14</f>
        <v>1516.7559362077</v>
      </c>
      <c r="T15" s="1040" t="n">
        <f aca="false">S15+T14</f>
        <v>1573.23788430122</v>
      </c>
      <c r="U15" s="1040" t="n">
        <f aca="false">T15+U14</f>
        <v>1660.7093479517</v>
      </c>
      <c r="V15" s="1040" t="n">
        <f aca="false">U15+V14</f>
        <v>1480.01297547035</v>
      </c>
      <c r="W15" s="1040"/>
      <c r="X15" s="1040"/>
      <c r="Y15" s="1040"/>
      <c r="Z15" s="1040"/>
      <c r="AA15" s="1040"/>
      <c r="AB15" s="1"/>
      <c r="AC15" s="1"/>
      <c r="AD15" s="1"/>
      <c r="AE15" s="1"/>
      <c r="AF15" s="548"/>
      <c r="AG15" s="548"/>
      <c r="AH15" s="548"/>
      <c r="AI15" s="548"/>
      <c r="AJ15" s="548"/>
      <c r="AK15" s="548"/>
      <c r="AL15" s="548"/>
      <c r="AM15" s="548"/>
      <c r="AN15" s="548"/>
      <c r="AO15" s="548"/>
      <c r="AP15" s="548"/>
      <c r="AQ15" s="548"/>
      <c r="AR15" s="548"/>
      <c r="AS15" s="548"/>
      <c r="AT15" s="548"/>
      <c r="AU15" s="548"/>
      <c r="AV15" s="548"/>
      <c r="AW15" s="548"/>
      <c r="AX15" s="548"/>
      <c r="AY15" s="548"/>
      <c r="AZ15" s="548"/>
      <c r="BA15" s="548"/>
      <c r="BB15" s="548"/>
      <c r="BC15" s="548"/>
      <c r="BD15" s="548"/>
      <c r="BE15" s="548"/>
      <c r="BF15" s="548"/>
      <c r="BG15" s="548"/>
      <c r="BH15" s="548"/>
      <c r="BI15" s="548"/>
      <c r="BJ15" s="548"/>
      <c r="BK15" s="548"/>
      <c r="BL15" s="548"/>
      <c r="BM15" s="548"/>
      <c r="BN15" s="548"/>
      <c r="BO15" s="548"/>
      <c r="BP15" s="548"/>
      <c r="BQ15" s="548"/>
      <c r="BR15" s="548"/>
      <c r="BS15" s="548"/>
      <c r="BT15" s="548"/>
      <c r="BU15" s="548"/>
      <c r="BV15" s="548"/>
      <c r="BW15" s="548"/>
      <c r="BX15" s="548"/>
      <c r="BY15" s="548"/>
      <c r="BZ15" s="548"/>
      <c r="CA15" s="548"/>
      <c r="CB15" s="548"/>
      <c r="CC15" s="548"/>
      <c r="CD15" s="548"/>
      <c r="CE15" s="548"/>
      <c r="CF15" s="548"/>
      <c r="CG15" s="548"/>
      <c r="CH15" s="548"/>
      <c r="CI15" s="548"/>
      <c r="CJ15" s="548"/>
      <c r="CK15" s="548"/>
      <c r="CL15" s="548"/>
      <c r="CM15" s="548"/>
      <c r="CN15" s="548"/>
      <c r="CO15" s="548"/>
      <c r="CP15" s="548"/>
      <c r="CQ15" s="548"/>
      <c r="CR15" s="548"/>
      <c r="CS15" s="548"/>
      <c r="CT15" s="548"/>
      <c r="CU15" s="548"/>
      <c r="CV15" s="548"/>
      <c r="CW15" s="548"/>
      <c r="CX15" s="548"/>
      <c r="CY15" s="548"/>
      <c r="CZ15" s="548"/>
      <c r="DA15" s="548"/>
      <c r="DB15" s="548"/>
      <c r="DC15" s="548"/>
      <c r="DD15" s="548"/>
      <c r="DE15" s="548"/>
      <c r="DF15" s="548"/>
      <c r="DG15" s="548"/>
      <c r="DH15" s="548"/>
      <c r="DI15" s="548"/>
      <c r="DJ15" s="548"/>
      <c r="DK15" s="548"/>
      <c r="DL15" s="548"/>
      <c r="DM15" s="548"/>
      <c r="DN15" s="548"/>
      <c r="DO15" s="548"/>
      <c r="DP15" s="548"/>
      <c r="DQ15" s="548"/>
      <c r="DR15" s="548"/>
      <c r="DS15" s="548"/>
      <c r="DT15" s="548"/>
      <c r="DU15" s="548"/>
      <c r="DV15" s="548"/>
      <c r="DW15" s="548"/>
      <c r="DX15" s="548"/>
      <c r="DY15" s="548"/>
      <c r="DZ15" s="548"/>
      <c r="EA15" s="548"/>
      <c r="EB15" s="548"/>
      <c r="EC15" s="548"/>
      <c r="ED15" s="548"/>
      <c r="EE15" s="548"/>
      <c r="EF15" s="548"/>
      <c r="EG15" s="548"/>
      <c r="EH15" s="548"/>
      <c r="EI15" s="548"/>
      <c r="EJ15" s="548"/>
      <c r="EK15" s="548"/>
      <c r="EL15" s="548"/>
      <c r="EM15" s="548"/>
      <c r="EN15" s="548"/>
      <c r="EO15" s="548"/>
      <c r="EP15" s="548"/>
      <c r="EQ15" s="548"/>
      <c r="ER15" s="548"/>
      <c r="ES15" s="548"/>
      <c r="ET15" s="548"/>
      <c r="EU15" s="548"/>
      <c r="EV15" s="548"/>
      <c r="EW15" s="548"/>
      <c r="EX15" s="548"/>
      <c r="EY15" s="548"/>
      <c r="EZ15" s="548"/>
      <c r="FA15" s="548"/>
      <c r="FB15" s="548"/>
      <c r="FC15" s="548"/>
      <c r="FD15" s="548"/>
      <c r="FE15" s="548"/>
      <c r="FF15" s="548"/>
      <c r="FG15" s="548"/>
      <c r="FH15" s="548"/>
      <c r="FI15" s="548"/>
      <c r="FJ15" s="548"/>
      <c r="FK15" s="548"/>
      <c r="FL15" s="548"/>
      <c r="FM15" s="548"/>
      <c r="FN15" s="548"/>
      <c r="FO15" s="548"/>
      <c r="FP15" s="548"/>
      <c r="FQ15" s="548"/>
      <c r="FR15" s="548"/>
      <c r="FS15" s="548"/>
      <c r="FT15" s="548"/>
      <c r="FU15" s="548"/>
      <c r="FV15" s="548"/>
      <c r="FW15" s="548"/>
      <c r="FX15" s="548"/>
      <c r="FY15" s="548"/>
      <c r="FZ15" s="548"/>
      <c r="GA15" s="548"/>
      <c r="GB15" s="548"/>
      <c r="GC15" s="548"/>
      <c r="GD15" s="548"/>
      <c r="GE15" s="548"/>
      <c r="GF15" s="548"/>
      <c r="GG15" s="548"/>
      <c r="GH15" s="548"/>
      <c r="GI15" s="548"/>
      <c r="GJ15" s="548"/>
      <c r="GK15" s="548"/>
      <c r="GL15" s="548"/>
      <c r="GM15" s="548"/>
      <c r="GN15" s="548"/>
      <c r="GO15" s="548"/>
      <c r="GP15" s="548"/>
      <c r="GQ15" s="548"/>
      <c r="GR15" s="548"/>
      <c r="GS15" s="548"/>
      <c r="GT15" s="548"/>
      <c r="GU15" s="548"/>
      <c r="GV15" s="548"/>
      <c r="GW15" s="548"/>
      <c r="GX15" s="548"/>
      <c r="GY15" s="548"/>
      <c r="GZ15" s="548"/>
      <c r="HA15" s="548"/>
      <c r="HB15" s="548"/>
      <c r="HC15" s="548"/>
      <c r="HD15" s="548"/>
      <c r="HE15" s="548"/>
      <c r="HF15" s="548"/>
      <c r="HG15" s="548"/>
      <c r="HH15" s="548"/>
      <c r="HI15" s="548"/>
      <c r="HJ15" s="548"/>
      <c r="HK15" s="548"/>
      <c r="HL15" s="548"/>
      <c r="HM15" s="548"/>
      <c r="HN15" s="548"/>
      <c r="HO15" s="548"/>
      <c r="HP15" s="548"/>
      <c r="HQ15" s="548"/>
      <c r="HR15" s="548"/>
      <c r="HS15" s="548"/>
      <c r="HT15" s="548"/>
      <c r="HU15" s="548"/>
      <c r="HV15" s="548"/>
      <c r="HW15" s="548"/>
      <c r="HX15" s="548"/>
      <c r="HY15" s="548"/>
      <c r="HZ15" s="548"/>
      <c r="IA15" s="548"/>
      <c r="IB15" s="548"/>
      <c r="IC15" s="548"/>
      <c r="ID15" s="548"/>
      <c r="IE15" s="548"/>
      <c r="IF15" s="548"/>
      <c r="IG15" s="548"/>
      <c r="IH15" s="548"/>
      <c r="II15" s="548"/>
      <c r="IJ15" s="548"/>
      <c r="IK15" s="548"/>
      <c r="IL15" s="548"/>
      <c r="IM15" s="548"/>
      <c r="IN15" s="548"/>
      <c r="IO15" s="548"/>
      <c r="IP15" s="548"/>
      <c r="IQ15" s="548"/>
      <c r="IR15" s="548"/>
      <c r="IS15" s="548"/>
      <c r="IT15" s="548"/>
      <c r="IU15" s="548"/>
      <c r="IV15" s="548"/>
      <c r="IW15" s="548"/>
    </row>
    <row r="16" customFormat="false" ht="11.25" hidden="false" customHeight="false" outlineLevel="0" collapsed="false">
      <c r="A16" s="1"/>
      <c r="B16" s="1"/>
      <c r="C16" s="557"/>
      <c r="D16" s="557"/>
      <c r="E16" s="557"/>
      <c r="F16" s="557"/>
      <c r="G16" s="557"/>
      <c r="H16" s="557"/>
      <c r="I16" s="557"/>
      <c r="J16" s="557"/>
      <c r="K16" s="557"/>
      <c r="L16" s="557"/>
      <c r="M16" s="557"/>
      <c r="N16" s="557"/>
      <c r="O16" s="557"/>
      <c r="P16" s="557"/>
      <c r="Q16" s="557"/>
      <c r="R16" s="557"/>
      <c r="S16" s="557"/>
      <c r="T16" s="557"/>
      <c r="U16" s="557"/>
      <c r="V16" s="557"/>
      <c r="W16" s="557"/>
      <c r="X16" s="557"/>
      <c r="Y16" s="557"/>
      <c r="Z16" s="557"/>
      <c r="AA16" s="557"/>
      <c r="AB16" s="1"/>
      <c r="AC16" s="1"/>
      <c r="AD16" s="1"/>
      <c r="AE16" s="1"/>
      <c r="AF16" s="548"/>
      <c r="AG16" s="548"/>
      <c r="AH16" s="548"/>
      <c r="AI16" s="548"/>
      <c r="AJ16" s="548"/>
      <c r="AK16" s="548"/>
      <c r="AL16" s="548"/>
      <c r="AM16" s="548"/>
      <c r="AN16" s="548"/>
      <c r="AO16" s="548"/>
      <c r="AP16" s="548"/>
      <c r="AQ16" s="548"/>
      <c r="AR16" s="548"/>
      <c r="AS16" s="548"/>
      <c r="AT16" s="548"/>
      <c r="AU16" s="548"/>
      <c r="AV16" s="548"/>
      <c r="AW16" s="548"/>
      <c r="AX16" s="548"/>
      <c r="AY16" s="548"/>
      <c r="AZ16" s="548"/>
      <c r="BA16" s="548"/>
      <c r="BB16" s="548"/>
      <c r="BC16" s="548"/>
      <c r="BD16" s="548"/>
      <c r="BE16" s="548"/>
      <c r="BF16" s="548"/>
      <c r="BG16" s="548"/>
      <c r="BH16" s="548"/>
      <c r="BI16" s="548"/>
      <c r="BJ16" s="548"/>
      <c r="BK16" s="548"/>
      <c r="BL16" s="548"/>
      <c r="BM16" s="548"/>
      <c r="BN16" s="548"/>
      <c r="BO16" s="548"/>
      <c r="BP16" s="548"/>
      <c r="BQ16" s="548"/>
      <c r="BR16" s="548"/>
      <c r="BS16" s="548"/>
      <c r="BT16" s="548"/>
      <c r="BU16" s="548"/>
      <c r="BV16" s="548"/>
      <c r="BW16" s="548"/>
      <c r="BX16" s="548"/>
      <c r="BY16" s="548"/>
      <c r="BZ16" s="548"/>
      <c r="CA16" s="548"/>
      <c r="CB16" s="548"/>
      <c r="CC16" s="548"/>
      <c r="CD16" s="548"/>
      <c r="CE16" s="548"/>
      <c r="CF16" s="548"/>
      <c r="CG16" s="548"/>
      <c r="CH16" s="548"/>
      <c r="CI16" s="548"/>
      <c r="CJ16" s="548"/>
      <c r="CK16" s="548"/>
      <c r="CL16" s="548"/>
      <c r="CM16" s="548"/>
      <c r="CN16" s="548"/>
      <c r="CO16" s="548"/>
      <c r="CP16" s="548"/>
      <c r="CQ16" s="548"/>
      <c r="CR16" s="548"/>
      <c r="CS16" s="548"/>
      <c r="CT16" s="548"/>
      <c r="CU16" s="548"/>
      <c r="CV16" s="548"/>
      <c r="CW16" s="548"/>
      <c r="CX16" s="548"/>
      <c r="CY16" s="548"/>
      <c r="CZ16" s="548"/>
      <c r="DA16" s="548"/>
      <c r="DB16" s="548"/>
      <c r="DC16" s="548"/>
      <c r="DD16" s="548"/>
      <c r="DE16" s="548"/>
      <c r="DF16" s="548"/>
      <c r="DG16" s="548"/>
      <c r="DH16" s="548"/>
      <c r="DI16" s="548"/>
      <c r="DJ16" s="548"/>
      <c r="DK16" s="548"/>
      <c r="DL16" s="548"/>
      <c r="DM16" s="548"/>
      <c r="DN16" s="548"/>
      <c r="DO16" s="548"/>
      <c r="DP16" s="548"/>
      <c r="DQ16" s="548"/>
      <c r="DR16" s="548"/>
      <c r="DS16" s="548"/>
      <c r="DT16" s="548"/>
      <c r="DU16" s="548"/>
      <c r="DV16" s="548"/>
      <c r="DW16" s="548"/>
      <c r="DX16" s="548"/>
      <c r="DY16" s="548"/>
      <c r="DZ16" s="548"/>
      <c r="EA16" s="548"/>
      <c r="EB16" s="548"/>
      <c r="EC16" s="548"/>
      <c r="ED16" s="548"/>
      <c r="EE16" s="548"/>
      <c r="EF16" s="548"/>
      <c r="EG16" s="548"/>
      <c r="EH16" s="548"/>
      <c r="EI16" s="548"/>
      <c r="EJ16" s="548"/>
      <c r="EK16" s="548"/>
      <c r="EL16" s="548"/>
      <c r="EM16" s="548"/>
      <c r="EN16" s="548"/>
      <c r="EO16" s="548"/>
      <c r="EP16" s="548"/>
      <c r="EQ16" s="548"/>
      <c r="ER16" s="548"/>
      <c r="ES16" s="548"/>
      <c r="ET16" s="548"/>
      <c r="EU16" s="548"/>
      <c r="EV16" s="548"/>
      <c r="EW16" s="548"/>
      <c r="EX16" s="548"/>
      <c r="EY16" s="548"/>
      <c r="EZ16" s="548"/>
      <c r="FA16" s="548"/>
      <c r="FB16" s="548"/>
      <c r="FC16" s="548"/>
      <c r="FD16" s="548"/>
      <c r="FE16" s="548"/>
      <c r="FF16" s="548"/>
      <c r="FG16" s="548"/>
      <c r="FH16" s="548"/>
      <c r="FI16" s="548"/>
      <c r="FJ16" s="548"/>
      <c r="FK16" s="548"/>
      <c r="FL16" s="548"/>
      <c r="FM16" s="548"/>
      <c r="FN16" s="548"/>
      <c r="FO16" s="548"/>
      <c r="FP16" s="548"/>
      <c r="FQ16" s="548"/>
      <c r="FR16" s="548"/>
      <c r="FS16" s="548"/>
      <c r="FT16" s="548"/>
      <c r="FU16" s="548"/>
      <c r="FV16" s="548"/>
      <c r="FW16" s="548"/>
      <c r="FX16" s="548"/>
      <c r="FY16" s="548"/>
      <c r="FZ16" s="548"/>
      <c r="GA16" s="548"/>
      <c r="GB16" s="548"/>
      <c r="GC16" s="548"/>
      <c r="GD16" s="548"/>
      <c r="GE16" s="548"/>
      <c r="GF16" s="548"/>
      <c r="GG16" s="548"/>
      <c r="GH16" s="548"/>
      <c r="GI16" s="548"/>
      <c r="GJ16" s="548"/>
      <c r="GK16" s="548"/>
      <c r="GL16" s="548"/>
      <c r="GM16" s="548"/>
      <c r="GN16" s="548"/>
      <c r="GO16" s="548"/>
      <c r="GP16" s="548"/>
      <c r="GQ16" s="548"/>
      <c r="GR16" s="548"/>
      <c r="GS16" s="548"/>
      <c r="GT16" s="548"/>
      <c r="GU16" s="548"/>
      <c r="GV16" s="548"/>
      <c r="GW16" s="548"/>
      <c r="GX16" s="548"/>
      <c r="GY16" s="548"/>
      <c r="GZ16" s="548"/>
      <c r="HA16" s="548"/>
      <c r="HB16" s="548"/>
      <c r="HC16" s="548"/>
      <c r="HD16" s="548"/>
      <c r="HE16" s="548"/>
      <c r="HF16" s="548"/>
      <c r="HG16" s="548"/>
      <c r="HH16" s="548"/>
      <c r="HI16" s="548"/>
      <c r="HJ16" s="548"/>
      <c r="HK16" s="548"/>
      <c r="HL16" s="548"/>
      <c r="HM16" s="548"/>
      <c r="HN16" s="548"/>
      <c r="HO16" s="548"/>
      <c r="HP16" s="548"/>
      <c r="HQ16" s="548"/>
      <c r="HR16" s="548"/>
      <c r="HS16" s="548"/>
      <c r="HT16" s="548"/>
      <c r="HU16" s="548"/>
      <c r="HV16" s="548"/>
      <c r="HW16" s="548"/>
      <c r="HX16" s="548"/>
      <c r="HY16" s="548"/>
      <c r="HZ16" s="548"/>
      <c r="IA16" s="548"/>
      <c r="IB16" s="548"/>
      <c r="IC16" s="548"/>
      <c r="ID16" s="548"/>
      <c r="IE16" s="548"/>
      <c r="IF16" s="548"/>
      <c r="IG16" s="548"/>
      <c r="IH16" s="548"/>
      <c r="II16" s="548"/>
      <c r="IJ16" s="548"/>
      <c r="IK16" s="548"/>
      <c r="IL16" s="548"/>
      <c r="IM16" s="548"/>
      <c r="IN16" s="548"/>
      <c r="IO16" s="548"/>
      <c r="IP16" s="548"/>
      <c r="IQ16" s="548"/>
      <c r="IR16" s="548"/>
      <c r="IS16" s="548"/>
      <c r="IT16" s="548"/>
      <c r="IU16" s="548"/>
      <c r="IV16" s="548"/>
      <c r="IW16" s="548"/>
    </row>
    <row r="17" customFormat="false" ht="11.25" hidden="false" customHeight="false" outlineLevel="0" collapsed="false">
      <c r="A17" s="1"/>
      <c r="B17" s="1"/>
      <c r="C17" s="1041"/>
      <c r="D17" s="1042"/>
      <c r="E17" s="1042"/>
      <c r="F17" s="1042"/>
      <c r="G17" s="1042"/>
      <c r="H17" s="1042"/>
      <c r="I17" s="1042"/>
      <c r="J17" s="1042"/>
      <c r="K17" s="1"/>
      <c r="L17" s="1"/>
      <c r="M17" s="1"/>
      <c r="N17" s="1"/>
      <c r="O17" s="1"/>
      <c r="P17" s="1"/>
      <c r="Q17" s="1"/>
      <c r="R17" s="1"/>
      <c r="S17" s="1"/>
      <c r="T17" s="1"/>
      <c r="U17" s="1"/>
      <c r="V17" s="1"/>
      <c r="W17" s="1"/>
      <c r="X17" s="1"/>
      <c r="Y17" s="1"/>
      <c r="Z17" s="1"/>
      <c r="AA17" s="1"/>
      <c r="AB17" s="1"/>
      <c r="AC17" s="1"/>
      <c r="AD17" s="1"/>
      <c r="AE17" s="1"/>
      <c r="AF17" s="548"/>
      <c r="AG17" s="548"/>
      <c r="AH17" s="548"/>
      <c r="AI17" s="548"/>
      <c r="AJ17" s="548"/>
      <c r="AK17" s="548"/>
      <c r="AL17" s="548"/>
      <c r="AM17" s="548"/>
      <c r="AN17" s="548"/>
      <c r="AO17" s="548"/>
      <c r="AP17" s="548"/>
      <c r="AQ17" s="548"/>
      <c r="AR17" s="548"/>
      <c r="AS17" s="548"/>
      <c r="AT17" s="548"/>
      <c r="AU17" s="548"/>
      <c r="AV17" s="548"/>
      <c r="AW17" s="548"/>
      <c r="AX17" s="548"/>
      <c r="AY17" s="548"/>
      <c r="AZ17" s="548"/>
      <c r="BA17" s="548"/>
      <c r="BB17" s="548"/>
      <c r="BC17" s="548"/>
      <c r="BD17" s="548"/>
      <c r="BE17" s="548"/>
      <c r="BF17" s="548"/>
      <c r="BG17" s="548"/>
      <c r="BH17" s="548"/>
      <c r="BI17" s="548"/>
      <c r="BJ17" s="548"/>
      <c r="BK17" s="548"/>
      <c r="BL17" s="548"/>
      <c r="BM17" s="548"/>
      <c r="BN17" s="548"/>
      <c r="BO17" s="548"/>
      <c r="BP17" s="548"/>
      <c r="BQ17" s="548"/>
      <c r="BR17" s="548"/>
      <c r="BS17" s="548"/>
      <c r="BT17" s="548"/>
      <c r="BU17" s="548"/>
      <c r="BV17" s="548"/>
      <c r="BW17" s="548"/>
      <c r="BX17" s="548"/>
      <c r="BY17" s="548"/>
      <c r="BZ17" s="548"/>
      <c r="CA17" s="548"/>
      <c r="CB17" s="548"/>
      <c r="CC17" s="548"/>
      <c r="CD17" s="548"/>
      <c r="CE17" s="548"/>
      <c r="CF17" s="548"/>
      <c r="CG17" s="548"/>
      <c r="CH17" s="548"/>
      <c r="CI17" s="548"/>
      <c r="CJ17" s="548"/>
      <c r="CK17" s="548"/>
      <c r="CL17" s="548"/>
      <c r="CM17" s="548"/>
      <c r="CN17" s="548"/>
      <c r="CO17" s="548"/>
      <c r="CP17" s="548"/>
      <c r="CQ17" s="548"/>
      <c r="CR17" s="548"/>
      <c r="CS17" s="548"/>
      <c r="CT17" s="548"/>
      <c r="CU17" s="548"/>
      <c r="CV17" s="548"/>
      <c r="CW17" s="548"/>
      <c r="CX17" s="548"/>
      <c r="CY17" s="548"/>
      <c r="CZ17" s="548"/>
      <c r="DA17" s="548"/>
      <c r="DB17" s="548"/>
      <c r="DC17" s="548"/>
      <c r="DD17" s="548"/>
      <c r="DE17" s="548"/>
      <c r="DF17" s="548"/>
      <c r="DG17" s="548"/>
      <c r="DH17" s="548"/>
      <c r="DI17" s="548"/>
      <c r="DJ17" s="548"/>
      <c r="DK17" s="548"/>
      <c r="DL17" s="548"/>
      <c r="DM17" s="548"/>
      <c r="DN17" s="548"/>
      <c r="DO17" s="548"/>
      <c r="DP17" s="548"/>
      <c r="DQ17" s="548"/>
      <c r="DR17" s="548"/>
      <c r="DS17" s="548"/>
      <c r="DT17" s="548"/>
      <c r="DU17" s="548"/>
      <c r="DV17" s="548"/>
      <c r="DW17" s="548"/>
      <c r="DX17" s="548"/>
      <c r="DY17" s="548"/>
      <c r="DZ17" s="548"/>
      <c r="EA17" s="548"/>
      <c r="EB17" s="548"/>
      <c r="EC17" s="548"/>
      <c r="ED17" s="548"/>
      <c r="EE17" s="548"/>
      <c r="EF17" s="548"/>
      <c r="EG17" s="548"/>
      <c r="EH17" s="548"/>
      <c r="EI17" s="548"/>
      <c r="EJ17" s="548"/>
      <c r="EK17" s="548"/>
      <c r="EL17" s="548"/>
      <c r="EM17" s="548"/>
      <c r="EN17" s="548"/>
      <c r="EO17" s="548"/>
      <c r="EP17" s="548"/>
      <c r="EQ17" s="548"/>
      <c r="ER17" s="548"/>
      <c r="ES17" s="548"/>
      <c r="ET17" s="548"/>
      <c r="EU17" s="548"/>
      <c r="EV17" s="548"/>
      <c r="EW17" s="548"/>
      <c r="EX17" s="548"/>
      <c r="EY17" s="548"/>
      <c r="EZ17" s="548"/>
      <c r="FA17" s="548"/>
      <c r="FB17" s="548"/>
      <c r="FC17" s="548"/>
      <c r="FD17" s="548"/>
      <c r="FE17" s="548"/>
      <c r="FF17" s="548"/>
      <c r="FG17" s="548"/>
      <c r="FH17" s="548"/>
      <c r="FI17" s="548"/>
      <c r="FJ17" s="548"/>
      <c r="FK17" s="548"/>
      <c r="FL17" s="548"/>
      <c r="FM17" s="548"/>
      <c r="FN17" s="548"/>
      <c r="FO17" s="548"/>
      <c r="FP17" s="548"/>
      <c r="FQ17" s="548"/>
      <c r="FR17" s="548"/>
      <c r="FS17" s="548"/>
      <c r="FT17" s="548"/>
      <c r="FU17" s="548"/>
      <c r="FV17" s="548"/>
      <c r="FW17" s="548"/>
      <c r="FX17" s="548"/>
      <c r="FY17" s="548"/>
      <c r="FZ17" s="548"/>
      <c r="GA17" s="548"/>
      <c r="GB17" s="548"/>
      <c r="GC17" s="548"/>
      <c r="GD17" s="548"/>
      <c r="GE17" s="548"/>
      <c r="GF17" s="548"/>
      <c r="GG17" s="548"/>
      <c r="GH17" s="548"/>
      <c r="GI17" s="548"/>
      <c r="GJ17" s="548"/>
      <c r="GK17" s="548"/>
      <c r="GL17" s="548"/>
      <c r="GM17" s="548"/>
      <c r="GN17" s="548"/>
      <c r="GO17" s="548"/>
      <c r="GP17" s="548"/>
      <c r="GQ17" s="548"/>
      <c r="GR17" s="548"/>
      <c r="GS17" s="548"/>
      <c r="GT17" s="548"/>
      <c r="GU17" s="548"/>
      <c r="GV17" s="548"/>
      <c r="GW17" s="548"/>
      <c r="GX17" s="548"/>
      <c r="GY17" s="548"/>
      <c r="GZ17" s="548"/>
      <c r="HA17" s="548"/>
      <c r="HB17" s="548"/>
      <c r="HC17" s="548"/>
      <c r="HD17" s="548"/>
      <c r="HE17" s="548"/>
      <c r="HF17" s="548"/>
      <c r="HG17" s="548"/>
      <c r="HH17" s="548"/>
      <c r="HI17" s="548"/>
      <c r="HJ17" s="548"/>
      <c r="HK17" s="548"/>
      <c r="HL17" s="548"/>
      <c r="HM17" s="548"/>
      <c r="HN17" s="548"/>
      <c r="HO17" s="548"/>
      <c r="HP17" s="548"/>
      <c r="HQ17" s="548"/>
      <c r="HR17" s="548"/>
      <c r="HS17" s="548"/>
      <c r="HT17" s="548"/>
      <c r="HU17" s="548"/>
      <c r="HV17" s="548"/>
      <c r="HW17" s="548"/>
      <c r="HX17" s="548"/>
      <c r="HY17" s="548"/>
      <c r="HZ17" s="548"/>
      <c r="IA17" s="548"/>
      <c r="IB17" s="548"/>
      <c r="IC17" s="548"/>
      <c r="ID17" s="548"/>
      <c r="IE17" s="548"/>
      <c r="IF17" s="548"/>
      <c r="IG17" s="548"/>
      <c r="IH17" s="548"/>
      <c r="II17" s="548"/>
      <c r="IJ17" s="548"/>
      <c r="IK17" s="548"/>
      <c r="IL17" s="548"/>
      <c r="IM17" s="548"/>
      <c r="IN17" s="548"/>
      <c r="IO17" s="548"/>
      <c r="IP17" s="548"/>
      <c r="IQ17" s="548"/>
      <c r="IR17" s="548"/>
      <c r="IS17" s="548"/>
      <c r="IT17" s="548"/>
      <c r="IU17" s="548"/>
      <c r="IV17" s="548"/>
      <c r="IW17" s="548"/>
    </row>
    <row r="18" customFormat="false" ht="12.75" hidden="false" customHeight="false" outlineLevel="0" collapsed="false">
      <c r="A18" s="0" t="s">
        <v>705</v>
      </c>
      <c r="B18" s="0"/>
      <c r="C18" s="1043" t="n">
        <v>0.065</v>
      </c>
      <c r="D18" s="0"/>
      <c r="E18" s="0"/>
      <c r="F18" s="0"/>
      <c r="G18" s="0"/>
      <c r="H18" s="0"/>
      <c r="I18" s="0"/>
      <c r="J18" s="0"/>
      <c r="K18" s="1"/>
      <c r="L18" s="1"/>
      <c r="M18" s="1"/>
      <c r="N18" s="1"/>
      <c r="O18" s="1"/>
      <c r="P18" s="1"/>
      <c r="Q18" s="1"/>
      <c r="R18" s="1"/>
      <c r="S18" s="1"/>
      <c r="T18" s="1"/>
      <c r="U18" s="1"/>
      <c r="V18" s="1"/>
      <c r="W18" s="1"/>
      <c r="X18" s="1"/>
      <c r="Y18" s="1"/>
      <c r="Z18" s="1"/>
      <c r="AA18" s="1"/>
      <c r="AB18" s="1"/>
      <c r="AC18" s="1"/>
      <c r="AD18" s="1"/>
      <c r="AE18" s="1"/>
      <c r="AF18" s="548"/>
      <c r="AG18" s="548"/>
      <c r="AH18" s="548"/>
      <c r="AI18" s="548"/>
      <c r="AJ18" s="548"/>
      <c r="AK18" s="548"/>
      <c r="AL18" s="548"/>
      <c r="AM18" s="548"/>
      <c r="AN18" s="548"/>
      <c r="AO18" s="548"/>
      <c r="AP18" s="548"/>
      <c r="AQ18" s="548"/>
      <c r="AR18" s="548"/>
      <c r="AS18" s="548"/>
      <c r="AT18" s="548"/>
      <c r="AU18" s="548"/>
      <c r="AV18" s="548"/>
      <c r="AW18" s="548"/>
      <c r="AX18" s="548"/>
      <c r="AY18" s="548"/>
      <c r="AZ18" s="548"/>
      <c r="BA18" s="548"/>
      <c r="BB18" s="548"/>
      <c r="BC18" s="548"/>
      <c r="BD18" s="548"/>
      <c r="BE18" s="548"/>
      <c r="BF18" s="548"/>
      <c r="BG18" s="548"/>
      <c r="BH18" s="548"/>
      <c r="BI18" s="548"/>
      <c r="BJ18" s="548"/>
      <c r="BK18" s="548"/>
      <c r="BL18" s="548"/>
      <c r="BM18" s="548"/>
      <c r="BN18" s="548"/>
      <c r="BO18" s="548"/>
      <c r="BP18" s="548"/>
      <c r="BQ18" s="548"/>
      <c r="BR18" s="548"/>
      <c r="BS18" s="548"/>
      <c r="BT18" s="548"/>
      <c r="BU18" s="548"/>
      <c r="BV18" s="548"/>
      <c r="BW18" s="548"/>
      <c r="BX18" s="548"/>
      <c r="BY18" s="548"/>
      <c r="BZ18" s="548"/>
      <c r="CA18" s="548"/>
      <c r="CB18" s="548"/>
      <c r="CC18" s="548"/>
      <c r="CD18" s="548"/>
      <c r="CE18" s="548"/>
      <c r="CF18" s="548"/>
      <c r="CG18" s="548"/>
      <c r="CH18" s="548"/>
      <c r="CI18" s="548"/>
      <c r="CJ18" s="548"/>
      <c r="CK18" s="548"/>
      <c r="CL18" s="548"/>
      <c r="CM18" s="548"/>
      <c r="CN18" s="548"/>
      <c r="CO18" s="548"/>
      <c r="CP18" s="548"/>
      <c r="CQ18" s="548"/>
      <c r="CR18" s="548"/>
      <c r="CS18" s="548"/>
      <c r="CT18" s="548"/>
      <c r="CU18" s="548"/>
      <c r="CV18" s="548"/>
      <c r="CW18" s="548"/>
      <c r="CX18" s="548"/>
      <c r="CY18" s="548"/>
      <c r="CZ18" s="548"/>
      <c r="DA18" s="548"/>
      <c r="DB18" s="548"/>
      <c r="DC18" s="548"/>
      <c r="DD18" s="548"/>
      <c r="DE18" s="548"/>
      <c r="DF18" s="548"/>
      <c r="DG18" s="548"/>
      <c r="DH18" s="548"/>
      <c r="DI18" s="548"/>
      <c r="DJ18" s="548"/>
      <c r="DK18" s="548"/>
      <c r="DL18" s="548"/>
      <c r="DM18" s="548"/>
      <c r="DN18" s="548"/>
      <c r="DO18" s="548"/>
      <c r="DP18" s="548"/>
      <c r="DQ18" s="548"/>
      <c r="DR18" s="548"/>
      <c r="DS18" s="548"/>
      <c r="DT18" s="548"/>
      <c r="DU18" s="548"/>
      <c r="DV18" s="548"/>
      <c r="DW18" s="548"/>
      <c r="DX18" s="548"/>
      <c r="DY18" s="548"/>
      <c r="DZ18" s="548"/>
      <c r="EA18" s="548"/>
      <c r="EB18" s="548"/>
      <c r="EC18" s="548"/>
      <c r="ED18" s="548"/>
      <c r="EE18" s="548"/>
      <c r="EF18" s="548"/>
      <c r="EG18" s="548"/>
      <c r="EH18" s="548"/>
      <c r="EI18" s="548"/>
      <c r="EJ18" s="548"/>
      <c r="EK18" s="548"/>
      <c r="EL18" s="548"/>
      <c r="EM18" s="548"/>
      <c r="EN18" s="548"/>
      <c r="EO18" s="548"/>
      <c r="EP18" s="548"/>
      <c r="EQ18" s="548"/>
      <c r="ER18" s="548"/>
      <c r="ES18" s="548"/>
      <c r="ET18" s="548"/>
      <c r="EU18" s="548"/>
      <c r="EV18" s="548"/>
      <c r="EW18" s="548"/>
      <c r="EX18" s="548"/>
      <c r="EY18" s="548"/>
      <c r="EZ18" s="548"/>
      <c r="FA18" s="548"/>
      <c r="FB18" s="548"/>
      <c r="FC18" s="548"/>
      <c r="FD18" s="548"/>
      <c r="FE18" s="548"/>
      <c r="FF18" s="548"/>
      <c r="FG18" s="548"/>
      <c r="FH18" s="548"/>
      <c r="FI18" s="548"/>
      <c r="FJ18" s="548"/>
      <c r="FK18" s="548"/>
      <c r="FL18" s="548"/>
      <c r="FM18" s="548"/>
      <c r="FN18" s="548"/>
      <c r="FO18" s="548"/>
      <c r="FP18" s="548"/>
      <c r="FQ18" s="548"/>
      <c r="FR18" s="548"/>
      <c r="FS18" s="548"/>
      <c r="FT18" s="548"/>
      <c r="FU18" s="548"/>
      <c r="FV18" s="548"/>
      <c r="FW18" s="548"/>
      <c r="FX18" s="548"/>
      <c r="FY18" s="548"/>
      <c r="FZ18" s="548"/>
      <c r="GA18" s="548"/>
      <c r="GB18" s="548"/>
      <c r="GC18" s="548"/>
      <c r="GD18" s="548"/>
      <c r="GE18" s="548"/>
      <c r="GF18" s="548"/>
      <c r="GG18" s="548"/>
      <c r="GH18" s="548"/>
      <c r="GI18" s="548"/>
      <c r="GJ18" s="548"/>
      <c r="GK18" s="548"/>
      <c r="GL18" s="548"/>
      <c r="GM18" s="548"/>
      <c r="GN18" s="548"/>
      <c r="GO18" s="548"/>
      <c r="GP18" s="548"/>
      <c r="GQ18" s="548"/>
      <c r="GR18" s="548"/>
      <c r="GS18" s="548"/>
      <c r="GT18" s="548"/>
      <c r="GU18" s="548"/>
      <c r="GV18" s="548"/>
      <c r="GW18" s="548"/>
      <c r="GX18" s="548"/>
      <c r="GY18" s="548"/>
      <c r="GZ18" s="548"/>
      <c r="HA18" s="548"/>
      <c r="HB18" s="548"/>
      <c r="HC18" s="548"/>
      <c r="HD18" s="548"/>
      <c r="HE18" s="548"/>
      <c r="HF18" s="548"/>
      <c r="HG18" s="548"/>
      <c r="HH18" s="548"/>
      <c r="HI18" s="548"/>
      <c r="HJ18" s="548"/>
      <c r="HK18" s="548"/>
      <c r="HL18" s="548"/>
      <c r="HM18" s="548"/>
      <c r="HN18" s="548"/>
      <c r="HO18" s="548"/>
      <c r="HP18" s="548"/>
      <c r="HQ18" s="548"/>
      <c r="HR18" s="548"/>
      <c r="HS18" s="548"/>
      <c r="HT18" s="548"/>
      <c r="HU18" s="548"/>
      <c r="HV18" s="548"/>
      <c r="HW18" s="548"/>
      <c r="HX18" s="548"/>
      <c r="HY18" s="548"/>
      <c r="HZ18" s="548"/>
      <c r="IA18" s="548"/>
      <c r="IB18" s="548"/>
      <c r="IC18" s="548"/>
      <c r="ID18" s="548"/>
      <c r="IE18" s="548"/>
      <c r="IF18" s="548"/>
      <c r="IG18" s="548"/>
      <c r="IH18" s="548"/>
      <c r="II18" s="548"/>
      <c r="IJ18" s="548"/>
      <c r="IK18" s="548"/>
      <c r="IL18" s="548"/>
      <c r="IM18" s="548"/>
      <c r="IN18" s="548"/>
      <c r="IO18" s="548"/>
      <c r="IP18" s="548"/>
      <c r="IQ18" s="548"/>
      <c r="IR18" s="548"/>
      <c r="IS18" s="548"/>
      <c r="IT18" s="548"/>
      <c r="IU18" s="548"/>
      <c r="IV18" s="548"/>
      <c r="IW18" s="548"/>
    </row>
    <row r="19" customFormat="false" ht="38.25" hidden="false" customHeight="false" outlineLevel="0" collapsed="false">
      <c r="A19" s="1044" t="s">
        <v>706</v>
      </c>
      <c r="B19" s="1045"/>
      <c r="C19" s="1046" t="n">
        <v>0.015</v>
      </c>
      <c r="D19" s="548"/>
      <c r="E19" s="1044" t="s">
        <v>707</v>
      </c>
      <c r="F19" s="1047" t="s">
        <v>708</v>
      </c>
      <c r="G19" s="1048" t="s">
        <v>709</v>
      </c>
      <c r="H19" s="1047" t="s">
        <v>710</v>
      </c>
      <c r="I19" s="1048" t="s">
        <v>711</v>
      </c>
      <c r="J19" s="1049" t="s">
        <v>712</v>
      </c>
      <c r="K19" s="1"/>
      <c r="L19" s="1"/>
      <c r="M19" s="1"/>
      <c r="N19" s="1"/>
      <c r="O19" s="1"/>
      <c r="P19" s="1"/>
      <c r="Q19" s="1"/>
      <c r="R19" s="1"/>
      <c r="S19" s="1"/>
      <c r="T19" s="1"/>
      <c r="U19" s="1"/>
      <c r="V19" s="1"/>
      <c r="W19" s="1"/>
      <c r="X19" s="1"/>
      <c r="Y19" s="1"/>
      <c r="Z19" s="1"/>
      <c r="AA19" s="1"/>
      <c r="AB19" s="1"/>
      <c r="AC19" s="1"/>
      <c r="AD19" s="1"/>
      <c r="AE19" s="1"/>
      <c r="AF19" s="548"/>
      <c r="AG19" s="548"/>
      <c r="AH19" s="548"/>
      <c r="AI19" s="548"/>
      <c r="AJ19" s="548"/>
      <c r="AK19" s="548"/>
      <c r="AL19" s="548"/>
      <c r="AM19" s="548"/>
      <c r="AN19" s="548"/>
      <c r="AO19" s="548"/>
      <c r="AP19" s="548"/>
      <c r="AQ19" s="548"/>
      <c r="AR19" s="548"/>
      <c r="AS19" s="548"/>
      <c r="AT19" s="548"/>
      <c r="AU19" s="548"/>
      <c r="AV19" s="548"/>
      <c r="AW19" s="548"/>
      <c r="AX19" s="548"/>
      <c r="AY19" s="548"/>
      <c r="AZ19" s="548"/>
      <c r="BA19" s="548"/>
      <c r="BB19" s="548"/>
      <c r="BC19" s="548"/>
      <c r="BD19" s="548"/>
      <c r="BE19" s="548"/>
      <c r="BF19" s="548"/>
      <c r="BG19" s="548"/>
      <c r="BH19" s="548"/>
      <c r="BI19" s="548"/>
      <c r="BJ19" s="548"/>
      <c r="BK19" s="548"/>
      <c r="BL19" s="548"/>
      <c r="BM19" s="548"/>
      <c r="BN19" s="548"/>
      <c r="BO19" s="548"/>
      <c r="BP19" s="548"/>
      <c r="BQ19" s="548"/>
      <c r="BR19" s="548"/>
      <c r="BS19" s="548"/>
      <c r="BT19" s="548"/>
      <c r="BU19" s="548"/>
      <c r="BV19" s="548"/>
      <c r="BW19" s="548"/>
      <c r="BX19" s="548"/>
      <c r="BY19" s="548"/>
      <c r="BZ19" s="548"/>
      <c r="CA19" s="548"/>
      <c r="CB19" s="548"/>
      <c r="CC19" s="548"/>
      <c r="CD19" s="548"/>
      <c r="CE19" s="548"/>
      <c r="CF19" s="548"/>
      <c r="CG19" s="548"/>
      <c r="CH19" s="548"/>
      <c r="CI19" s="548"/>
      <c r="CJ19" s="548"/>
      <c r="CK19" s="548"/>
      <c r="CL19" s="548"/>
      <c r="CM19" s="548"/>
      <c r="CN19" s="548"/>
      <c r="CO19" s="548"/>
      <c r="CP19" s="548"/>
      <c r="CQ19" s="548"/>
      <c r="CR19" s="548"/>
      <c r="CS19" s="548"/>
      <c r="CT19" s="548"/>
      <c r="CU19" s="548"/>
      <c r="CV19" s="548"/>
      <c r="CW19" s="548"/>
      <c r="CX19" s="548"/>
      <c r="CY19" s="548"/>
      <c r="CZ19" s="548"/>
      <c r="DA19" s="548"/>
      <c r="DB19" s="548"/>
      <c r="DC19" s="548"/>
      <c r="DD19" s="548"/>
      <c r="DE19" s="548"/>
      <c r="DF19" s="548"/>
      <c r="DG19" s="548"/>
      <c r="DH19" s="548"/>
      <c r="DI19" s="548"/>
      <c r="DJ19" s="548"/>
      <c r="DK19" s="548"/>
      <c r="DL19" s="548"/>
      <c r="DM19" s="548"/>
      <c r="DN19" s="548"/>
      <c r="DO19" s="548"/>
      <c r="DP19" s="548"/>
      <c r="DQ19" s="548"/>
      <c r="DR19" s="548"/>
      <c r="DS19" s="548"/>
      <c r="DT19" s="548"/>
      <c r="DU19" s="548"/>
      <c r="DV19" s="548"/>
      <c r="DW19" s="548"/>
      <c r="DX19" s="548"/>
      <c r="DY19" s="548"/>
      <c r="DZ19" s="548"/>
      <c r="EA19" s="548"/>
      <c r="EB19" s="548"/>
      <c r="EC19" s="548"/>
      <c r="ED19" s="548"/>
      <c r="EE19" s="548"/>
      <c r="EF19" s="548"/>
      <c r="EG19" s="548"/>
      <c r="EH19" s="548"/>
      <c r="EI19" s="548"/>
      <c r="EJ19" s="548"/>
      <c r="EK19" s="548"/>
      <c r="EL19" s="548"/>
      <c r="EM19" s="548"/>
      <c r="EN19" s="548"/>
      <c r="EO19" s="548"/>
      <c r="EP19" s="548"/>
      <c r="EQ19" s="548"/>
      <c r="ER19" s="548"/>
      <c r="ES19" s="548"/>
      <c r="ET19" s="548"/>
      <c r="EU19" s="548"/>
      <c r="EV19" s="548"/>
      <c r="EW19" s="548"/>
      <c r="EX19" s="548"/>
      <c r="EY19" s="548"/>
      <c r="EZ19" s="548"/>
      <c r="FA19" s="548"/>
      <c r="FB19" s="548"/>
      <c r="FC19" s="548"/>
      <c r="FD19" s="548"/>
      <c r="FE19" s="548"/>
      <c r="FF19" s="548"/>
      <c r="FG19" s="548"/>
      <c r="FH19" s="548"/>
      <c r="FI19" s="548"/>
      <c r="FJ19" s="548"/>
      <c r="FK19" s="548"/>
      <c r="FL19" s="548"/>
      <c r="FM19" s="548"/>
      <c r="FN19" s="548"/>
      <c r="FO19" s="548"/>
      <c r="FP19" s="548"/>
      <c r="FQ19" s="548"/>
      <c r="FR19" s="548"/>
      <c r="FS19" s="548"/>
      <c r="FT19" s="548"/>
      <c r="FU19" s="548"/>
      <c r="FV19" s="548"/>
      <c r="FW19" s="548"/>
      <c r="FX19" s="548"/>
      <c r="FY19" s="548"/>
      <c r="FZ19" s="548"/>
      <c r="GA19" s="548"/>
      <c r="GB19" s="548"/>
      <c r="GC19" s="548"/>
      <c r="GD19" s="548"/>
      <c r="GE19" s="548"/>
      <c r="GF19" s="548"/>
      <c r="GG19" s="548"/>
      <c r="GH19" s="548"/>
      <c r="GI19" s="548"/>
      <c r="GJ19" s="548"/>
      <c r="GK19" s="548"/>
      <c r="GL19" s="548"/>
      <c r="GM19" s="548"/>
      <c r="GN19" s="548"/>
      <c r="GO19" s="548"/>
      <c r="GP19" s="548"/>
      <c r="GQ19" s="548"/>
      <c r="GR19" s="548"/>
      <c r="GS19" s="548"/>
      <c r="GT19" s="548"/>
      <c r="GU19" s="548"/>
      <c r="GV19" s="548"/>
      <c r="GW19" s="548"/>
      <c r="GX19" s="548"/>
      <c r="GY19" s="548"/>
      <c r="GZ19" s="548"/>
      <c r="HA19" s="548"/>
      <c r="HB19" s="548"/>
      <c r="HC19" s="548"/>
      <c r="HD19" s="548"/>
      <c r="HE19" s="548"/>
      <c r="HF19" s="548"/>
      <c r="HG19" s="548"/>
      <c r="HH19" s="548"/>
      <c r="HI19" s="548"/>
      <c r="HJ19" s="548"/>
      <c r="HK19" s="548"/>
      <c r="HL19" s="548"/>
      <c r="HM19" s="548"/>
      <c r="HN19" s="548"/>
      <c r="HO19" s="548"/>
      <c r="HP19" s="548"/>
      <c r="HQ19" s="548"/>
      <c r="HR19" s="548"/>
      <c r="HS19" s="548"/>
      <c r="HT19" s="548"/>
      <c r="HU19" s="548"/>
      <c r="HV19" s="548"/>
      <c r="HW19" s="548"/>
      <c r="HX19" s="548"/>
      <c r="HY19" s="548"/>
      <c r="HZ19" s="548"/>
      <c r="IA19" s="548"/>
      <c r="IB19" s="548"/>
      <c r="IC19" s="548"/>
      <c r="ID19" s="548"/>
      <c r="IE19" s="548"/>
      <c r="IF19" s="548"/>
      <c r="IG19" s="548"/>
      <c r="IH19" s="548"/>
      <c r="II19" s="548"/>
      <c r="IJ19" s="548"/>
      <c r="IK19" s="548"/>
      <c r="IL19" s="548"/>
      <c r="IM19" s="548"/>
      <c r="IN19" s="548"/>
      <c r="IO19" s="548"/>
      <c r="IP19" s="548"/>
      <c r="IQ19" s="548"/>
      <c r="IR19" s="548"/>
      <c r="IS19" s="548"/>
      <c r="IT19" s="548"/>
      <c r="IU19" s="548"/>
      <c r="IV19" s="548"/>
      <c r="IW19" s="548"/>
    </row>
    <row r="20" customFormat="false" ht="12.75" hidden="false" customHeight="false" outlineLevel="0" collapsed="false">
      <c r="A20" s="1050" t="s">
        <v>713</v>
      </c>
      <c r="B20" s="1051"/>
      <c r="C20" s="1052" t="n">
        <v>2.5</v>
      </c>
      <c r="D20" s="548"/>
      <c r="E20" s="42"/>
      <c r="F20" s="43"/>
      <c r="G20" s="43"/>
      <c r="H20" s="43"/>
      <c r="I20" s="43"/>
      <c r="J20" s="47"/>
      <c r="K20" s="1"/>
      <c r="L20" s="1"/>
      <c r="M20" s="1"/>
      <c r="N20" s="1"/>
      <c r="O20" s="1"/>
      <c r="P20" s="1"/>
      <c r="Q20" s="1"/>
      <c r="R20" s="1"/>
      <c r="S20" s="1"/>
      <c r="T20" s="1"/>
      <c r="U20" s="1"/>
      <c r="V20" s="1"/>
      <c r="W20" s="1"/>
      <c r="X20" s="1"/>
      <c r="Y20" s="1"/>
      <c r="Z20" s="1"/>
      <c r="AA20" s="1"/>
      <c r="AB20" s="1"/>
      <c r="AC20" s="1"/>
      <c r="AD20" s="1"/>
      <c r="AE20" s="1"/>
      <c r="AF20" s="548"/>
      <c r="AG20" s="548"/>
      <c r="AH20" s="548"/>
      <c r="AI20" s="548"/>
      <c r="AJ20" s="548"/>
      <c r="AK20" s="548"/>
      <c r="AL20" s="548"/>
      <c r="AM20" s="548"/>
      <c r="AN20" s="548"/>
      <c r="AO20" s="548"/>
      <c r="AP20" s="548"/>
      <c r="AQ20" s="548"/>
      <c r="AR20" s="548"/>
      <c r="AS20" s="548"/>
      <c r="AT20" s="548"/>
      <c r="AU20" s="548"/>
      <c r="AV20" s="548"/>
      <c r="AW20" s="548"/>
      <c r="AX20" s="548"/>
      <c r="AY20" s="548"/>
      <c r="AZ20" s="548"/>
      <c r="BA20" s="548"/>
      <c r="BB20" s="548"/>
      <c r="BC20" s="548"/>
      <c r="BD20" s="548"/>
      <c r="BE20" s="548"/>
      <c r="BF20" s="548"/>
      <c r="BG20" s="548"/>
      <c r="BH20" s="548"/>
      <c r="BI20" s="548"/>
      <c r="BJ20" s="548"/>
      <c r="BK20" s="548"/>
      <c r="BL20" s="548"/>
      <c r="BM20" s="548"/>
      <c r="BN20" s="548"/>
      <c r="BO20" s="548"/>
      <c r="BP20" s="548"/>
      <c r="BQ20" s="548"/>
      <c r="BR20" s="548"/>
      <c r="BS20" s="548"/>
      <c r="BT20" s="548"/>
      <c r="BU20" s="548"/>
      <c r="BV20" s="548"/>
      <c r="BW20" s="548"/>
      <c r="BX20" s="548"/>
      <c r="BY20" s="548"/>
      <c r="BZ20" s="548"/>
      <c r="CA20" s="548"/>
      <c r="CB20" s="548"/>
      <c r="CC20" s="548"/>
      <c r="CD20" s="548"/>
      <c r="CE20" s="548"/>
      <c r="CF20" s="548"/>
      <c r="CG20" s="548"/>
      <c r="CH20" s="548"/>
      <c r="CI20" s="548"/>
      <c r="CJ20" s="548"/>
      <c r="CK20" s="548"/>
      <c r="CL20" s="548"/>
      <c r="CM20" s="548"/>
      <c r="CN20" s="548"/>
      <c r="CO20" s="548"/>
      <c r="CP20" s="548"/>
      <c r="CQ20" s="548"/>
      <c r="CR20" s="548"/>
      <c r="CS20" s="548"/>
      <c r="CT20" s="548"/>
      <c r="CU20" s="548"/>
      <c r="CV20" s="548"/>
      <c r="CW20" s="548"/>
      <c r="CX20" s="548"/>
      <c r="CY20" s="548"/>
      <c r="CZ20" s="548"/>
      <c r="DA20" s="548"/>
      <c r="DB20" s="548"/>
      <c r="DC20" s="548"/>
      <c r="DD20" s="548"/>
      <c r="DE20" s="548"/>
      <c r="DF20" s="548"/>
      <c r="DG20" s="548"/>
      <c r="DH20" s="548"/>
      <c r="DI20" s="548"/>
      <c r="DJ20" s="548"/>
      <c r="DK20" s="548"/>
      <c r="DL20" s="548"/>
      <c r="DM20" s="548"/>
      <c r="DN20" s="548"/>
      <c r="DO20" s="548"/>
      <c r="DP20" s="548"/>
      <c r="DQ20" s="548"/>
      <c r="DR20" s="548"/>
      <c r="DS20" s="548"/>
      <c r="DT20" s="548"/>
      <c r="DU20" s="548"/>
      <c r="DV20" s="548"/>
      <c r="DW20" s="548"/>
      <c r="DX20" s="548"/>
      <c r="DY20" s="548"/>
      <c r="DZ20" s="548"/>
      <c r="EA20" s="548"/>
      <c r="EB20" s="548"/>
      <c r="EC20" s="548"/>
      <c r="ED20" s="548"/>
      <c r="EE20" s="548"/>
      <c r="EF20" s="548"/>
      <c r="EG20" s="548"/>
      <c r="EH20" s="548"/>
      <c r="EI20" s="548"/>
      <c r="EJ20" s="548"/>
      <c r="EK20" s="548"/>
      <c r="EL20" s="548"/>
      <c r="EM20" s="548"/>
      <c r="EN20" s="548"/>
      <c r="EO20" s="548"/>
      <c r="EP20" s="548"/>
      <c r="EQ20" s="548"/>
      <c r="ER20" s="548"/>
      <c r="ES20" s="548"/>
      <c r="ET20" s="548"/>
      <c r="EU20" s="548"/>
      <c r="EV20" s="548"/>
      <c r="EW20" s="548"/>
      <c r="EX20" s="548"/>
      <c r="EY20" s="548"/>
      <c r="EZ20" s="548"/>
      <c r="FA20" s="548"/>
      <c r="FB20" s="548"/>
      <c r="FC20" s="548"/>
      <c r="FD20" s="548"/>
      <c r="FE20" s="548"/>
      <c r="FF20" s="548"/>
      <c r="FG20" s="548"/>
      <c r="FH20" s="548"/>
      <c r="FI20" s="548"/>
      <c r="FJ20" s="548"/>
      <c r="FK20" s="548"/>
      <c r="FL20" s="548"/>
      <c r="FM20" s="548"/>
      <c r="FN20" s="548"/>
      <c r="FO20" s="548"/>
      <c r="FP20" s="548"/>
      <c r="FQ20" s="548"/>
      <c r="FR20" s="548"/>
      <c r="FS20" s="548"/>
      <c r="FT20" s="548"/>
      <c r="FU20" s="548"/>
      <c r="FV20" s="548"/>
      <c r="FW20" s="548"/>
      <c r="FX20" s="548"/>
      <c r="FY20" s="548"/>
      <c r="FZ20" s="548"/>
      <c r="GA20" s="548"/>
      <c r="GB20" s="548"/>
      <c r="GC20" s="548"/>
      <c r="GD20" s="548"/>
      <c r="GE20" s="548"/>
      <c r="GF20" s="548"/>
      <c r="GG20" s="548"/>
      <c r="GH20" s="548"/>
      <c r="GI20" s="548"/>
      <c r="GJ20" s="548"/>
      <c r="GK20" s="548"/>
      <c r="GL20" s="548"/>
      <c r="GM20" s="548"/>
      <c r="GN20" s="548"/>
      <c r="GO20" s="548"/>
      <c r="GP20" s="548"/>
      <c r="GQ20" s="548"/>
      <c r="GR20" s="548"/>
      <c r="GS20" s="548"/>
      <c r="GT20" s="548"/>
      <c r="GU20" s="548"/>
      <c r="GV20" s="548"/>
      <c r="GW20" s="548"/>
      <c r="GX20" s="548"/>
      <c r="GY20" s="548"/>
      <c r="GZ20" s="548"/>
      <c r="HA20" s="548"/>
      <c r="HB20" s="548"/>
      <c r="HC20" s="548"/>
      <c r="HD20" s="548"/>
      <c r="HE20" s="548"/>
      <c r="HF20" s="548"/>
      <c r="HG20" s="548"/>
      <c r="HH20" s="548"/>
      <c r="HI20" s="548"/>
      <c r="HJ20" s="548"/>
      <c r="HK20" s="548"/>
      <c r="HL20" s="548"/>
      <c r="HM20" s="548"/>
      <c r="HN20" s="548"/>
      <c r="HO20" s="548"/>
      <c r="HP20" s="548"/>
      <c r="HQ20" s="548"/>
      <c r="HR20" s="548"/>
      <c r="HS20" s="548"/>
      <c r="HT20" s="548"/>
      <c r="HU20" s="548"/>
      <c r="HV20" s="548"/>
      <c r="HW20" s="548"/>
      <c r="HX20" s="548"/>
      <c r="HY20" s="548"/>
      <c r="HZ20" s="548"/>
      <c r="IA20" s="548"/>
      <c r="IB20" s="548"/>
      <c r="IC20" s="548"/>
      <c r="ID20" s="548"/>
      <c r="IE20" s="548"/>
      <c r="IF20" s="548"/>
      <c r="IG20" s="548"/>
      <c r="IH20" s="548"/>
      <c r="II20" s="548"/>
      <c r="IJ20" s="548"/>
      <c r="IK20" s="548"/>
      <c r="IL20" s="548"/>
      <c r="IM20" s="548"/>
      <c r="IN20" s="548"/>
      <c r="IO20" s="548"/>
      <c r="IP20" s="548"/>
      <c r="IQ20" s="548"/>
      <c r="IR20" s="548"/>
      <c r="IS20" s="548"/>
      <c r="IT20" s="548"/>
      <c r="IU20" s="548"/>
      <c r="IV20" s="548"/>
      <c r="IW20" s="548"/>
    </row>
    <row r="21" customFormat="false" ht="12.75" hidden="false" customHeight="false" outlineLevel="0" collapsed="false">
      <c r="A21" s="1050" t="s">
        <v>714</v>
      </c>
      <c r="B21" s="1051"/>
      <c r="C21" s="1052" t="n">
        <f aca="false">'Project Assumptions'!N60</f>
        <v>0</v>
      </c>
      <c r="D21" s="548"/>
      <c r="E21" s="42" t="n">
        <v>20</v>
      </c>
      <c r="F21" s="46" t="n">
        <f aca="false">2743</f>
        <v>2743</v>
      </c>
      <c r="G21" s="46" t="n">
        <f aca="false">$C$21*$C$23*($C$20*(1+$C$19))</f>
        <v>0</v>
      </c>
      <c r="H21" s="46" t="n">
        <f aca="false">G21+F21</f>
        <v>2743</v>
      </c>
      <c r="I21" s="1053" t="n">
        <f aca="false">G21/H21</f>
        <v>0</v>
      </c>
      <c r="J21" s="1054" t="n">
        <f aca="false">1-I21</f>
        <v>1</v>
      </c>
      <c r="K21" s="1"/>
      <c r="L21" s="1"/>
      <c r="M21" s="1"/>
      <c r="N21" s="1"/>
      <c r="O21" s="1"/>
      <c r="P21" s="1"/>
      <c r="Q21" s="1"/>
      <c r="R21" s="1"/>
      <c r="S21" s="1"/>
      <c r="T21" s="1"/>
      <c r="U21" s="1"/>
      <c r="V21" s="1"/>
      <c r="W21" s="1"/>
      <c r="X21" s="1"/>
      <c r="Y21" s="1"/>
      <c r="Z21" s="1"/>
      <c r="AA21" s="1"/>
      <c r="AB21" s="1"/>
      <c r="AC21" s="1"/>
      <c r="AD21" s="1"/>
      <c r="AE21" s="1"/>
      <c r="AF21" s="548"/>
      <c r="AG21" s="548"/>
      <c r="AH21" s="548"/>
      <c r="AI21" s="548"/>
      <c r="AJ21" s="548"/>
      <c r="AK21" s="548"/>
      <c r="AL21" s="548"/>
      <c r="AM21" s="548"/>
      <c r="AN21" s="548"/>
      <c r="AO21" s="548"/>
      <c r="AP21" s="548"/>
      <c r="AQ21" s="548"/>
      <c r="AR21" s="548"/>
      <c r="AS21" s="548"/>
      <c r="AT21" s="548"/>
      <c r="AU21" s="548"/>
      <c r="AV21" s="548"/>
      <c r="AW21" s="548"/>
      <c r="AX21" s="548"/>
      <c r="AY21" s="548"/>
      <c r="AZ21" s="548"/>
      <c r="BA21" s="548"/>
      <c r="BB21" s="548"/>
      <c r="BC21" s="548"/>
      <c r="BD21" s="548"/>
      <c r="BE21" s="548"/>
      <c r="BF21" s="548"/>
      <c r="BG21" s="548"/>
      <c r="BH21" s="548"/>
      <c r="BI21" s="548"/>
      <c r="BJ21" s="548"/>
      <c r="BK21" s="548"/>
      <c r="BL21" s="548"/>
      <c r="BM21" s="548"/>
      <c r="BN21" s="548"/>
      <c r="BO21" s="548"/>
      <c r="BP21" s="548"/>
      <c r="BQ21" s="548"/>
      <c r="BR21" s="548"/>
      <c r="BS21" s="548"/>
      <c r="BT21" s="548"/>
      <c r="BU21" s="548"/>
      <c r="BV21" s="548"/>
      <c r="BW21" s="548"/>
      <c r="BX21" s="548"/>
      <c r="BY21" s="548"/>
      <c r="BZ21" s="548"/>
      <c r="CA21" s="548"/>
      <c r="CB21" s="548"/>
      <c r="CC21" s="548"/>
      <c r="CD21" s="548"/>
      <c r="CE21" s="548"/>
      <c r="CF21" s="548"/>
      <c r="CG21" s="548"/>
      <c r="CH21" s="548"/>
      <c r="CI21" s="548"/>
      <c r="CJ21" s="548"/>
      <c r="CK21" s="548"/>
      <c r="CL21" s="548"/>
      <c r="CM21" s="548"/>
      <c r="CN21" s="548"/>
      <c r="CO21" s="548"/>
      <c r="CP21" s="548"/>
      <c r="CQ21" s="548"/>
      <c r="CR21" s="548"/>
      <c r="CS21" s="548"/>
      <c r="CT21" s="548"/>
      <c r="CU21" s="548"/>
      <c r="CV21" s="548"/>
      <c r="CW21" s="548"/>
      <c r="CX21" s="548"/>
      <c r="CY21" s="548"/>
      <c r="CZ21" s="548"/>
      <c r="DA21" s="548"/>
      <c r="DB21" s="548"/>
      <c r="DC21" s="548"/>
      <c r="DD21" s="548"/>
      <c r="DE21" s="548"/>
      <c r="DF21" s="548"/>
      <c r="DG21" s="548"/>
      <c r="DH21" s="548"/>
      <c r="DI21" s="548"/>
      <c r="DJ21" s="548"/>
      <c r="DK21" s="548"/>
      <c r="DL21" s="548"/>
      <c r="DM21" s="548"/>
      <c r="DN21" s="548"/>
      <c r="DO21" s="548"/>
      <c r="DP21" s="548"/>
      <c r="DQ21" s="548"/>
      <c r="DR21" s="548"/>
      <c r="DS21" s="548"/>
      <c r="DT21" s="548"/>
      <c r="DU21" s="548"/>
      <c r="DV21" s="548"/>
      <c r="DW21" s="548"/>
      <c r="DX21" s="548"/>
      <c r="DY21" s="548"/>
      <c r="DZ21" s="548"/>
      <c r="EA21" s="548"/>
      <c r="EB21" s="548"/>
      <c r="EC21" s="548"/>
      <c r="ED21" s="548"/>
      <c r="EE21" s="548"/>
      <c r="EF21" s="548"/>
      <c r="EG21" s="548"/>
      <c r="EH21" s="548"/>
      <c r="EI21" s="548"/>
      <c r="EJ21" s="548"/>
      <c r="EK21" s="548"/>
      <c r="EL21" s="548"/>
      <c r="EM21" s="548"/>
      <c r="EN21" s="548"/>
      <c r="EO21" s="548"/>
      <c r="EP21" s="548"/>
      <c r="EQ21" s="548"/>
      <c r="ER21" s="548"/>
      <c r="ES21" s="548"/>
      <c r="ET21" s="548"/>
      <c r="EU21" s="548"/>
      <c r="EV21" s="548"/>
      <c r="EW21" s="548"/>
      <c r="EX21" s="548"/>
      <c r="EY21" s="548"/>
      <c r="EZ21" s="548"/>
      <c r="FA21" s="548"/>
      <c r="FB21" s="548"/>
      <c r="FC21" s="548"/>
      <c r="FD21" s="548"/>
      <c r="FE21" s="548"/>
      <c r="FF21" s="548"/>
      <c r="FG21" s="548"/>
      <c r="FH21" s="548"/>
      <c r="FI21" s="548"/>
      <c r="FJ21" s="548"/>
      <c r="FK21" s="548"/>
      <c r="FL21" s="548"/>
      <c r="FM21" s="548"/>
      <c r="FN21" s="548"/>
      <c r="FO21" s="548"/>
      <c r="FP21" s="548"/>
      <c r="FQ21" s="548"/>
      <c r="FR21" s="548"/>
      <c r="FS21" s="548"/>
      <c r="FT21" s="548"/>
      <c r="FU21" s="548"/>
      <c r="FV21" s="548"/>
      <c r="FW21" s="548"/>
      <c r="FX21" s="548"/>
      <c r="FY21" s="548"/>
      <c r="FZ21" s="548"/>
      <c r="GA21" s="548"/>
      <c r="GB21" s="548"/>
      <c r="GC21" s="548"/>
      <c r="GD21" s="548"/>
      <c r="GE21" s="548"/>
      <c r="GF21" s="548"/>
      <c r="GG21" s="548"/>
      <c r="GH21" s="548"/>
      <c r="GI21" s="548"/>
      <c r="GJ21" s="548"/>
      <c r="GK21" s="548"/>
      <c r="GL21" s="548"/>
      <c r="GM21" s="548"/>
      <c r="GN21" s="548"/>
      <c r="GO21" s="548"/>
      <c r="GP21" s="548"/>
      <c r="GQ21" s="548"/>
      <c r="GR21" s="548"/>
      <c r="GS21" s="548"/>
      <c r="GT21" s="548"/>
      <c r="GU21" s="548"/>
      <c r="GV21" s="548"/>
      <c r="GW21" s="548"/>
      <c r="GX21" s="548"/>
      <c r="GY21" s="548"/>
      <c r="GZ21" s="548"/>
      <c r="HA21" s="548"/>
      <c r="HB21" s="548"/>
      <c r="HC21" s="548"/>
      <c r="HD21" s="548"/>
      <c r="HE21" s="548"/>
      <c r="HF21" s="548"/>
      <c r="HG21" s="548"/>
      <c r="HH21" s="548"/>
      <c r="HI21" s="548"/>
      <c r="HJ21" s="548"/>
      <c r="HK21" s="548"/>
      <c r="HL21" s="548"/>
      <c r="HM21" s="548"/>
      <c r="HN21" s="548"/>
      <c r="HO21" s="548"/>
      <c r="HP21" s="548"/>
      <c r="HQ21" s="548"/>
      <c r="HR21" s="548"/>
      <c r="HS21" s="548"/>
      <c r="HT21" s="548"/>
      <c r="HU21" s="548"/>
      <c r="HV21" s="548"/>
      <c r="HW21" s="548"/>
      <c r="HX21" s="548"/>
      <c r="HY21" s="548"/>
      <c r="HZ21" s="548"/>
      <c r="IA21" s="548"/>
      <c r="IB21" s="548"/>
      <c r="IC21" s="548"/>
      <c r="ID21" s="548"/>
      <c r="IE21" s="548"/>
      <c r="IF21" s="548"/>
      <c r="IG21" s="548"/>
      <c r="IH21" s="548"/>
      <c r="II21" s="548"/>
      <c r="IJ21" s="548"/>
      <c r="IK21" s="548"/>
      <c r="IL21" s="548"/>
      <c r="IM21" s="548"/>
      <c r="IN21" s="548"/>
      <c r="IO21" s="548"/>
      <c r="IP21" s="548"/>
      <c r="IQ21" s="548"/>
      <c r="IR21" s="548"/>
      <c r="IS21" s="548"/>
      <c r="IT21" s="548"/>
      <c r="IU21" s="548"/>
      <c r="IV21" s="548"/>
      <c r="IW21" s="548"/>
    </row>
    <row r="22" customFormat="false" ht="12.75" hidden="false" customHeight="false" outlineLevel="0" collapsed="false">
      <c r="A22" s="1055"/>
      <c r="B22" s="1051"/>
      <c r="C22" s="47"/>
      <c r="D22" s="548"/>
      <c r="E22" s="42" t="n">
        <v>30</v>
      </c>
      <c r="F22" s="46" t="n">
        <f aca="false">2743</f>
        <v>2743</v>
      </c>
      <c r="G22" s="46" t="n">
        <f aca="false">$C$21*$C$23*($C$20*(1+$C$19))</f>
        <v>0</v>
      </c>
      <c r="H22" s="46" t="n">
        <f aca="false">G22+F22</f>
        <v>2743</v>
      </c>
      <c r="I22" s="1053" t="n">
        <f aca="false">G22/H22</f>
        <v>0</v>
      </c>
      <c r="J22" s="1054" t="n">
        <f aca="false">1-I22</f>
        <v>1</v>
      </c>
      <c r="K22" s="1"/>
      <c r="L22" s="1"/>
      <c r="M22" s="1"/>
      <c r="N22" s="1"/>
      <c r="O22" s="1"/>
      <c r="P22" s="1"/>
      <c r="Q22" s="1"/>
      <c r="R22" s="1"/>
      <c r="S22" s="1"/>
      <c r="T22" s="1"/>
      <c r="U22" s="1"/>
      <c r="V22" s="1"/>
      <c r="W22" s="1"/>
      <c r="X22" s="1"/>
      <c r="Y22" s="1"/>
      <c r="Z22" s="1"/>
      <c r="AA22" s="1"/>
      <c r="AB22" s="1"/>
      <c r="AC22" s="1"/>
      <c r="AD22" s="1"/>
      <c r="AE22" s="1"/>
      <c r="AF22" s="548"/>
      <c r="AG22" s="548"/>
      <c r="AH22" s="548"/>
      <c r="AI22" s="548"/>
      <c r="AJ22" s="548"/>
      <c r="AK22" s="548"/>
      <c r="AL22" s="548"/>
      <c r="AM22" s="548"/>
      <c r="AN22" s="548"/>
      <c r="AO22" s="548"/>
      <c r="AP22" s="548"/>
      <c r="AQ22" s="548"/>
      <c r="AR22" s="548"/>
      <c r="AS22" s="548"/>
      <c r="AT22" s="548"/>
      <c r="AU22" s="548"/>
      <c r="AV22" s="548"/>
      <c r="AW22" s="548"/>
      <c r="AX22" s="548"/>
      <c r="AY22" s="548"/>
      <c r="AZ22" s="548"/>
      <c r="BA22" s="548"/>
      <c r="BB22" s="548"/>
      <c r="BC22" s="548"/>
      <c r="BD22" s="548"/>
      <c r="BE22" s="548"/>
      <c r="BF22" s="548"/>
      <c r="BG22" s="548"/>
      <c r="BH22" s="548"/>
      <c r="BI22" s="548"/>
      <c r="BJ22" s="548"/>
      <c r="BK22" s="548"/>
      <c r="BL22" s="548"/>
      <c r="BM22" s="548"/>
      <c r="BN22" s="548"/>
      <c r="BO22" s="548"/>
      <c r="BP22" s="548"/>
      <c r="BQ22" s="548"/>
      <c r="BR22" s="548"/>
      <c r="BS22" s="548"/>
      <c r="BT22" s="548"/>
      <c r="BU22" s="548"/>
      <c r="BV22" s="548"/>
      <c r="BW22" s="548"/>
      <c r="BX22" s="548"/>
      <c r="BY22" s="548"/>
      <c r="BZ22" s="548"/>
      <c r="CA22" s="548"/>
      <c r="CB22" s="548"/>
      <c r="CC22" s="548"/>
      <c r="CD22" s="548"/>
      <c r="CE22" s="548"/>
      <c r="CF22" s="548"/>
      <c r="CG22" s="548"/>
      <c r="CH22" s="548"/>
      <c r="CI22" s="548"/>
      <c r="CJ22" s="548"/>
      <c r="CK22" s="548"/>
      <c r="CL22" s="548"/>
      <c r="CM22" s="548"/>
      <c r="CN22" s="548"/>
      <c r="CO22" s="548"/>
      <c r="CP22" s="548"/>
      <c r="CQ22" s="548"/>
      <c r="CR22" s="548"/>
      <c r="CS22" s="548"/>
      <c r="CT22" s="548"/>
      <c r="CU22" s="548"/>
      <c r="CV22" s="548"/>
      <c r="CW22" s="548"/>
      <c r="CX22" s="548"/>
      <c r="CY22" s="548"/>
      <c r="CZ22" s="548"/>
      <c r="DA22" s="548"/>
      <c r="DB22" s="548"/>
      <c r="DC22" s="548"/>
      <c r="DD22" s="548"/>
      <c r="DE22" s="548"/>
      <c r="DF22" s="548"/>
      <c r="DG22" s="548"/>
      <c r="DH22" s="548"/>
      <c r="DI22" s="548"/>
      <c r="DJ22" s="548"/>
      <c r="DK22" s="548"/>
      <c r="DL22" s="548"/>
      <c r="DM22" s="548"/>
      <c r="DN22" s="548"/>
      <c r="DO22" s="548"/>
      <c r="DP22" s="548"/>
      <c r="DQ22" s="548"/>
      <c r="DR22" s="548"/>
      <c r="DS22" s="548"/>
      <c r="DT22" s="548"/>
      <c r="DU22" s="548"/>
      <c r="DV22" s="548"/>
      <c r="DW22" s="548"/>
      <c r="DX22" s="548"/>
      <c r="DY22" s="548"/>
      <c r="DZ22" s="548"/>
      <c r="EA22" s="548"/>
      <c r="EB22" s="548"/>
      <c r="EC22" s="548"/>
      <c r="ED22" s="548"/>
      <c r="EE22" s="548"/>
      <c r="EF22" s="548"/>
      <c r="EG22" s="548"/>
      <c r="EH22" s="548"/>
      <c r="EI22" s="548"/>
      <c r="EJ22" s="548"/>
      <c r="EK22" s="548"/>
      <c r="EL22" s="548"/>
      <c r="EM22" s="548"/>
      <c r="EN22" s="548"/>
      <c r="EO22" s="548"/>
      <c r="EP22" s="548"/>
      <c r="EQ22" s="548"/>
      <c r="ER22" s="548"/>
      <c r="ES22" s="548"/>
      <c r="ET22" s="548"/>
      <c r="EU22" s="548"/>
      <c r="EV22" s="548"/>
      <c r="EW22" s="548"/>
      <c r="EX22" s="548"/>
      <c r="EY22" s="548"/>
      <c r="EZ22" s="548"/>
      <c r="FA22" s="548"/>
      <c r="FB22" s="548"/>
      <c r="FC22" s="548"/>
      <c r="FD22" s="548"/>
      <c r="FE22" s="548"/>
      <c r="FF22" s="548"/>
      <c r="FG22" s="548"/>
      <c r="FH22" s="548"/>
      <c r="FI22" s="548"/>
      <c r="FJ22" s="548"/>
      <c r="FK22" s="548"/>
      <c r="FL22" s="548"/>
      <c r="FM22" s="548"/>
      <c r="FN22" s="548"/>
      <c r="FO22" s="548"/>
      <c r="FP22" s="548"/>
      <c r="FQ22" s="548"/>
      <c r="FR22" s="548"/>
      <c r="FS22" s="548"/>
      <c r="FT22" s="548"/>
      <c r="FU22" s="548"/>
      <c r="FV22" s="548"/>
      <c r="FW22" s="548"/>
      <c r="FX22" s="548"/>
      <c r="FY22" s="548"/>
      <c r="FZ22" s="548"/>
      <c r="GA22" s="548"/>
      <c r="GB22" s="548"/>
      <c r="GC22" s="548"/>
      <c r="GD22" s="548"/>
      <c r="GE22" s="548"/>
      <c r="GF22" s="548"/>
      <c r="GG22" s="548"/>
      <c r="GH22" s="548"/>
      <c r="GI22" s="548"/>
      <c r="GJ22" s="548"/>
      <c r="GK22" s="548"/>
      <c r="GL22" s="548"/>
      <c r="GM22" s="548"/>
      <c r="GN22" s="548"/>
      <c r="GO22" s="548"/>
      <c r="GP22" s="548"/>
      <c r="GQ22" s="548"/>
      <c r="GR22" s="548"/>
      <c r="GS22" s="548"/>
      <c r="GT22" s="548"/>
      <c r="GU22" s="548"/>
      <c r="GV22" s="548"/>
      <c r="GW22" s="548"/>
      <c r="GX22" s="548"/>
      <c r="GY22" s="548"/>
      <c r="GZ22" s="548"/>
      <c r="HA22" s="548"/>
      <c r="HB22" s="548"/>
      <c r="HC22" s="548"/>
      <c r="HD22" s="548"/>
      <c r="HE22" s="548"/>
      <c r="HF22" s="548"/>
      <c r="HG22" s="548"/>
      <c r="HH22" s="548"/>
      <c r="HI22" s="548"/>
      <c r="HJ22" s="548"/>
      <c r="HK22" s="548"/>
      <c r="HL22" s="548"/>
      <c r="HM22" s="548"/>
      <c r="HN22" s="548"/>
      <c r="HO22" s="548"/>
      <c r="HP22" s="548"/>
      <c r="HQ22" s="548"/>
      <c r="HR22" s="548"/>
      <c r="HS22" s="548"/>
      <c r="HT22" s="548"/>
      <c r="HU22" s="548"/>
      <c r="HV22" s="548"/>
      <c r="HW22" s="548"/>
      <c r="HX22" s="548"/>
      <c r="HY22" s="548"/>
      <c r="HZ22" s="548"/>
      <c r="IA22" s="548"/>
      <c r="IB22" s="548"/>
      <c r="IC22" s="548"/>
      <c r="ID22" s="548"/>
      <c r="IE22" s="548"/>
      <c r="IF22" s="548"/>
      <c r="IG22" s="548"/>
      <c r="IH22" s="548"/>
      <c r="II22" s="548"/>
      <c r="IJ22" s="548"/>
      <c r="IK22" s="548"/>
      <c r="IL22" s="548"/>
      <c r="IM22" s="548"/>
      <c r="IN22" s="548"/>
      <c r="IO22" s="548"/>
      <c r="IP22" s="548"/>
      <c r="IQ22" s="548"/>
      <c r="IR22" s="548"/>
      <c r="IS22" s="548"/>
      <c r="IT22" s="548"/>
      <c r="IU22" s="548"/>
      <c r="IV22" s="548"/>
      <c r="IW22" s="548"/>
    </row>
    <row r="23" customFormat="false" ht="12.75" hidden="false" customHeight="false" outlineLevel="0" collapsed="false">
      <c r="A23" s="50" t="s">
        <v>127</v>
      </c>
      <c r="B23" s="1056"/>
      <c r="C23" s="1057" t="n">
        <v>6</v>
      </c>
      <c r="D23" s="548"/>
      <c r="E23" s="42" t="n">
        <v>40</v>
      </c>
      <c r="F23" s="46" t="n">
        <f aca="false">2743</f>
        <v>2743</v>
      </c>
      <c r="G23" s="46" t="n">
        <f aca="false">$C$21*$C$23*($C$20*(1+$C$19))</f>
        <v>0</v>
      </c>
      <c r="H23" s="46" t="n">
        <f aca="false">G23+F23</f>
        <v>2743</v>
      </c>
      <c r="I23" s="1053" t="n">
        <f aca="false">G23/H23</f>
        <v>0</v>
      </c>
      <c r="J23" s="1054" t="n">
        <f aca="false">1-I23</f>
        <v>1</v>
      </c>
      <c r="K23" s="1"/>
      <c r="L23" s="1"/>
      <c r="M23" s="1"/>
      <c r="N23" s="1"/>
      <c r="O23" s="1"/>
      <c r="P23" s="1"/>
      <c r="Q23" s="1"/>
      <c r="R23" s="1"/>
      <c r="S23" s="1"/>
      <c r="T23" s="1"/>
      <c r="U23" s="1"/>
      <c r="V23" s="1"/>
      <c r="W23" s="1"/>
      <c r="X23" s="1"/>
      <c r="Y23" s="1"/>
      <c r="Z23" s="1"/>
      <c r="AA23" s="1"/>
      <c r="AB23" s="1"/>
      <c r="AC23" s="1"/>
      <c r="AD23" s="1"/>
      <c r="AE23" s="1"/>
      <c r="AF23" s="548"/>
      <c r="AG23" s="548"/>
      <c r="AH23" s="548"/>
      <c r="AI23" s="548"/>
      <c r="AJ23" s="548"/>
      <c r="AK23" s="548"/>
      <c r="AL23" s="548"/>
      <c r="AM23" s="548"/>
      <c r="AN23" s="548"/>
      <c r="AO23" s="548"/>
      <c r="AP23" s="548"/>
      <c r="AQ23" s="548"/>
      <c r="AR23" s="548"/>
      <c r="AS23" s="548"/>
      <c r="AT23" s="548"/>
      <c r="AU23" s="548"/>
      <c r="AV23" s="548"/>
      <c r="AW23" s="548"/>
      <c r="AX23" s="548"/>
      <c r="AY23" s="548"/>
      <c r="AZ23" s="548"/>
      <c r="BA23" s="548"/>
      <c r="BB23" s="548"/>
      <c r="BC23" s="548"/>
      <c r="BD23" s="548"/>
      <c r="BE23" s="548"/>
      <c r="BF23" s="548"/>
      <c r="BG23" s="548"/>
      <c r="BH23" s="548"/>
      <c r="BI23" s="548"/>
      <c r="BJ23" s="548"/>
      <c r="BK23" s="548"/>
      <c r="BL23" s="548"/>
      <c r="BM23" s="548"/>
      <c r="BN23" s="548"/>
      <c r="BO23" s="548"/>
      <c r="BP23" s="548"/>
      <c r="BQ23" s="548"/>
      <c r="BR23" s="548"/>
      <c r="BS23" s="548"/>
      <c r="BT23" s="548"/>
      <c r="BU23" s="548"/>
      <c r="BV23" s="548"/>
      <c r="BW23" s="548"/>
      <c r="BX23" s="548"/>
      <c r="BY23" s="548"/>
      <c r="BZ23" s="548"/>
      <c r="CA23" s="548"/>
      <c r="CB23" s="548"/>
      <c r="CC23" s="548"/>
      <c r="CD23" s="548"/>
      <c r="CE23" s="548"/>
      <c r="CF23" s="548"/>
      <c r="CG23" s="548"/>
      <c r="CH23" s="548"/>
      <c r="CI23" s="548"/>
      <c r="CJ23" s="548"/>
      <c r="CK23" s="548"/>
      <c r="CL23" s="548"/>
      <c r="CM23" s="548"/>
      <c r="CN23" s="548"/>
      <c r="CO23" s="548"/>
      <c r="CP23" s="548"/>
      <c r="CQ23" s="548"/>
      <c r="CR23" s="548"/>
      <c r="CS23" s="548"/>
      <c r="CT23" s="548"/>
      <c r="CU23" s="548"/>
      <c r="CV23" s="548"/>
      <c r="CW23" s="548"/>
      <c r="CX23" s="548"/>
      <c r="CY23" s="548"/>
      <c r="CZ23" s="548"/>
      <c r="DA23" s="548"/>
      <c r="DB23" s="548"/>
      <c r="DC23" s="548"/>
      <c r="DD23" s="548"/>
      <c r="DE23" s="548"/>
      <c r="DF23" s="548"/>
      <c r="DG23" s="548"/>
      <c r="DH23" s="548"/>
      <c r="DI23" s="548"/>
      <c r="DJ23" s="548"/>
      <c r="DK23" s="548"/>
      <c r="DL23" s="548"/>
      <c r="DM23" s="548"/>
      <c r="DN23" s="548"/>
      <c r="DO23" s="548"/>
      <c r="DP23" s="548"/>
      <c r="DQ23" s="548"/>
      <c r="DR23" s="548"/>
      <c r="DS23" s="548"/>
      <c r="DT23" s="548"/>
      <c r="DU23" s="548"/>
      <c r="DV23" s="548"/>
      <c r="DW23" s="548"/>
      <c r="DX23" s="548"/>
      <c r="DY23" s="548"/>
      <c r="DZ23" s="548"/>
      <c r="EA23" s="548"/>
      <c r="EB23" s="548"/>
      <c r="EC23" s="548"/>
      <c r="ED23" s="548"/>
      <c r="EE23" s="548"/>
      <c r="EF23" s="548"/>
      <c r="EG23" s="548"/>
      <c r="EH23" s="548"/>
      <c r="EI23" s="548"/>
      <c r="EJ23" s="548"/>
      <c r="EK23" s="548"/>
      <c r="EL23" s="548"/>
      <c r="EM23" s="548"/>
      <c r="EN23" s="548"/>
      <c r="EO23" s="548"/>
      <c r="EP23" s="548"/>
      <c r="EQ23" s="548"/>
      <c r="ER23" s="548"/>
      <c r="ES23" s="548"/>
      <c r="ET23" s="548"/>
      <c r="EU23" s="548"/>
      <c r="EV23" s="548"/>
      <c r="EW23" s="548"/>
      <c r="EX23" s="548"/>
      <c r="EY23" s="548"/>
      <c r="EZ23" s="548"/>
      <c r="FA23" s="548"/>
      <c r="FB23" s="548"/>
      <c r="FC23" s="548"/>
      <c r="FD23" s="548"/>
      <c r="FE23" s="548"/>
      <c r="FF23" s="548"/>
      <c r="FG23" s="548"/>
      <c r="FH23" s="548"/>
      <c r="FI23" s="548"/>
      <c r="FJ23" s="548"/>
      <c r="FK23" s="548"/>
      <c r="FL23" s="548"/>
      <c r="FM23" s="548"/>
      <c r="FN23" s="548"/>
      <c r="FO23" s="548"/>
      <c r="FP23" s="548"/>
      <c r="FQ23" s="548"/>
      <c r="FR23" s="548"/>
      <c r="FS23" s="548"/>
      <c r="FT23" s="548"/>
      <c r="FU23" s="548"/>
      <c r="FV23" s="548"/>
      <c r="FW23" s="548"/>
      <c r="FX23" s="548"/>
      <c r="FY23" s="548"/>
      <c r="FZ23" s="548"/>
      <c r="GA23" s="548"/>
      <c r="GB23" s="548"/>
      <c r="GC23" s="548"/>
      <c r="GD23" s="548"/>
      <c r="GE23" s="548"/>
      <c r="GF23" s="548"/>
      <c r="GG23" s="548"/>
      <c r="GH23" s="548"/>
      <c r="GI23" s="548"/>
      <c r="GJ23" s="548"/>
      <c r="GK23" s="548"/>
      <c r="GL23" s="548"/>
      <c r="GM23" s="548"/>
      <c r="GN23" s="548"/>
      <c r="GO23" s="548"/>
      <c r="GP23" s="548"/>
      <c r="GQ23" s="548"/>
      <c r="GR23" s="548"/>
      <c r="GS23" s="548"/>
      <c r="GT23" s="548"/>
      <c r="GU23" s="548"/>
      <c r="GV23" s="548"/>
      <c r="GW23" s="548"/>
      <c r="GX23" s="548"/>
      <c r="GY23" s="548"/>
      <c r="GZ23" s="548"/>
      <c r="HA23" s="548"/>
      <c r="HB23" s="548"/>
      <c r="HC23" s="548"/>
      <c r="HD23" s="548"/>
      <c r="HE23" s="548"/>
      <c r="HF23" s="548"/>
      <c r="HG23" s="548"/>
      <c r="HH23" s="548"/>
      <c r="HI23" s="548"/>
      <c r="HJ23" s="548"/>
      <c r="HK23" s="548"/>
      <c r="HL23" s="548"/>
      <c r="HM23" s="548"/>
      <c r="HN23" s="548"/>
      <c r="HO23" s="548"/>
      <c r="HP23" s="548"/>
      <c r="HQ23" s="548"/>
      <c r="HR23" s="548"/>
      <c r="HS23" s="548"/>
      <c r="HT23" s="548"/>
      <c r="HU23" s="548"/>
      <c r="HV23" s="548"/>
      <c r="HW23" s="548"/>
      <c r="HX23" s="548"/>
      <c r="HY23" s="548"/>
      <c r="HZ23" s="548"/>
      <c r="IA23" s="548"/>
      <c r="IB23" s="548"/>
      <c r="IC23" s="548"/>
      <c r="ID23" s="548"/>
      <c r="IE23" s="548"/>
      <c r="IF23" s="548"/>
      <c r="IG23" s="548"/>
      <c r="IH23" s="548"/>
      <c r="II23" s="548"/>
      <c r="IJ23" s="548"/>
      <c r="IK23" s="548"/>
      <c r="IL23" s="548"/>
      <c r="IM23" s="548"/>
      <c r="IN23" s="548"/>
      <c r="IO23" s="548"/>
      <c r="IP23" s="548"/>
      <c r="IQ23" s="548"/>
      <c r="IR23" s="548"/>
      <c r="IS23" s="548"/>
      <c r="IT23" s="548"/>
      <c r="IU23" s="548"/>
      <c r="IV23" s="548"/>
      <c r="IW23" s="548"/>
    </row>
    <row r="24" customFormat="false" ht="12.75" hidden="false" customHeight="false" outlineLevel="0" collapsed="false">
      <c r="A24" s="0"/>
      <c r="B24" s="0"/>
      <c r="C24" s="0"/>
      <c r="D24" s="548"/>
      <c r="E24" s="42" t="n">
        <v>50</v>
      </c>
      <c r="F24" s="46" t="n">
        <f aca="false">2743</f>
        <v>2743</v>
      </c>
      <c r="G24" s="46" t="n">
        <f aca="false">$C$21*$C$23*($C$20*(1+$C$19))</f>
        <v>0</v>
      </c>
      <c r="H24" s="46" t="n">
        <f aca="false">G24+F24</f>
        <v>2743</v>
      </c>
      <c r="I24" s="1053" t="n">
        <f aca="false">G24/H24</f>
        <v>0</v>
      </c>
      <c r="J24" s="1054" t="n">
        <f aca="false">1-I24</f>
        <v>1</v>
      </c>
      <c r="K24" s="1"/>
      <c r="L24" s="1"/>
      <c r="M24" s="1"/>
      <c r="N24" s="1"/>
      <c r="O24" s="1"/>
      <c r="P24" s="1"/>
      <c r="Q24" s="1"/>
      <c r="R24" s="1"/>
      <c r="S24" s="1"/>
      <c r="T24" s="1"/>
      <c r="U24" s="1"/>
      <c r="V24" s="1"/>
      <c r="W24" s="1"/>
      <c r="X24" s="1"/>
      <c r="Y24" s="1"/>
      <c r="Z24" s="1"/>
      <c r="AA24" s="1"/>
      <c r="AB24" s="1"/>
      <c r="AC24" s="1"/>
      <c r="AD24" s="1"/>
      <c r="AE24" s="1"/>
      <c r="AF24" s="548"/>
      <c r="AG24" s="548"/>
      <c r="AH24" s="548"/>
      <c r="AI24" s="548"/>
      <c r="AJ24" s="548"/>
      <c r="AK24" s="548"/>
      <c r="AL24" s="548"/>
      <c r="AM24" s="548"/>
      <c r="AN24" s="548"/>
      <c r="AO24" s="548"/>
      <c r="AP24" s="548"/>
      <c r="AQ24" s="548"/>
      <c r="AR24" s="548"/>
      <c r="AS24" s="548"/>
      <c r="AT24" s="548"/>
      <c r="AU24" s="548"/>
      <c r="AV24" s="548"/>
      <c r="AW24" s="548"/>
      <c r="AX24" s="548"/>
      <c r="AY24" s="548"/>
      <c r="AZ24" s="548"/>
      <c r="BA24" s="548"/>
      <c r="BB24" s="548"/>
      <c r="BC24" s="548"/>
      <c r="BD24" s="548"/>
      <c r="BE24" s="548"/>
      <c r="BF24" s="548"/>
      <c r="BG24" s="548"/>
      <c r="BH24" s="548"/>
      <c r="BI24" s="548"/>
      <c r="BJ24" s="548"/>
      <c r="BK24" s="548"/>
      <c r="BL24" s="548"/>
      <c r="BM24" s="548"/>
      <c r="BN24" s="548"/>
      <c r="BO24" s="548"/>
      <c r="BP24" s="548"/>
      <c r="BQ24" s="548"/>
      <c r="BR24" s="548"/>
      <c r="BS24" s="548"/>
      <c r="BT24" s="548"/>
      <c r="BU24" s="548"/>
      <c r="BV24" s="548"/>
      <c r="BW24" s="548"/>
      <c r="BX24" s="548"/>
      <c r="BY24" s="548"/>
      <c r="BZ24" s="548"/>
      <c r="CA24" s="548"/>
      <c r="CB24" s="548"/>
      <c r="CC24" s="548"/>
      <c r="CD24" s="548"/>
      <c r="CE24" s="548"/>
      <c r="CF24" s="548"/>
      <c r="CG24" s="548"/>
      <c r="CH24" s="548"/>
      <c r="CI24" s="548"/>
      <c r="CJ24" s="548"/>
      <c r="CK24" s="548"/>
      <c r="CL24" s="548"/>
      <c r="CM24" s="548"/>
      <c r="CN24" s="548"/>
      <c r="CO24" s="548"/>
      <c r="CP24" s="548"/>
      <c r="CQ24" s="548"/>
      <c r="CR24" s="548"/>
      <c r="CS24" s="548"/>
      <c r="CT24" s="548"/>
      <c r="CU24" s="548"/>
      <c r="CV24" s="548"/>
      <c r="CW24" s="548"/>
      <c r="CX24" s="548"/>
      <c r="CY24" s="548"/>
      <c r="CZ24" s="548"/>
      <c r="DA24" s="548"/>
      <c r="DB24" s="548"/>
      <c r="DC24" s="548"/>
      <c r="DD24" s="548"/>
      <c r="DE24" s="548"/>
      <c r="DF24" s="548"/>
      <c r="DG24" s="548"/>
      <c r="DH24" s="548"/>
      <c r="DI24" s="548"/>
      <c r="DJ24" s="548"/>
      <c r="DK24" s="548"/>
      <c r="DL24" s="548"/>
      <c r="DM24" s="548"/>
      <c r="DN24" s="548"/>
      <c r="DO24" s="548"/>
      <c r="DP24" s="548"/>
      <c r="DQ24" s="548"/>
      <c r="DR24" s="548"/>
      <c r="DS24" s="548"/>
      <c r="DT24" s="548"/>
      <c r="DU24" s="548"/>
      <c r="DV24" s="548"/>
      <c r="DW24" s="548"/>
      <c r="DX24" s="548"/>
      <c r="DY24" s="548"/>
      <c r="DZ24" s="548"/>
      <c r="EA24" s="548"/>
      <c r="EB24" s="548"/>
      <c r="EC24" s="548"/>
      <c r="ED24" s="548"/>
      <c r="EE24" s="548"/>
      <c r="EF24" s="548"/>
      <c r="EG24" s="548"/>
      <c r="EH24" s="548"/>
      <c r="EI24" s="548"/>
      <c r="EJ24" s="548"/>
      <c r="EK24" s="548"/>
      <c r="EL24" s="548"/>
      <c r="EM24" s="548"/>
      <c r="EN24" s="548"/>
      <c r="EO24" s="548"/>
      <c r="EP24" s="548"/>
      <c r="EQ24" s="548"/>
      <c r="ER24" s="548"/>
      <c r="ES24" s="548"/>
      <c r="ET24" s="548"/>
      <c r="EU24" s="548"/>
      <c r="EV24" s="548"/>
      <c r="EW24" s="548"/>
      <c r="EX24" s="548"/>
      <c r="EY24" s="548"/>
      <c r="EZ24" s="548"/>
      <c r="FA24" s="548"/>
      <c r="FB24" s="548"/>
      <c r="FC24" s="548"/>
      <c r="FD24" s="548"/>
      <c r="FE24" s="548"/>
      <c r="FF24" s="548"/>
      <c r="FG24" s="548"/>
      <c r="FH24" s="548"/>
      <c r="FI24" s="548"/>
      <c r="FJ24" s="548"/>
      <c r="FK24" s="548"/>
      <c r="FL24" s="548"/>
      <c r="FM24" s="548"/>
      <c r="FN24" s="548"/>
      <c r="FO24" s="548"/>
      <c r="FP24" s="548"/>
      <c r="FQ24" s="548"/>
      <c r="FR24" s="548"/>
      <c r="FS24" s="548"/>
      <c r="FT24" s="548"/>
      <c r="FU24" s="548"/>
      <c r="FV24" s="548"/>
      <c r="FW24" s="548"/>
      <c r="FX24" s="548"/>
      <c r="FY24" s="548"/>
      <c r="FZ24" s="548"/>
      <c r="GA24" s="548"/>
      <c r="GB24" s="548"/>
      <c r="GC24" s="548"/>
      <c r="GD24" s="548"/>
      <c r="GE24" s="548"/>
      <c r="GF24" s="548"/>
      <c r="GG24" s="548"/>
      <c r="GH24" s="548"/>
      <c r="GI24" s="548"/>
      <c r="GJ24" s="548"/>
      <c r="GK24" s="548"/>
      <c r="GL24" s="548"/>
      <c r="GM24" s="548"/>
      <c r="GN24" s="548"/>
      <c r="GO24" s="548"/>
      <c r="GP24" s="548"/>
      <c r="GQ24" s="548"/>
      <c r="GR24" s="548"/>
      <c r="GS24" s="548"/>
      <c r="GT24" s="548"/>
      <c r="GU24" s="548"/>
      <c r="GV24" s="548"/>
      <c r="GW24" s="548"/>
      <c r="GX24" s="548"/>
      <c r="GY24" s="548"/>
      <c r="GZ24" s="548"/>
      <c r="HA24" s="548"/>
      <c r="HB24" s="548"/>
      <c r="HC24" s="548"/>
      <c r="HD24" s="548"/>
      <c r="HE24" s="548"/>
      <c r="HF24" s="548"/>
      <c r="HG24" s="548"/>
      <c r="HH24" s="548"/>
      <c r="HI24" s="548"/>
      <c r="HJ24" s="548"/>
      <c r="HK24" s="548"/>
      <c r="HL24" s="548"/>
      <c r="HM24" s="548"/>
      <c r="HN24" s="548"/>
      <c r="HO24" s="548"/>
      <c r="HP24" s="548"/>
      <c r="HQ24" s="548"/>
      <c r="HR24" s="548"/>
      <c r="HS24" s="548"/>
      <c r="HT24" s="548"/>
      <c r="HU24" s="548"/>
      <c r="HV24" s="548"/>
      <c r="HW24" s="548"/>
      <c r="HX24" s="548"/>
      <c r="HY24" s="548"/>
      <c r="HZ24" s="548"/>
      <c r="IA24" s="548"/>
      <c r="IB24" s="548"/>
      <c r="IC24" s="548"/>
      <c r="ID24" s="548"/>
      <c r="IE24" s="548"/>
      <c r="IF24" s="548"/>
      <c r="IG24" s="548"/>
      <c r="IH24" s="548"/>
      <c r="II24" s="548"/>
      <c r="IJ24" s="548"/>
      <c r="IK24" s="548"/>
      <c r="IL24" s="548"/>
      <c r="IM24" s="548"/>
      <c r="IN24" s="548"/>
      <c r="IO24" s="548"/>
      <c r="IP24" s="548"/>
      <c r="IQ24" s="548"/>
      <c r="IR24" s="548"/>
      <c r="IS24" s="548"/>
      <c r="IT24" s="548"/>
      <c r="IU24" s="548"/>
      <c r="IV24" s="548"/>
      <c r="IW24" s="548"/>
    </row>
    <row r="25" customFormat="false" ht="12.75" hidden="false" customHeight="false" outlineLevel="0" collapsed="false">
      <c r="A25" s="0"/>
      <c r="B25" s="0"/>
      <c r="C25" s="0"/>
      <c r="D25" s="548"/>
      <c r="E25" s="42" t="n">
        <v>60</v>
      </c>
      <c r="F25" s="46" t="n">
        <f aca="false">7459</f>
        <v>7459</v>
      </c>
      <c r="G25" s="46" t="n">
        <f aca="false">$C$21*$C$23*($C$20*(1+$C$19))</f>
        <v>0</v>
      </c>
      <c r="H25" s="46" t="n">
        <f aca="false">G25+F25</f>
        <v>7459</v>
      </c>
      <c r="I25" s="1053" t="n">
        <f aca="false">G25/H25</f>
        <v>0</v>
      </c>
      <c r="J25" s="1054" t="n">
        <f aca="false">1-I25</f>
        <v>1</v>
      </c>
      <c r="K25" s="1"/>
      <c r="L25" s="1"/>
      <c r="M25" s="1"/>
      <c r="N25" s="1"/>
      <c r="O25" s="1"/>
      <c r="P25" s="1"/>
      <c r="Q25" s="1"/>
      <c r="R25" s="1"/>
      <c r="S25" s="1"/>
      <c r="T25" s="1"/>
      <c r="U25" s="1"/>
      <c r="V25" s="1"/>
      <c r="W25" s="1"/>
      <c r="X25" s="1"/>
      <c r="Y25" s="1"/>
      <c r="Z25" s="1"/>
      <c r="AA25" s="1"/>
      <c r="AB25" s="1"/>
      <c r="AC25" s="1"/>
      <c r="AD25" s="1"/>
      <c r="AE25" s="1"/>
      <c r="AF25" s="548"/>
      <c r="AG25" s="548"/>
      <c r="AH25" s="548"/>
      <c r="AI25" s="548"/>
      <c r="AJ25" s="548"/>
      <c r="AK25" s="548"/>
      <c r="AL25" s="548"/>
      <c r="AM25" s="548"/>
      <c r="AN25" s="548"/>
      <c r="AO25" s="548"/>
      <c r="AP25" s="548"/>
      <c r="AQ25" s="548"/>
      <c r="AR25" s="548"/>
      <c r="AS25" s="548"/>
      <c r="AT25" s="548"/>
      <c r="AU25" s="548"/>
      <c r="AV25" s="548"/>
      <c r="AW25" s="548"/>
      <c r="AX25" s="548"/>
      <c r="AY25" s="548"/>
      <c r="AZ25" s="548"/>
      <c r="BA25" s="548"/>
      <c r="BB25" s="548"/>
      <c r="BC25" s="548"/>
      <c r="BD25" s="548"/>
      <c r="BE25" s="548"/>
      <c r="BF25" s="548"/>
      <c r="BG25" s="548"/>
      <c r="BH25" s="548"/>
      <c r="BI25" s="548"/>
      <c r="BJ25" s="548"/>
      <c r="BK25" s="548"/>
      <c r="BL25" s="548"/>
      <c r="BM25" s="548"/>
      <c r="BN25" s="548"/>
      <c r="BO25" s="548"/>
      <c r="BP25" s="548"/>
      <c r="BQ25" s="548"/>
      <c r="BR25" s="548"/>
      <c r="BS25" s="548"/>
      <c r="BT25" s="548"/>
      <c r="BU25" s="548"/>
      <c r="BV25" s="548"/>
      <c r="BW25" s="548"/>
      <c r="BX25" s="548"/>
      <c r="BY25" s="548"/>
      <c r="BZ25" s="548"/>
      <c r="CA25" s="548"/>
      <c r="CB25" s="548"/>
      <c r="CC25" s="548"/>
      <c r="CD25" s="548"/>
      <c r="CE25" s="548"/>
      <c r="CF25" s="548"/>
      <c r="CG25" s="548"/>
      <c r="CH25" s="548"/>
      <c r="CI25" s="548"/>
      <c r="CJ25" s="548"/>
      <c r="CK25" s="548"/>
      <c r="CL25" s="548"/>
      <c r="CM25" s="548"/>
      <c r="CN25" s="548"/>
      <c r="CO25" s="548"/>
      <c r="CP25" s="548"/>
      <c r="CQ25" s="548"/>
      <c r="CR25" s="548"/>
      <c r="CS25" s="548"/>
      <c r="CT25" s="548"/>
      <c r="CU25" s="548"/>
      <c r="CV25" s="548"/>
      <c r="CW25" s="548"/>
      <c r="CX25" s="548"/>
      <c r="CY25" s="548"/>
      <c r="CZ25" s="548"/>
      <c r="DA25" s="548"/>
      <c r="DB25" s="548"/>
      <c r="DC25" s="548"/>
      <c r="DD25" s="548"/>
      <c r="DE25" s="548"/>
      <c r="DF25" s="548"/>
      <c r="DG25" s="548"/>
      <c r="DH25" s="548"/>
      <c r="DI25" s="548"/>
      <c r="DJ25" s="548"/>
      <c r="DK25" s="548"/>
      <c r="DL25" s="548"/>
      <c r="DM25" s="548"/>
      <c r="DN25" s="548"/>
      <c r="DO25" s="548"/>
      <c r="DP25" s="548"/>
      <c r="DQ25" s="548"/>
      <c r="DR25" s="548"/>
      <c r="DS25" s="548"/>
      <c r="DT25" s="548"/>
      <c r="DU25" s="548"/>
      <c r="DV25" s="548"/>
      <c r="DW25" s="548"/>
      <c r="DX25" s="548"/>
      <c r="DY25" s="548"/>
      <c r="DZ25" s="548"/>
      <c r="EA25" s="548"/>
      <c r="EB25" s="548"/>
      <c r="EC25" s="548"/>
      <c r="ED25" s="548"/>
      <c r="EE25" s="548"/>
      <c r="EF25" s="548"/>
      <c r="EG25" s="548"/>
      <c r="EH25" s="548"/>
      <c r="EI25" s="548"/>
      <c r="EJ25" s="548"/>
      <c r="EK25" s="548"/>
      <c r="EL25" s="548"/>
      <c r="EM25" s="548"/>
      <c r="EN25" s="548"/>
      <c r="EO25" s="548"/>
      <c r="EP25" s="548"/>
      <c r="EQ25" s="548"/>
      <c r="ER25" s="548"/>
      <c r="ES25" s="548"/>
      <c r="ET25" s="548"/>
      <c r="EU25" s="548"/>
      <c r="EV25" s="548"/>
      <c r="EW25" s="548"/>
      <c r="EX25" s="548"/>
      <c r="EY25" s="548"/>
      <c r="EZ25" s="548"/>
      <c r="FA25" s="548"/>
      <c r="FB25" s="548"/>
      <c r="FC25" s="548"/>
      <c r="FD25" s="548"/>
      <c r="FE25" s="548"/>
      <c r="FF25" s="548"/>
      <c r="FG25" s="548"/>
      <c r="FH25" s="548"/>
      <c r="FI25" s="548"/>
      <c r="FJ25" s="548"/>
      <c r="FK25" s="548"/>
      <c r="FL25" s="548"/>
      <c r="FM25" s="548"/>
      <c r="FN25" s="548"/>
      <c r="FO25" s="548"/>
      <c r="FP25" s="548"/>
      <c r="FQ25" s="548"/>
      <c r="FR25" s="548"/>
      <c r="FS25" s="548"/>
      <c r="FT25" s="548"/>
      <c r="FU25" s="548"/>
      <c r="FV25" s="548"/>
      <c r="FW25" s="548"/>
      <c r="FX25" s="548"/>
      <c r="FY25" s="548"/>
      <c r="FZ25" s="548"/>
      <c r="GA25" s="548"/>
      <c r="GB25" s="548"/>
      <c r="GC25" s="548"/>
      <c r="GD25" s="548"/>
      <c r="GE25" s="548"/>
      <c r="GF25" s="548"/>
      <c r="GG25" s="548"/>
      <c r="GH25" s="548"/>
      <c r="GI25" s="548"/>
      <c r="GJ25" s="548"/>
      <c r="GK25" s="548"/>
      <c r="GL25" s="548"/>
      <c r="GM25" s="548"/>
      <c r="GN25" s="548"/>
      <c r="GO25" s="548"/>
      <c r="GP25" s="548"/>
      <c r="GQ25" s="548"/>
      <c r="GR25" s="548"/>
      <c r="GS25" s="548"/>
      <c r="GT25" s="548"/>
      <c r="GU25" s="548"/>
      <c r="GV25" s="548"/>
      <c r="GW25" s="548"/>
      <c r="GX25" s="548"/>
      <c r="GY25" s="548"/>
      <c r="GZ25" s="548"/>
      <c r="HA25" s="548"/>
      <c r="HB25" s="548"/>
      <c r="HC25" s="548"/>
      <c r="HD25" s="548"/>
      <c r="HE25" s="548"/>
      <c r="HF25" s="548"/>
      <c r="HG25" s="548"/>
      <c r="HH25" s="548"/>
      <c r="HI25" s="548"/>
      <c r="HJ25" s="548"/>
      <c r="HK25" s="548"/>
      <c r="HL25" s="548"/>
      <c r="HM25" s="548"/>
      <c r="HN25" s="548"/>
      <c r="HO25" s="548"/>
      <c r="HP25" s="548"/>
      <c r="HQ25" s="548"/>
      <c r="HR25" s="548"/>
      <c r="HS25" s="548"/>
      <c r="HT25" s="548"/>
      <c r="HU25" s="548"/>
      <c r="HV25" s="548"/>
      <c r="HW25" s="548"/>
      <c r="HX25" s="548"/>
      <c r="HY25" s="548"/>
      <c r="HZ25" s="548"/>
      <c r="IA25" s="548"/>
      <c r="IB25" s="548"/>
      <c r="IC25" s="548"/>
      <c r="ID25" s="548"/>
      <c r="IE25" s="548"/>
      <c r="IF25" s="548"/>
      <c r="IG25" s="548"/>
      <c r="IH25" s="548"/>
      <c r="II25" s="548"/>
      <c r="IJ25" s="548"/>
      <c r="IK25" s="548"/>
      <c r="IL25" s="548"/>
      <c r="IM25" s="548"/>
      <c r="IN25" s="548"/>
      <c r="IO25" s="548"/>
      <c r="IP25" s="548"/>
      <c r="IQ25" s="548"/>
      <c r="IR25" s="548"/>
      <c r="IS25" s="548"/>
      <c r="IT25" s="548"/>
      <c r="IU25" s="548"/>
      <c r="IV25" s="548"/>
      <c r="IW25" s="548"/>
    </row>
    <row r="26" customFormat="false" ht="12.75" hidden="false" customHeight="false" outlineLevel="0" collapsed="false">
      <c r="A26" s="548"/>
      <c r="B26" s="548"/>
      <c r="C26" s="548"/>
      <c r="D26" s="548"/>
      <c r="E26" s="42" t="n">
        <v>70</v>
      </c>
      <c r="F26" s="46" t="n">
        <f aca="false">7459</f>
        <v>7459</v>
      </c>
      <c r="G26" s="46" t="n">
        <f aca="false">$C$21*$C$23*($C$20*(1+$C$19))</f>
        <v>0</v>
      </c>
      <c r="H26" s="46" t="n">
        <f aca="false">G26+F26</f>
        <v>7459</v>
      </c>
      <c r="I26" s="1053" t="n">
        <f aca="false">G26/H26</f>
        <v>0</v>
      </c>
      <c r="J26" s="1054" t="n">
        <f aca="false">1-I26</f>
        <v>1</v>
      </c>
      <c r="K26" s="1"/>
      <c r="L26" s="1"/>
      <c r="M26" s="1"/>
      <c r="N26" s="1"/>
      <c r="O26" s="1"/>
      <c r="P26" s="1"/>
      <c r="Q26" s="1"/>
      <c r="R26" s="1"/>
      <c r="S26" s="1"/>
      <c r="T26" s="1"/>
      <c r="U26" s="1"/>
      <c r="V26" s="1"/>
      <c r="W26" s="1"/>
      <c r="X26" s="1"/>
      <c r="Y26" s="1"/>
      <c r="Z26" s="1"/>
      <c r="AA26" s="1"/>
      <c r="AB26" s="1"/>
      <c r="AC26" s="1"/>
      <c r="AD26" s="1"/>
      <c r="AE26" s="1"/>
      <c r="AF26" s="548"/>
      <c r="AG26" s="548"/>
      <c r="AH26" s="548"/>
      <c r="AI26" s="548"/>
      <c r="AJ26" s="548"/>
      <c r="AK26" s="548"/>
      <c r="AL26" s="548"/>
      <c r="AM26" s="548"/>
      <c r="AN26" s="548"/>
      <c r="AO26" s="548"/>
      <c r="AP26" s="548"/>
      <c r="AQ26" s="548"/>
      <c r="AR26" s="548"/>
      <c r="AS26" s="548"/>
      <c r="AT26" s="548"/>
      <c r="AU26" s="548"/>
      <c r="AV26" s="548"/>
      <c r="AW26" s="548"/>
      <c r="AX26" s="548"/>
      <c r="AY26" s="548"/>
      <c r="AZ26" s="548"/>
      <c r="BA26" s="548"/>
      <c r="BB26" s="548"/>
      <c r="BC26" s="548"/>
      <c r="BD26" s="548"/>
      <c r="BE26" s="548"/>
      <c r="BF26" s="548"/>
      <c r="BG26" s="548"/>
      <c r="BH26" s="548"/>
      <c r="BI26" s="548"/>
      <c r="BJ26" s="548"/>
      <c r="BK26" s="548"/>
      <c r="BL26" s="548"/>
      <c r="BM26" s="548"/>
      <c r="BN26" s="548"/>
      <c r="BO26" s="548"/>
      <c r="BP26" s="548"/>
      <c r="BQ26" s="548"/>
      <c r="BR26" s="548"/>
      <c r="BS26" s="548"/>
      <c r="BT26" s="548"/>
      <c r="BU26" s="548"/>
      <c r="BV26" s="548"/>
      <c r="BW26" s="548"/>
      <c r="BX26" s="548"/>
      <c r="BY26" s="548"/>
      <c r="BZ26" s="548"/>
      <c r="CA26" s="548"/>
      <c r="CB26" s="548"/>
      <c r="CC26" s="548"/>
      <c r="CD26" s="548"/>
      <c r="CE26" s="548"/>
      <c r="CF26" s="548"/>
      <c r="CG26" s="548"/>
      <c r="CH26" s="548"/>
      <c r="CI26" s="548"/>
      <c r="CJ26" s="548"/>
      <c r="CK26" s="548"/>
      <c r="CL26" s="548"/>
      <c r="CM26" s="548"/>
      <c r="CN26" s="548"/>
      <c r="CO26" s="548"/>
      <c r="CP26" s="548"/>
      <c r="CQ26" s="548"/>
      <c r="CR26" s="548"/>
      <c r="CS26" s="548"/>
      <c r="CT26" s="548"/>
      <c r="CU26" s="548"/>
      <c r="CV26" s="548"/>
      <c r="CW26" s="548"/>
      <c r="CX26" s="548"/>
      <c r="CY26" s="548"/>
      <c r="CZ26" s="548"/>
      <c r="DA26" s="548"/>
      <c r="DB26" s="548"/>
      <c r="DC26" s="548"/>
      <c r="DD26" s="548"/>
      <c r="DE26" s="548"/>
      <c r="DF26" s="548"/>
      <c r="DG26" s="548"/>
      <c r="DH26" s="548"/>
      <c r="DI26" s="548"/>
      <c r="DJ26" s="548"/>
      <c r="DK26" s="548"/>
      <c r="DL26" s="548"/>
      <c r="DM26" s="548"/>
      <c r="DN26" s="548"/>
      <c r="DO26" s="548"/>
      <c r="DP26" s="548"/>
      <c r="DQ26" s="548"/>
      <c r="DR26" s="548"/>
      <c r="DS26" s="548"/>
      <c r="DT26" s="548"/>
      <c r="DU26" s="548"/>
      <c r="DV26" s="548"/>
      <c r="DW26" s="548"/>
      <c r="DX26" s="548"/>
      <c r="DY26" s="548"/>
      <c r="DZ26" s="548"/>
      <c r="EA26" s="548"/>
      <c r="EB26" s="548"/>
      <c r="EC26" s="548"/>
      <c r="ED26" s="548"/>
      <c r="EE26" s="548"/>
      <c r="EF26" s="548"/>
      <c r="EG26" s="548"/>
      <c r="EH26" s="548"/>
      <c r="EI26" s="548"/>
      <c r="EJ26" s="548"/>
      <c r="EK26" s="548"/>
      <c r="EL26" s="548"/>
      <c r="EM26" s="548"/>
      <c r="EN26" s="548"/>
      <c r="EO26" s="548"/>
      <c r="EP26" s="548"/>
      <c r="EQ26" s="548"/>
      <c r="ER26" s="548"/>
      <c r="ES26" s="548"/>
      <c r="ET26" s="548"/>
      <c r="EU26" s="548"/>
      <c r="EV26" s="548"/>
      <c r="EW26" s="548"/>
      <c r="EX26" s="548"/>
      <c r="EY26" s="548"/>
      <c r="EZ26" s="548"/>
      <c r="FA26" s="548"/>
      <c r="FB26" s="548"/>
      <c r="FC26" s="548"/>
      <c r="FD26" s="548"/>
      <c r="FE26" s="548"/>
      <c r="FF26" s="548"/>
      <c r="FG26" s="548"/>
      <c r="FH26" s="548"/>
      <c r="FI26" s="548"/>
      <c r="FJ26" s="548"/>
      <c r="FK26" s="548"/>
      <c r="FL26" s="548"/>
      <c r="FM26" s="548"/>
      <c r="FN26" s="548"/>
      <c r="FO26" s="548"/>
      <c r="FP26" s="548"/>
      <c r="FQ26" s="548"/>
      <c r="FR26" s="548"/>
      <c r="FS26" s="548"/>
      <c r="FT26" s="548"/>
      <c r="FU26" s="548"/>
      <c r="FV26" s="548"/>
      <c r="FW26" s="548"/>
      <c r="FX26" s="548"/>
      <c r="FY26" s="548"/>
      <c r="FZ26" s="548"/>
      <c r="GA26" s="548"/>
      <c r="GB26" s="548"/>
      <c r="GC26" s="548"/>
      <c r="GD26" s="548"/>
      <c r="GE26" s="548"/>
      <c r="GF26" s="548"/>
      <c r="GG26" s="548"/>
      <c r="GH26" s="548"/>
      <c r="GI26" s="548"/>
      <c r="GJ26" s="548"/>
      <c r="GK26" s="548"/>
      <c r="GL26" s="548"/>
      <c r="GM26" s="548"/>
      <c r="GN26" s="548"/>
      <c r="GO26" s="548"/>
      <c r="GP26" s="548"/>
      <c r="GQ26" s="548"/>
      <c r="GR26" s="548"/>
      <c r="GS26" s="548"/>
      <c r="GT26" s="548"/>
      <c r="GU26" s="548"/>
      <c r="GV26" s="548"/>
      <c r="GW26" s="548"/>
      <c r="GX26" s="548"/>
      <c r="GY26" s="548"/>
      <c r="GZ26" s="548"/>
      <c r="HA26" s="548"/>
      <c r="HB26" s="548"/>
      <c r="HC26" s="548"/>
      <c r="HD26" s="548"/>
      <c r="HE26" s="548"/>
      <c r="HF26" s="548"/>
      <c r="HG26" s="548"/>
      <c r="HH26" s="548"/>
      <c r="HI26" s="548"/>
      <c r="HJ26" s="548"/>
      <c r="HK26" s="548"/>
      <c r="HL26" s="548"/>
      <c r="HM26" s="548"/>
      <c r="HN26" s="548"/>
      <c r="HO26" s="548"/>
      <c r="HP26" s="548"/>
      <c r="HQ26" s="548"/>
      <c r="HR26" s="548"/>
      <c r="HS26" s="548"/>
      <c r="HT26" s="548"/>
      <c r="HU26" s="548"/>
      <c r="HV26" s="548"/>
      <c r="HW26" s="548"/>
      <c r="HX26" s="548"/>
      <c r="HY26" s="548"/>
      <c r="HZ26" s="548"/>
      <c r="IA26" s="548"/>
      <c r="IB26" s="548"/>
      <c r="IC26" s="548"/>
      <c r="ID26" s="548"/>
      <c r="IE26" s="548"/>
      <c r="IF26" s="548"/>
      <c r="IG26" s="548"/>
      <c r="IH26" s="548"/>
      <c r="II26" s="548"/>
      <c r="IJ26" s="548"/>
      <c r="IK26" s="548"/>
      <c r="IL26" s="548"/>
      <c r="IM26" s="548"/>
      <c r="IN26" s="548"/>
      <c r="IO26" s="548"/>
      <c r="IP26" s="548"/>
      <c r="IQ26" s="548"/>
      <c r="IR26" s="548"/>
      <c r="IS26" s="548"/>
      <c r="IT26" s="548"/>
      <c r="IU26" s="548"/>
      <c r="IV26" s="548"/>
      <c r="IW26" s="548"/>
    </row>
    <row r="27" customFormat="false" ht="12.75" hidden="false" customHeight="false" outlineLevel="0" collapsed="false">
      <c r="A27" s="548"/>
      <c r="B27" s="548"/>
      <c r="C27" s="548"/>
      <c r="D27" s="548"/>
      <c r="E27" s="42" t="n">
        <v>80</v>
      </c>
      <c r="F27" s="46" t="n">
        <f aca="false">7459</f>
        <v>7459</v>
      </c>
      <c r="G27" s="46" t="n">
        <f aca="false">$C$21*$C$23*($C$20*(1+$C$19))</f>
        <v>0</v>
      </c>
      <c r="H27" s="46" t="n">
        <f aca="false">G27+F27</f>
        <v>7459</v>
      </c>
      <c r="I27" s="1053" t="n">
        <f aca="false">G27/H27</f>
        <v>0</v>
      </c>
      <c r="J27" s="1054" t="n">
        <f aca="false">1-I27</f>
        <v>1</v>
      </c>
      <c r="K27" s="1"/>
      <c r="L27" s="1"/>
      <c r="M27" s="1"/>
      <c r="N27" s="1"/>
      <c r="O27" s="1"/>
      <c r="P27" s="1"/>
      <c r="Q27" s="1"/>
      <c r="R27" s="1"/>
      <c r="S27" s="1"/>
      <c r="T27" s="1"/>
      <c r="U27" s="1"/>
      <c r="V27" s="1"/>
      <c r="W27" s="1"/>
      <c r="X27" s="1"/>
      <c r="Y27" s="1"/>
      <c r="Z27" s="1"/>
      <c r="AA27" s="1"/>
      <c r="AB27" s="1"/>
      <c r="AC27" s="1"/>
      <c r="AD27" s="1"/>
      <c r="AE27" s="1"/>
      <c r="AF27" s="548"/>
      <c r="AG27" s="548"/>
      <c r="AH27" s="548"/>
      <c r="AI27" s="548"/>
      <c r="AJ27" s="548"/>
      <c r="AK27" s="548"/>
      <c r="AL27" s="548"/>
      <c r="AM27" s="548"/>
      <c r="AN27" s="548"/>
      <c r="AO27" s="548"/>
      <c r="AP27" s="548"/>
      <c r="AQ27" s="548"/>
      <c r="AR27" s="548"/>
      <c r="AS27" s="548"/>
      <c r="AT27" s="548"/>
      <c r="AU27" s="548"/>
      <c r="AV27" s="548"/>
      <c r="AW27" s="548"/>
      <c r="AX27" s="548"/>
      <c r="AY27" s="548"/>
      <c r="AZ27" s="548"/>
      <c r="BA27" s="548"/>
      <c r="BB27" s="548"/>
      <c r="BC27" s="548"/>
      <c r="BD27" s="548"/>
      <c r="BE27" s="548"/>
      <c r="BF27" s="548"/>
      <c r="BG27" s="548"/>
      <c r="BH27" s="548"/>
      <c r="BI27" s="548"/>
      <c r="BJ27" s="548"/>
      <c r="BK27" s="548"/>
      <c r="BL27" s="548"/>
      <c r="BM27" s="548"/>
      <c r="BN27" s="548"/>
      <c r="BO27" s="548"/>
      <c r="BP27" s="548"/>
      <c r="BQ27" s="548"/>
      <c r="BR27" s="548"/>
      <c r="BS27" s="548"/>
      <c r="BT27" s="548"/>
      <c r="BU27" s="548"/>
      <c r="BV27" s="548"/>
      <c r="BW27" s="548"/>
      <c r="BX27" s="548"/>
      <c r="BY27" s="548"/>
      <c r="BZ27" s="548"/>
      <c r="CA27" s="548"/>
      <c r="CB27" s="548"/>
      <c r="CC27" s="548"/>
      <c r="CD27" s="548"/>
      <c r="CE27" s="548"/>
      <c r="CF27" s="548"/>
      <c r="CG27" s="548"/>
      <c r="CH27" s="548"/>
      <c r="CI27" s="548"/>
      <c r="CJ27" s="548"/>
      <c r="CK27" s="548"/>
      <c r="CL27" s="548"/>
      <c r="CM27" s="548"/>
      <c r="CN27" s="548"/>
      <c r="CO27" s="548"/>
      <c r="CP27" s="548"/>
      <c r="CQ27" s="548"/>
      <c r="CR27" s="548"/>
      <c r="CS27" s="548"/>
      <c r="CT27" s="548"/>
      <c r="CU27" s="548"/>
      <c r="CV27" s="548"/>
      <c r="CW27" s="548"/>
      <c r="CX27" s="548"/>
      <c r="CY27" s="548"/>
      <c r="CZ27" s="548"/>
      <c r="DA27" s="548"/>
      <c r="DB27" s="548"/>
      <c r="DC27" s="548"/>
      <c r="DD27" s="548"/>
      <c r="DE27" s="548"/>
      <c r="DF27" s="548"/>
      <c r="DG27" s="548"/>
      <c r="DH27" s="548"/>
      <c r="DI27" s="548"/>
      <c r="DJ27" s="548"/>
      <c r="DK27" s="548"/>
      <c r="DL27" s="548"/>
      <c r="DM27" s="548"/>
      <c r="DN27" s="548"/>
      <c r="DO27" s="548"/>
      <c r="DP27" s="548"/>
      <c r="DQ27" s="548"/>
      <c r="DR27" s="548"/>
      <c r="DS27" s="548"/>
      <c r="DT27" s="548"/>
      <c r="DU27" s="548"/>
      <c r="DV27" s="548"/>
      <c r="DW27" s="548"/>
      <c r="DX27" s="548"/>
      <c r="DY27" s="548"/>
      <c r="DZ27" s="548"/>
      <c r="EA27" s="548"/>
      <c r="EB27" s="548"/>
      <c r="EC27" s="548"/>
      <c r="ED27" s="548"/>
      <c r="EE27" s="548"/>
      <c r="EF27" s="548"/>
      <c r="EG27" s="548"/>
      <c r="EH27" s="548"/>
      <c r="EI27" s="548"/>
      <c r="EJ27" s="548"/>
      <c r="EK27" s="548"/>
      <c r="EL27" s="548"/>
      <c r="EM27" s="548"/>
      <c r="EN27" s="548"/>
      <c r="EO27" s="548"/>
      <c r="EP27" s="548"/>
      <c r="EQ27" s="548"/>
      <c r="ER27" s="548"/>
      <c r="ES27" s="548"/>
      <c r="ET27" s="548"/>
      <c r="EU27" s="548"/>
      <c r="EV27" s="548"/>
      <c r="EW27" s="548"/>
      <c r="EX27" s="548"/>
      <c r="EY27" s="548"/>
      <c r="EZ27" s="548"/>
      <c r="FA27" s="548"/>
      <c r="FB27" s="548"/>
      <c r="FC27" s="548"/>
      <c r="FD27" s="548"/>
      <c r="FE27" s="548"/>
      <c r="FF27" s="548"/>
      <c r="FG27" s="548"/>
      <c r="FH27" s="548"/>
      <c r="FI27" s="548"/>
      <c r="FJ27" s="548"/>
      <c r="FK27" s="548"/>
      <c r="FL27" s="548"/>
      <c r="FM27" s="548"/>
      <c r="FN27" s="548"/>
      <c r="FO27" s="548"/>
      <c r="FP27" s="548"/>
      <c r="FQ27" s="548"/>
      <c r="FR27" s="548"/>
      <c r="FS27" s="548"/>
      <c r="FT27" s="548"/>
      <c r="FU27" s="548"/>
      <c r="FV27" s="548"/>
      <c r="FW27" s="548"/>
      <c r="FX27" s="548"/>
      <c r="FY27" s="548"/>
      <c r="FZ27" s="548"/>
      <c r="GA27" s="548"/>
      <c r="GB27" s="548"/>
      <c r="GC27" s="548"/>
      <c r="GD27" s="548"/>
      <c r="GE27" s="548"/>
      <c r="GF27" s="548"/>
      <c r="GG27" s="548"/>
      <c r="GH27" s="548"/>
      <c r="GI27" s="548"/>
      <c r="GJ27" s="548"/>
      <c r="GK27" s="548"/>
      <c r="GL27" s="548"/>
      <c r="GM27" s="548"/>
      <c r="GN27" s="548"/>
      <c r="GO27" s="548"/>
      <c r="GP27" s="548"/>
      <c r="GQ27" s="548"/>
      <c r="GR27" s="548"/>
      <c r="GS27" s="548"/>
      <c r="GT27" s="548"/>
      <c r="GU27" s="548"/>
      <c r="GV27" s="548"/>
      <c r="GW27" s="548"/>
      <c r="GX27" s="548"/>
      <c r="GY27" s="548"/>
      <c r="GZ27" s="548"/>
      <c r="HA27" s="548"/>
      <c r="HB27" s="548"/>
      <c r="HC27" s="548"/>
      <c r="HD27" s="548"/>
      <c r="HE27" s="548"/>
      <c r="HF27" s="548"/>
      <c r="HG27" s="548"/>
      <c r="HH27" s="548"/>
      <c r="HI27" s="548"/>
      <c r="HJ27" s="548"/>
      <c r="HK27" s="548"/>
      <c r="HL27" s="548"/>
      <c r="HM27" s="548"/>
      <c r="HN27" s="548"/>
      <c r="HO27" s="548"/>
      <c r="HP27" s="548"/>
      <c r="HQ27" s="548"/>
      <c r="HR27" s="548"/>
      <c r="HS27" s="548"/>
      <c r="HT27" s="548"/>
      <c r="HU27" s="548"/>
      <c r="HV27" s="548"/>
      <c r="HW27" s="548"/>
      <c r="HX27" s="548"/>
      <c r="HY27" s="548"/>
      <c r="HZ27" s="548"/>
      <c r="IA27" s="548"/>
      <c r="IB27" s="548"/>
      <c r="IC27" s="548"/>
      <c r="ID27" s="548"/>
      <c r="IE27" s="548"/>
      <c r="IF27" s="548"/>
      <c r="IG27" s="548"/>
      <c r="IH27" s="548"/>
      <c r="II27" s="548"/>
      <c r="IJ27" s="548"/>
      <c r="IK27" s="548"/>
      <c r="IL27" s="548"/>
      <c r="IM27" s="548"/>
      <c r="IN27" s="548"/>
      <c r="IO27" s="548"/>
      <c r="IP27" s="548"/>
      <c r="IQ27" s="548"/>
      <c r="IR27" s="548"/>
      <c r="IS27" s="548"/>
      <c r="IT27" s="548"/>
      <c r="IU27" s="548"/>
      <c r="IV27" s="548"/>
      <c r="IW27" s="548"/>
    </row>
    <row r="28" customFormat="false" ht="12.75" hidden="false" customHeight="false" outlineLevel="0" collapsed="false">
      <c r="A28" s="548"/>
      <c r="B28" s="548"/>
      <c r="C28" s="548"/>
      <c r="D28" s="548"/>
      <c r="E28" s="42" t="n">
        <v>90</v>
      </c>
      <c r="F28" s="46" t="n">
        <f aca="false">7459</f>
        <v>7459</v>
      </c>
      <c r="G28" s="46" t="n">
        <f aca="false">$C$21*$C$23*($C$20*(1+$C$19))</f>
        <v>0</v>
      </c>
      <c r="H28" s="46" t="n">
        <f aca="false">G28+F28</f>
        <v>7459</v>
      </c>
      <c r="I28" s="1053" t="n">
        <f aca="false">G28/H28</f>
        <v>0</v>
      </c>
      <c r="J28" s="1054" t="n">
        <f aca="false">1-I28</f>
        <v>1</v>
      </c>
      <c r="K28" s="1"/>
      <c r="L28" s="1"/>
      <c r="M28" s="1"/>
      <c r="N28" s="1"/>
      <c r="O28" s="1"/>
      <c r="P28" s="1"/>
      <c r="Q28" s="1"/>
      <c r="R28" s="1"/>
      <c r="S28" s="1"/>
      <c r="T28" s="1"/>
      <c r="U28" s="1"/>
      <c r="V28" s="1"/>
      <c r="W28" s="1"/>
      <c r="X28" s="1"/>
      <c r="Y28" s="1"/>
      <c r="Z28" s="1"/>
      <c r="AA28" s="1"/>
      <c r="AB28" s="1"/>
      <c r="AC28" s="1"/>
      <c r="AD28" s="1"/>
      <c r="AE28" s="1"/>
      <c r="AF28" s="548"/>
      <c r="AG28" s="548"/>
      <c r="AH28" s="548"/>
      <c r="AI28" s="548"/>
      <c r="AJ28" s="548"/>
      <c r="AK28" s="548"/>
      <c r="AL28" s="548"/>
      <c r="AM28" s="548"/>
      <c r="AN28" s="548"/>
      <c r="AO28" s="548"/>
      <c r="AP28" s="548"/>
      <c r="AQ28" s="548"/>
      <c r="AR28" s="548"/>
      <c r="AS28" s="548"/>
      <c r="AT28" s="548"/>
      <c r="AU28" s="548"/>
      <c r="AV28" s="548"/>
      <c r="AW28" s="548"/>
      <c r="AX28" s="548"/>
      <c r="AY28" s="548"/>
      <c r="AZ28" s="548"/>
      <c r="BA28" s="548"/>
      <c r="BB28" s="548"/>
      <c r="BC28" s="548"/>
      <c r="BD28" s="548"/>
      <c r="BE28" s="548"/>
      <c r="BF28" s="548"/>
      <c r="BG28" s="548"/>
      <c r="BH28" s="548"/>
      <c r="BI28" s="548"/>
      <c r="BJ28" s="548"/>
      <c r="BK28" s="548"/>
      <c r="BL28" s="548"/>
      <c r="BM28" s="548"/>
      <c r="BN28" s="548"/>
      <c r="BO28" s="548"/>
      <c r="BP28" s="548"/>
      <c r="BQ28" s="548"/>
      <c r="BR28" s="548"/>
      <c r="BS28" s="548"/>
      <c r="BT28" s="548"/>
      <c r="BU28" s="548"/>
      <c r="BV28" s="548"/>
      <c r="BW28" s="548"/>
      <c r="BX28" s="548"/>
      <c r="BY28" s="548"/>
      <c r="BZ28" s="548"/>
      <c r="CA28" s="548"/>
      <c r="CB28" s="548"/>
      <c r="CC28" s="548"/>
      <c r="CD28" s="548"/>
      <c r="CE28" s="548"/>
      <c r="CF28" s="548"/>
      <c r="CG28" s="548"/>
      <c r="CH28" s="548"/>
      <c r="CI28" s="548"/>
      <c r="CJ28" s="548"/>
      <c r="CK28" s="548"/>
      <c r="CL28" s="548"/>
      <c r="CM28" s="548"/>
      <c r="CN28" s="548"/>
      <c r="CO28" s="548"/>
      <c r="CP28" s="548"/>
      <c r="CQ28" s="548"/>
      <c r="CR28" s="548"/>
      <c r="CS28" s="548"/>
      <c r="CT28" s="548"/>
      <c r="CU28" s="548"/>
      <c r="CV28" s="548"/>
      <c r="CW28" s="548"/>
      <c r="CX28" s="548"/>
      <c r="CY28" s="548"/>
      <c r="CZ28" s="548"/>
      <c r="DA28" s="548"/>
      <c r="DB28" s="548"/>
      <c r="DC28" s="548"/>
      <c r="DD28" s="548"/>
      <c r="DE28" s="548"/>
      <c r="DF28" s="548"/>
      <c r="DG28" s="548"/>
      <c r="DH28" s="548"/>
      <c r="DI28" s="548"/>
      <c r="DJ28" s="548"/>
      <c r="DK28" s="548"/>
      <c r="DL28" s="548"/>
      <c r="DM28" s="548"/>
      <c r="DN28" s="548"/>
      <c r="DO28" s="548"/>
      <c r="DP28" s="548"/>
      <c r="DQ28" s="548"/>
      <c r="DR28" s="548"/>
      <c r="DS28" s="548"/>
      <c r="DT28" s="548"/>
      <c r="DU28" s="548"/>
      <c r="DV28" s="548"/>
      <c r="DW28" s="548"/>
      <c r="DX28" s="548"/>
      <c r="DY28" s="548"/>
      <c r="DZ28" s="548"/>
      <c r="EA28" s="548"/>
      <c r="EB28" s="548"/>
      <c r="EC28" s="548"/>
      <c r="ED28" s="548"/>
      <c r="EE28" s="548"/>
      <c r="EF28" s="548"/>
      <c r="EG28" s="548"/>
      <c r="EH28" s="548"/>
      <c r="EI28" s="548"/>
      <c r="EJ28" s="548"/>
      <c r="EK28" s="548"/>
      <c r="EL28" s="548"/>
      <c r="EM28" s="548"/>
      <c r="EN28" s="548"/>
      <c r="EO28" s="548"/>
      <c r="EP28" s="548"/>
      <c r="EQ28" s="548"/>
      <c r="ER28" s="548"/>
      <c r="ES28" s="548"/>
      <c r="ET28" s="548"/>
      <c r="EU28" s="548"/>
      <c r="EV28" s="548"/>
      <c r="EW28" s="548"/>
      <c r="EX28" s="548"/>
      <c r="EY28" s="548"/>
      <c r="EZ28" s="548"/>
      <c r="FA28" s="548"/>
      <c r="FB28" s="548"/>
      <c r="FC28" s="548"/>
      <c r="FD28" s="548"/>
      <c r="FE28" s="548"/>
      <c r="FF28" s="548"/>
      <c r="FG28" s="548"/>
      <c r="FH28" s="548"/>
      <c r="FI28" s="548"/>
      <c r="FJ28" s="548"/>
      <c r="FK28" s="548"/>
      <c r="FL28" s="548"/>
      <c r="FM28" s="548"/>
      <c r="FN28" s="548"/>
      <c r="FO28" s="548"/>
      <c r="FP28" s="548"/>
      <c r="FQ28" s="548"/>
      <c r="FR28" s="548"/>
      <c r="FS28" s="548"/>
      <c r="FT28" s="548"/>
      <c r="FU28" s="548"/>
      <c r="FV28" s="548"/>
      <c r="FW28" s="548"/>
      <c r="FX28" s="548"/>
      <c r="FY28" s="548"/>
      <c r="FZ28" s="548"/>
      <c r="GA28" s="548"/>
      <c r="GB28" s="548"/>
      <c r="GC28" s="548"/>
      <c r="GD28" s="548"/>
      <c r="GE28" s="548"/>
      <c r="GF28" s="548"/>
      <c r="GG28" s="548"/>
      <c r="GH28" s="548"/>
      <c r="GI28" s="548"/>
      <c r="GJ28" s="548"/>
      <c r="GK28" s="548"/>
      <c r="GL28" s="548"/>
      <c r="GM28" s="548"/>
      <c r="GN28" s="548"/>
      <c r="GO28" s="548"/>
      <c r="GP28" s="548"/>
      <c r="GQ28" s="548"/>
      <c r="GR28" s="548"/>
      <c r="GS28" s="548"/>
      <c r="GT28" s="548"/>
      <c r="GU28" s="548"/>
      <c r="GV28" s="548"/>
      <c r="GW28" s="548"/>
      <c r="GX28" s="548"/>
      <c r="GY28" s="548"/>
      <c r="GZ28" s="548"/>
      <c r="HA28" s="548"/>
      <c r="HB28" s="548"/>
      <c r="HC28" s="548"/>
      <c r="HD28" s="548"/>
      <c r="HE28" s="548"/>
      <c r="HF28" s="548"/>
      <c r="HG28" s="548"/>
      <c r="HH28" s="548"/>
      <c r="HI28" s="548"/>
      <c r="HJ28" s="548"/>
      <c r="HK28" s="548"/>
      <c r="HL28" s="548"/>
      <c r="HM28" s="548"/>
      <c r="HN28" s="548"/>
      <c r="HO28" s="548"/>
      <c r="HP28" s="548"/>
      <c r="HQ28" s="548"/>
      <c r="HR28" s="548"/>
      <c r="HS28" s="548"/>
      <c r="HT28" s="548"/>
      <c r="HU28" s="548"/>
      <c r="HV28" s="548"/>
      <c r="HW28" s="548"/>
      <c r="HX28" s="548"/>
      <c r="HY28" s="548"/>
      <c r="HZ28" s="548"/>
      <c r="IA28" s="548"/>
      <c r="IB28" s="548"/>
      <c r="IC28" s="548"/>
      <c r="ID28" s="548"/>
      <c r="IE28" s="548"/>
      <c r="IF28" s="548"/>
      <c r="IG28" s="548"/>
      <c r="IH28" s="548"/>
      <c r="II28" s="548"/>
      <c r="IJ28" s="548"/>
      <c r="IK28" s="548"/>
      <c r="IL28" s="548"/>
      <c r="IM28" s="548"/>
      <c r="IN28" s="548"/>
      <c r="IO28" s="548"/>
      <c r="IP28" s="548"/>
      <c r="IQ28" s="548"/>
      <c r="IR28" s="548"/>
      <c r="IS28" s="548"/>
      <c r="IT28" s="548"/>
      <c r="IU28" s="548"/>
      <c r="IV28" s="548"/>
      <c r="IW28" s="548"/>
    </row>
    <row r="29" customFormat="false" ht="12.75" hidden="false" customHeight="false" outlineLevel="0" collapsed="false">
      <c r="A29" s="548"/>
      <c r="B29" s="548"/>
      <c r="C29" s="548"/>
      <c r="D29" s="548"/>
      <c r="E29" s="42" t="n">
        <v>100</v>
      </c>
      <c r="F29" s="46" t="n">
        <f aca="false">7459</f>
        <v>7459</v>
      </c>
      <c r="G29" s="46" t="n">
        <f aca="false">$C$21*$C$23*($C$20*(1+$C$19))</f>
        <v>0</v>
      </c>
      <c r="H29" s="46" t="n">
        <f aca="false">G29+F29</f>
        <v>7459</v>
      </c>
      <c r="I29" s="1053" t="n">
        <f aca="false">G29/H29</f>
        <v>0</v>
      </c>
      <c r="J29" s="1054" t="n">
        <f aca="false">1-I29</f>
        <v>1</v>
      </c>
      <c r="K29" s="1"/>
      <c r="L29" s="1"/>
      <c r="M29" s="1"/>
      <c r="N29" s="1"/>
      <c r="O29" s="1"/>
      <c r="P29" s="1"/>
      <c r="Q29" s="1"/>
      <c r="R29" s="1"/>
      <c r="S29" s="1"/>
      <c r="T29" s="1"/>
      <c r="U29" s="1"/>
      <c r="V29" s="1"/>
      <c r="W29" s="1"/>
      <c r="X29" s="1"/>
      <c r="Y29" s="1"/>
      <c r="Z29" s="1"/>
      <c r="AA29" s="1"/>
      <c r="AB29" s="1"/>
      <c r="AC29" s="1"/>
      <c r="AD29" s="1"/>
      <c r="AE29" s="1"/>
      <c r="AF29" s="548"/>
      <c r="AG29" s="548"/>
      <c r="AH29" s="548"/>
      <c r="AI29" s="548"/>
      <c r="AJ29" s="548"/>
      <c r="AK29" s="548"/>
      <c r="AL29" s="548"/>
      <c r="AM29" s="548"/>
      <c r="AN29" s="548"/>
      <c r="AO29" s="548"/>
      <c r="AP29" s="548"/>
      <c r="AQ29" s="548"/>
      <c r="AR29" s="548"/>
      <c r="AS29" s="548"/>
      <c r="AT29" s="548"/>
      <c r="AU29" s="548"/>
      <c r="AV29" s="548"/>
      <c r="AW29" s="548"/>
      <c r="AX29" s="548"/>
      <c r="AY29" s="548"/>
      <c r="AZ29" s="548"/>
      <c r="BA29" s="548"/>
      <c r="BB29" s="548"/>
      <c r="BC29" s="548"/>
      <c r="BD29" s="548"/>
      <c r="BE29" s="548"/>
      <c r="BF29" s="548"/>
      <c r="BG29" s="548"/>
      <c r="BH29" s="548"/>
      <c r="BI29" s="548"/>
      <c r="BJ29" s="548"/>
      <c r="BK29" s="548"/>
      <c r="BL29" s="548"/>
      <c r="BM29" s="548"/>
      <c r="BN29" s="548"/>
      <c r="BO29" s="548"/>
      <c r="BP29" s="548"/>
      <c r="BQ29" s="548"/>
      <c r="BR29" s="548"/>
      <c r="BS29" s="548"/>
      <c r="BT29" s="548"/>
      <c r="BU29" s="548"/>
      <c r="BV29" s="548"/>
      <c r="BW29" s="548"/>
      <c r="BX29" s="548"/>
      <c r="BY29" s="548"/>
      <c r="BZ29" s="548"/>
      <c r="CA29" s="548"/>
      <c r="CB29" s="548"/>
      <c r="CC29" s="548"/>
      <c r="CD29" s="548"/>
      <c r="CE29" s="548"/>
      <c r="CF29" s="548"/>
      <c r="CG29" s="548"/>
      <c r="CH29" s="548"/>
      <c r="CI29" s="548"/>
      <c r="CJ29" s="548"/>
      <c r="CK29" s="548"/>
      <c r="CL29" s="548"/>
      <c r="CM29" s="548"/>
      <c r="CN29" s="548"/>
      <c r="CO29" s="548"/>
      <c r="CP29" s="548"/>
      <c r="CQ29" s="548"/>
      <c r="CR29" s="548"/>
      <c r="CS29" s="548"/>
      <c r="CT29" s="548"/>
      <c r="CU29" s="548"/>
      <c r="CV29" s="548"/>
      <c r="CW29" s="548"/>
      <c r="CX29" s="548"/>
      <c r="CY29" s="548"/>
      <c r="CZ29" s="548"/>
      <c r="DA29" s="548"/>
      <c r="DB29" s="548"/>
      <c r="DC29" s="548"/>
      <c r="DD29" s="548"/>
      <c r="DE29" s="548"/>
      <c r="DF29" s="548"/>
      <c r="DG29" s="548"/>
      <c r="DH29" s="548"/>
      <c r="DI29" s="548"/>
      <c r="DJ29" s="548"/>
      <c r="DK29" s="548"/>
      <c r="DL29" s="548"/>
      <c r="DM29" s="548"/>
      <c r="DN29" s="548"/>
      <c r="DO29" s="548"/>
      <c r="DP29" s="548"/>
      <c r="DQ29" s="548"/>
      <c r="DR29" s="548"/>
      <c r="DS29" s="548"/>
      <c r="DT29" s="548"/>
      <c r="DU29" s="548"/>
      <c r="DV29" s="548"/>
      <c r="DW29" s="548"/>
      <c r="DX29" s="548"/>
      <c r="DY29" s="548"/>
      <c r="DZ29" s="548"/>
      <c r="EA29" s="548"/>
      <c r="EB29" s="548"/>
      <c r="EC29" s="548"/>
      <c r="ED29" s="548"/>
      <c r="EE29" s="548"/>
      <c r="EF29" s="548"/>
      <c r="EG29" s="548"/>
      <c r="EH29" s="548"/>
      <c r="EI29" s="548"/>
      <c r="EJ29" s="548"/>
      <c r="EK29" s="548"/>
      <c r="EL29" s="548"/>
      <c r="EM29" s="548"/>
      <c r="EN29" s="548"/>
      <c r="EO29" s="548"/>
      <c r="EP29" s="548"/>
      <c r="EQ29" s="548"/>
      <c r="ER29" s="548"/>
      <c r="ES29" s="548"/>
      <c r="ET29" s="548"/>
      <c r="EU29" s="548"/>
      <c r="EV29" s="548"/>
      <c r="EW29" s="548"/>
      <c r="EX29" s="548"/>
      <c r="EY29" s="548"/>
      <c r="EZ29" s="548"/>
      <c r="FA29" s="548"/>
      <c r="FB29" s="548"/>
      <c r="FC29" s="548"/>
      <c r="FD29" s="548"/>
      <c r="FE29" s="548"/>
      <c r="FF29" s="548"/>
      <c r="FG29" s="548"/>
      <c r="FH29" s="548"/>
      <c r="FI29" s="548"/>
      <c r="FJ29" s="548"/>
      <c r="FK29" s="548"/>
      <c r="FL29" s="548"/>
      <c r="FM29" s="548"/>
      <c r="FN29" s="548"/>
      <c r="FO29" s="548"/>
      <c r="FP29" s="548"/>
      <c r="FQ29" s="548"/>
      <c r="FR29" s="548"/>
      <c r="FS29" s="548"/>
      <c r="FT29" s="548"/>
      <c r="FU29" s="548"/>
      <c r="FV29" s="548"/>
      <c r="FW29" s="548"/>
      <c r="FX29" s="548"/>
      <c r="FY29" s="548"/>
      <c r="FZ29" s="548"/>
      <c r="GA29" s="548"/>
      <c r="GB29" s="548"/>
      <c r="GC29" s="548"/>
      <c r="GD29" s="548"/>
      <c r="GE29" s="548"/>
      <c r="GF29" s="548"/>
      <c r="GG29" s="548"/>
      <c r="GH29" s="548"/>
      <c r="GI29" s="548"/>
      <c r="GJ29" s="548"/>
      <c r="GK29" s="548"/>
      <c r="GL29" s="548"/>
      <c r="GM29" s="548"/>
      <c r="GN29" s="548"/>
      <c r="GO29" s="548"/>
      <c r="GP29" s="548"/>
      <c r="GQ29" s="548"/>
      <c r="GR29" s="548"/>
      <c r="GS29" s="548"/>
      <c r="GT29" s="548"/>
      <c r="GU29" s="548"/>
      <c r="GV29" s="548"/>
      <c r="GW29" s="548"/>
      <c r="GX29" s="548"/>
      <c r="GY29" s="548"/>
      <c r="GZ29" s="548"/>
      <c r="HA29" s="548"/>
      <c r="HB29" s="548"/>
      <c r="HC29" s="548"/>
      <c r="HD29" s="548"/>
      <c r="HE29" s="548"/>
      <c r="HF29" s="548"/>
      <c r="HG29" s="548"/>
      <c r="HH29" s="548"/>
      <c r="HI29" s="548"/>
      <c r="HJ29" s="548"/>
      <c r="HK29" s="548"/>
      <c r="HL29" s="548"/>
      <c r="HM29" s="548"/>
      <c r="HN29" s="548"/>
      <c r="HO29" s="548"/>
      <c r="HP29" s="548"/>
      <c r="HQ29" s="548"/>
      <c r="HR29" s="548"/>
      <c r="HS29" s="548"/>
      <c r="HT29" s="548"/>
      <c r="HU29" s="548"/>
      <c r="HV29" s="548"/>
      <c r="HW29" s="548"/>
      <c r="HX29" s="548"/>
      <c r="HY29" s="548"/>
      <c r="HZ29" s="548"/>
      <c r="IA29" s="548"/>
      <c r="IB29" s="548"/>
      <c r="IC29" s="548"/>
      <c r="ID29" s="548"/>
      <c r="IE29" s="548"/>
      <c r="IF29" s="548"/>
      <c r="IG29" s="548"/>
      <c r="IH29" s="548"/>
      <c r="II29" s="548"/>
      <c r="IJ29" s="548"/>
      <c r="IK29" s="548"/>
      <c r="IL29" s="548"/>
      <c r="IM29" s="548"/>
      <c r="IN29" s="548"/>
      <c r="IO29" s="548"/>
      <c r="IP29" s="548"/>
      <c r="IQ29" s="548"/>
      <c r="IR29" s="548"/>
      <c r="IS29" s="548"/>
      <c r="IT29" s="548"/>
      <c r="IU29" s="548"/>
      <c r="IV29" s="548"/>
      <c r="IW29" s="548"/>
    </row>
    <row r="30" customFormat="false" ht="12.75" hidden="false" customHeight="false" outlineLevel="0" collapsed="false">
      <c r="A30" s="548"/>
      <c r="B30" s="548"/>
      <c r="C30" s="548"/>
      <c r="D30" s="548"/>
      <c r="E30" s="42" t="n">
        <v>110</v>
      </c>
      <c r="F30" s="46" t="n">
        <f aca="false">7459</f>
        <v>7459</v>
      </c>
      <c r="G30" s="46" t="n">
        <f aca="false">$C$21*$C$23*($C$20*(1+$C$19))</f>
        <v>0</v>
      </c>
      <c r="H30" s="46" t="n">
        <f aca="false">G30+F30</f>
        <v>7459</v>
      </c>
      <c r="I30" s="1053" t="n">
        <f aca="false">G30/H30</f>
        <v>0</v>
      </c>
      <c r="J30" s="1054" t="n">
        <f aca="false">1-I30</f>
        <v>1</v>
      </c>
      <c r="K30" s="1"/>
      <c r="L30" s="1"/>
      <c r="M30" s="1"/>
      <c r="N30" s="1"/>
      <c r="O30" s="1"/>
      <c r="P30" s="1"/>
      <c r="Q30" s="1"/>
      <c r="R30" s="1"/>
      <c r="S30" s="1"/>
      <c r="T30" s="1"/>
      <c r="U30" s="1"/>
      <c r="V30" s="1"/>
      <c r="W30" s="1"/>
      <c r="X30" s="1"/>
      <c r="Y30" s="1"/>
      <c r="Z30" s="1"/>
      <c r="AA30" s="1"/>
      <c r="AB30" s="1"/>
      <c r="AC30" s="1"/>
      <c r="AD30" s="1"/>
      <c r="AE30" s="1"/>
      <c r="AF30" s="548"/>
      <c r="AG30" s="548"/>
      <c r="AH30" s="548"/>
      <c r="AI30" s="548"/>
      <c r="AJ30" s="548"/>
      <c r="AK30" s="548"/>
      <c r="AL30" s="548"/>
      <c r="AM30" s="548"/>
      <c r="AN30" s="548"/>
      <c r="AO30" s="548"/>
      <c r="AP30" s="548"/>
      <c r="AQ30" s="548"/>
      <c r="AR30" s="548"/>
      <c r="AS30" s="548"/>
      <c r="AT30" s="548"/>
      <c r="AU30" s="548"/>
      <c r="AV30" s="548"/>
      <c r="AW30" s="548"/>
      <c r="AX30" s="548"/>
      <c r="AY30" s="548"/>
      <c r="AZ30" s="548"/>
      <c r="BA30" s="548"/>
      <c r="BB30" s="548"/>
      <c r="BC30" s="548"/>
      <c r="BD30" s="548"/>
      <c r="BE30" s="548"/>
      <c r="BF30" s="548"/>
      <c r="BG30" s="548"/>
      <c r="BH30" s="548"/>
      <c r="BI30" s="548"/>
      <c r="BJ30" s="548"/>
      <c r="BK30" s="548"/>
      <c r="BL30" s="548"/>
      <c r="BM30" s="548"/>
      <c r="BN30" s="548"/>
      <c r="BO30" s="548"/>
      <c r="BP30" s="548"/>
      <c r="BQ30" s="548"/>
      <c r="BR30" s="548"/>
      <c r="BS30" s="548"/>
      <c r="BT30" s="548"/>
      <c r="BU30" s="548"/>
      <c r="BV30" s="548"/>
      <c r="BW30" s="548"/>
      <c r="BX30" s="548"/>
      <c r="BY30" s="548"/>
      <c r="BZ30" s="548"/>
      <c r="CA30" s="548"/>
      <c r="CB30" s="548"/>
      <c r="CC30" s="548"/>
      <c r="CD30" s="548"/>
      <c r="CE30" s="548"/>
      <c r="CF30" s="548"/>
      <c r="CG30" s="548"/>
      <c r="CH30" s="548"/>
      <c r="CI30" s="548"/>
      <c r="CJ30" s="548"/>
      <c r="CK30" s="548"/>
      <c r="CL30" s="548"/>
      <c r="CM30" s="548"/>
      <c r="CN30" s="548"/>
      <c r="CO30" s="548"/>
      <c r="CP30" s="548"/>
      <c r="CQ30" s="548"/>
      <c r="CR30" s="548"/>
      <c r="CS30" s="548"/>
      <c r="CT30" s="548"/>
      <c r="CU30" s="548"/>
      <c r="CV30" s="548"/>
      <c r="CW30" s="548"/>
      <c r="CX30" s="548"/>
      <c r="CY30" s="548"/>
      <c r="CZ30" s="548"/>
      <c r="DA30" s="548"/>
      <c r="DB30" s="548"/>
      <c r="DC30" s="548"/>
      <c r="DD30" s="548"/>
      <c r="DE30" s="548"/>
      <c r="DF30" s="548"/>
      <c r="DG30" s="548"/>
      <c r="DH30" s="548"/>
      <c r="DI30" s="548"/>
      <c r="DJ30" s="548"/>
      <c r="DK30" s="548"/>
      <c r="DL30" s="548"/>
      <c r="DM30" s="548"/>
      <c r="DN30" s="548"/>
      <c r="DO30" s="548"/>
      <c r="DP30" s="548"/>
      <c r="DQ30" s="548"/>
      <c r="DR30" s="548"/>
      <c r="DS30" s="548"/>
      <c r="DT30" s="548"/>
      <c r="DU30" s="548"/>
      <c r="DV30" s="548"/>
      <c r="DW30" s="548"/>
      <c r="DX30" s="548"/>
      <c r="DY30" s="548"/>
      <c r="DZ30" s="548"/>
      <c r="EA30" s="548"/>
      <c r="EB30" s="548"/>
      <c r="EC30" s="548"/>
      <c r="ED30" s="548"/>
      <c r="EE30" s="548"/>
      <c r="EF30" s="548"/>
      <c r="EG30" s="548"/>
      <c r="EH30" s="548"/>
      <c r="EI30" s="548"/>
      <c r="EJ30" s="548"/>
      <c r="EK30" s="548"/>
      <c r="EL30" s="548"/>
      <c r="EM30" s="548"/>
      <c r="EN30" s="548"/>
      <c r="EO30" s="548"/>
      <c r="EP30" s="548"/>
      <c r="EQ30" s="548"/>
      <c r="ER30" s="548"/>
      <c r="ES30" s="548"/>
      <c r="ET30" s="548"/>
      <c r="EU30" s="548"/>
      <c r="EV30" s="548"/>
      <c r="EW30" s="548"/>
      <c r="EX30" s="548"/>
      <c r="EY30" s="548"/>
      <c r="EZ30" s="548"/>
      <c r="FA30" s="548"/>
      <c r="FB30" s="548"/>
      <c r="FC30" s="548"/>
      <c r="FD30" s="548"/>
      <c r="FE30" s="548"/>
      <c r="FF30" s="548"/>
      <c r="FG30" s="548"/>
      <c r="FH30" s="548"/>
      <c r="FI30" s="548"/>
      <c r="FJ30" s="548"/>
      <c r="FK30" s="548"/>
      <c r="FL30" s="548"/>
      <c r="FM30" s="548"/>
      <c r="FN30" s="548"/>
      <c r="FO30" s="548"/>
      <c r="FP30" s="548"/>
      <c r="FQ30" s="548"/>
      <c r="FR30" s="548"/>
      <c r="FS30" s="548"/>
      <c r="FT30" s="548"/>
      <c r="FU30" s="548"/>
      <c r="FV30" s="548"/>
      <c r="FW30" s="548"/>
      <c r="FX30" s="548"/>
      <c r="FY30" s="548"/>
      <c r="FZ30" s="548"/>
      <c r="GA30" s="548"/>
      <c r="GB30" s="548"/>
      <c r="GC30" s="548"/>
      <c r="GD30" s="548"/>
      <c r="GE30" s="548"/>
      <c r="GF30" s="548"/>
      <c r="GG30" s="548"/>
      <c r="GH30" s="548"/>
      <c r="GI30" s="548"/>
      <c r="GJ30" s="548"/>
      <c r="GK30" s="548"/>
      <c r="GL30" s="548"/>
      <c r="GM30" s="548"/>
      <c r="GN30" s="548"/>
      <c r="GO30" s="548"/>
      <c r="GP30" s="548"/>
      <c r="GQ30" s="548"/>
      <c r="GR30" s="548"/>
      <c r="GS30" s="548"/>
      <c r="GT30" s="548"/>
      <c r="GU30" s="548"/>
      <c r="GV30" s="548"/>
      <c r="GW30" s="548"/>
      <c r="GX30" s="548"/>
      <c r="GY30" s="548"/>
      <c r="GZ30" s="548"/>
      <c r="HA30" s="548"/>
      <c r="HB30" s="548"/>
      <c r="HC30" s="548"/>
      <c r="HD30" s="548"/>
      <c r="HE30" s="548"/>
      <c r="HF30" s="548"/>
      <c r="HG30" s="548"/>
      <c r="HH30" s="548"/>
      <c r="HI30" s="548"/>
      <c r="HJ30" s="548"/>
      <c r="HK30" s="548"/>
      <c r="HL30" s="548"/>
      <c r="HM30" s="548"/>
      <c r="HN30" s="548"/>
      <c r="HO30" s="548"/>
      <c r="HP30" s="548"/>
      <c r="HQ30" s="548"/>
      <c r="HR30" s="548"/>
      <c r="HS30" s="548"/>
      <c r="HT30" s="548"/>
      <c r="HU30" s="548"/>
      <c r="HV30" s="548"/>
      <c r="HW30" s="548"/>
      <c r="HX30" s="548"/>
      <c r="HY30" s="548"/>
      <c r="HZ30" s="548"/>
      <c r="IA30" s="548"/>
      <c r="IB30" s="548"/>
      <c r="IC30" s="548"/>
      <c r="ID30" s="548"/>
      <c r="IE30" s="548"/>
      <c r="IF30" s="548"/>
      <c r="IG30" s="548"/>
      <c r="IH30" s="548"/>
      <c r="II30" s="548"/>
      <c r="IJ30" s="548"/>
      <c r="IK30" s="548"/>
      <c r="IL30" s="548"/>
      <c r="IM30" s="548"/>
      <c r="IN30" s="548"/>
      <c r="IO30" s="548"/>
      <c r="IP30" s="548"/>
      <c r="IQ30" s="548"/>
      <c r="IR30" s="548"/>
      <c r="IS30" s="548"/>
      <c r="IT30" s="548"/>
      <c r="IU30" s="548"/>
      <c r="IV30" s="548"/>
      <c r="IW30" s="548"/>
    </row>
    <row r="31" customFormat="false" ht="12.75" hidden="false" customHeight="false" outlineLevel="0" collapsed="false">
      <c r="A31" s="548"/>
      <c r="B31" s="548"/>
      <c r="C31" s="548"/>
      <c r="D31" s="548"/>
      <c r="E31" s="42" t="n">
        <v>120</v>
      </c>
      <c r="F31" s="46" t="n">
        <f aca="false">11244</f>
        <v>11244</v>
      </c>
      <c r="G31" s="46" t="n">
        <f aca="false">$C$21*$C$23*($C$20*(1+$C$19))</f>
        <v>0</v>
      </c>
      <c r="H31" s="46" t="n">
        <f aca="false">G31+F31</f>
        <v>11244</v>
      </c>
      <c r="I31" s="1053" t="n">
        <f aca="false">G31/H31</f>
        <v>0</v>
      </c>
      <c r="J31" s="1054" t="n">
        <f aca="false">1-I31</f>
        <v>1</v>
      </c>
      <c r="K31" s="1"/>
      <c r="L31" s="1"/>
      <c r="M31" s="1"/>
      <c r="N31" s="1"/>
      <c r="O31" s="1"/>
      <c r="P31" s="1"/>
      <c r="Q31" s="1"/>
      <c r="R31" s="1"/>
      <c r="S31" s="1"/>
      <c r="T31" s="1"/>
      <c r="U31" s="1"/>
      <c r="V31" s="1"/>
      <c r="W31" s="1"/>
      <c r="X31" s="1"/>
      <c r="Y31" s="1"/>
      <c r="Z31" s="1"/>
      <c r="AA31" s="1"/>
      <c r="AB31" s="1"/>
      <c r="AC31" s="1"/>
      <c r="AD31" s="1"/>
      <c r="AE31" s="1"/>
      <c r="AF31" s="548"/>
      <c r="AG31" s="548"/>
      <c r="AH31" s="548"/>
      <c r="AI31" s="548"/>
      <c r="AJ31" s="548"/>
      <c r="AK31" s="548"/>
      <c r="AL31" s="548"/>
      <c r="AM31" s="548"/>
      <c r="AN31" s="548"/>
      <c r="AO31" s="548"/>
      <c r="AP31" s="548"/>
      <c r="AQ31" s="548"/>
      <c r="AR31" s="548"/>
      <c r="AS31" s="548"/>
      <c r="AT31" s="548"/>
      <c r="AU31" s="548"/>
      <c r="AV31" s="548"/>
      <c r="AW31" s="548"/>
      <c r="AX31" s="548"/>
      <c r="AY31" s="548"/>
      <c r="AZ31" s="548"/>
      <c r="BA31" s="548"/>
      <c r="BB31" s="548"/>
      <c r="BC31" s="548"/>
      <c r="BD31" s="548"/>
      <c r="BE31" s="548"/>
      <c r="BF31" s="548"/>
      <c r="BG31" s="548"/>
      <c r="BH31" s="548"/>
      <c r="BI31" s="548"/>
      <c r="BJ31" s="548"/>
      <c r="BK31" s="548"/>
      <c r="BL31" s="548"/>
      <c r="BM31" s="548"/>
      <c r="BN31" s="548"/>
      <c r="BO31" s="548"/>
      <c r="BP31" s="548"/>
      <c r="BQ31" s="548"/>
      <c r="BR31" s="548"/>
      <c r="BS31" s="548"/>
      <c r="BT31" s="548"/>
      <c r="BU31" s="548"/>
      <c r="BV31" s="548"/>
      <c r="BW31" s="548"/>
      <c r="BX31" s="548"/>
      <c r="BY31" s="548"/>
      <c r="BZ31" s="548"/>
      <c r="CA31" s="548"/>
      <c r="CB31" s="548"/>
      <c r="CC31" s="548"/>
      <c r="CD31" s="548"/>
      <c r="CE31" s="548"/>
      <c r="CF31" s="548"/>
      <c r="CG31" s="548"/>
      <c r="CH31" s="548"/>
      <c r="CI31" s="548"/>
      <c r="CJ31" s="548"/>
      <c r="CK31" s="548"/>
      <c r="CL31" s="548"/>
      <c r="CM31" s="548"/>
      <c r="CN31" s="548"/>
      <c r="CO31" s="548"/>
      <c r="CP31" s="548"/>
      <c r="CQ31" s="548"/>
      <c r="CR31" s="548"/>
      <c r="CS31" s="548"/>
      <c r="CT31" s="548"/>
      <c r="CU31" s="548"/>
      <c r="CV31" s="548"/>
      <c r="CW31" s="548"/>
      <c r="CX31" s="548"/>
      <c r="CY31" s="548"/>
      <c r="CZ31" s="548"/>
      <c r="DA31" s="548"/>
      <c r="DB31" s="548"/>
      <c r="DC31" s="548"/>
      <c r="DD31" s="548"/>
      <c r="DE31" s="548"/>
      <c r="DF31" s="548"/>
      <c r="DG31" s="548"/>
      <c r="DH31" s="548"/>
      <c r="DI31" s="548"/>
      <c r="DJ31" s="548"/>
      <c r="DK31" s="548"/>
      <c r="DL31" s="548"/>
      <c r="DM31" s="548"/>
      <c r="DN31" s="548"/>
      <c r="DO31" s="548"/>
      <c r="DP31" s="548"/>
      <c r="DQ31" s="548"/>
      <c r="DR31" s="548"/>
      <c r="DS31" s="548"/>
      <c r="DT31" s="548"/>
      <c r="DU31" s="548"/>
      <c r="DV31" s="548"/>
      <c r="DW31" s="548"/>
      <c r="DX31" s="548"/>
      <c r="DY31" s="548"/>
      <c r="DZ31" s="548"/>
      <c r="EA31" s="548"/>
      <c r="EB31" s="548"/>
      <c r="EC31" s="548"/>
      <c r="ED31" s="548"/>
      <c r="EE31" s="548"/>
      <c r="EF31" s="548"/>
      <c r="EG31" s="548"/>
      <c r="EH31" s="548"/>
      <c r="EI31" s="548"/>
      <c r="EJ31" s="548"/>
      <c r="EK31" s="548"/>
      <c r="EL31" s="548"/>
      <c r="EM31" s="548"/>
      <c r="EN31" s="548"/>
      <c r="EO31" s="548"/>
      <c r="EP31" s="548"/>
      <c r="EQ31" s="548"/>
      <c r="ER31" s="548"/>
      <c r="ES31" s="548"/>
      <c r="ET31" s="548"/>
      <c r="EU31" s="548"/>
      <c r="EV31" s="548"/>
      <c r="EW31" s="548"/>
      <c r="EX31" s="548"/>
      <c r="EY31" s="548"/>
      <c r="EZ31" s="548"/>
      <c r="FA31" s="548"/>
      <c r="FB31" s="548"/>
      <c r="FC31" s="548"/>
      <c r="FD31" s="548"/>
      <c r="FE31" s="548"/>
      <c r="FF31" s="548"/>
      <c r="FG31" s="548"/>
      <c r="FH31" s="548"/>
      <c r="FI31" s="548"/>
      <c r="FJ31" s="548"/>
      <c r="FK31" s="548"/>
      <c r="FL31" s="548"/>
      <c r="FM31" s="548"/>
      <c r="FN31" s="548"/>
      <c r="FO31" s="548"/>
      <c r="FP31" s="548"/>
      <c r="FQ31" s="548"/>
      <c r="FR31" s="548"/>
      <c r="FS31" s="548"/>
      <c r="FT31" s="548"/>
      <c r="FU31" s="548"/>
      <c r="FV31" s="548"/>
      <c r="FW31" s="548"/>
      <c r="FX31" s="548"/>
      <c r="FY31" s="548"/>
      <c r="FZ31" s="548"/>
      <c r="GA31" s="548"/>
      <c r="GB31" s="548"/>
      <c r="GC31" s="548"/>
      <c r="GD31" s="548"/>
      <c r="GE31" s="548"/>
      <c r="GF31" s="548"/>
      <c r="GG31" s="548"/>
      <c r="GH31" s="548"/>
      <c r="GI31" s="548"/>
      <c r="GJ31" s="548"/>
      <c r="GK31" s="548"/>
      <c r="GL31" s="548"/>
      <c r="GM31" s="548"/>
      <c r="GN31" s="548"/>
      <c r="GO31" s="548"/>
      <c r="GP31" s="548"/>
      <c r="GQ31" s="548"/>
      <c r="GR31" s="548"/>
      <c r="GS31" s="548"/>
      <c r="GT31" s="548"/>
      <c r="GU31" s="548"/>
      <c r="GV31" s="548"/>
      <c r="GW31" s="548"/>
      <c r="GX31" s="548"/>
      <c r="GY31" s="548"/>
      <c r="GZ31" s="548"/>
      <c r="HA31" s="548"/>
      <c r="HB31" s="548"/>
      <c r="HC31" s="548"/>
      <c r="HD31" s="548"/>
      <c r="HE31" s="548"/>
      <c r="HF31" s="548"/>
      <c r="HG31" s="548"/>
      <c r="HH31" s="548"/>
      <c r="HI31" s="548"/>
      <c r="HJ31" s="548"/>
      <c r="HK31" s="548"/>
      <c r="HL31" s="548"/>
      <c r="HM31" s="548"/>
      <c r="HN31" s="548"/>
      <c r="HO31" s="548"/>
      <c r="HP31" s="548"/>
      <c r="HQ31" s="548"/>
      <c r="HR31" s="548"/>
      <c r="HS31" s="548"/>
      <c r="HT31" s="548"/>
      <c r="HU31" s="548"/>
      <c r="HV31" s="548"/>
      <c r="HW31" s="548"/>
      <c r="HX31" s="548"/>
      <c r="HY31" s="548"/>
      <c r="HZ31" s="548"/>
      <c r="IA31" s="548"/>
      <c r="IB31" s="548"/>
      <c r="IC31" s="548"/>
      <c r="ID31" s="548"/>
      <c r="IE31" s="548"/>
      <c r="IF31" s="548"/>
      <c r="IG31" s="548"/>
      <c r="IH31" s="548"/>
      <c r="II31" s="548"/>
      <c r="IJ31" s="548"/>
      <c r="IK31" s="548"/>
      <c r="IL31" s="548"/>
      <c r="IM31" s="548"/>
      <c r="IN31" s="548"/>
      <c r="IO31" s="548"/>
      <c r="IP31" s="548"/>
      <c r="IQ31" s="548"/>
      <c r="IR31" s="548"/>
      <c r="IS31" s="548"/>
      <c r="IT31" s="548"/>
      <c r="IU31" s="548"/>
      <c r="IV31" s="548"/>
      <c r="IW31" s="548"/>
    </row>
    <row r="32" customFormat="false" ht="12.75" hidden="false" customHeight="false" outlineLevel="0" collapsed="false">
      <c r="A32" s="548"/>
      <c r="B32" s="548"/>
      <c r="C32" s="548"/>
      <c r="D32" s="548"/>
      <c r="E32" s="42" t="n">
        <v>130</v>
      </c>
      <c r="F32" s="46" t="n">
        <f aca="false">11244</f>
        <v>11244</v>
      </c>
      <c r="G32" s="46" t="n">
        <f aca="false">$C$21*$C$23*($C$20*(1+$C$19))</f>
        <v>0</v>
      </c>
      <c r="H32" s="46" t="n">
        <f aca="false">G32+F32</f>
        <v>11244</v>
      </c>
      <c r="I32" s="1053" t="n">
        <f aca="false">G32/H32</f>
        <v>0</v>
      </c>
      <c r="J32" s="1054" t="n">
        <f aca="false">1-I32</f>
        <v>1</v>
      </c>
      <c r="K32" s="1"/>
      <c r="L32" s="1"/>
      <c r="M32" s="1"/>
      <c r="N32" s="1"/>
      <c r="O32" s="1"/>
      <c r="P32" s="1"/>
      <c r="Q32" s="1"/>
      <c r="R32" s="1"/>
      <c r="S32" s="1"/>
      <c r="T32" s="1"/>
      <c r="U32" s="1"/>
      <c r="V32" s="1"/>
      <c r="W32" s="1"/>
      <c r="X32" s="1"/>
      <c r="Y32" s="1"/>
      <c r="Z32" s="1"/>
      <c r="AA32" s="1"/>
      <c r="AB32" s="1"/>
      <c r="AC32" s="1"/>
      <c r="AD32" s="1"/>
      <c r="AE32" s="1"/>
      <c r="AF32" s="548"/>
      <c r="AG32" s="548"/>
      <c r="AH32" s="548"/>
      <c r="AI32" s="548"/>
      <c r="AJ32" s="548"/>
      <c r="AK32" s="548"/>
      <c r="AL32" s="548"/>
      <c r="AM32" s="548"/>
      <c r="AN32" s="548"/>
      <c r="AO32" s="548"/>
      <c r="AP32" s="548"/>
      <c r="AQ32" s="548"/>
      <c r="AR32" s="548"/>
      <c r="AS32" s="548"/>
      <c r="AT32" s="548"/>
      <c r="AU32" s="548"/>
      <c r="AV32" s="548"/>
      <c r="AW32" s="548"/>
      <c r="AX32" s="548"/>
      <c r="AY32" s="548"/>
      <c r="AZ32" s="548"/>
      <c r="BA32" s="548"/>
      <c r="BB32" s="548"/>
      <c r="BC32" s="548"/>
      <c r="BD32" s="548"/>
      <c r="BE32" s="548"/>
      <c r="BF32" s="548"/>
      <c r="BG32" s="548"/>
      <c r="BH32" s="548"/>
      <c r="BI32" s="548"/>
      <c r="BJ32" s="548"/>
      <c r="BK32" s="548"/>
      <c r="BL32" s="548"/>
      <c r="BM32" s="548"/>
      <c r="BN32" s="548"/>
      <c r="BO32" s="548"/>
      <c r="BP32" s="548"/>
      <c r="BQ32" s="548"/>
      <c r="BR32" s="548"/>
      <c r="BS32" s="548"/>
      <c r="BT32" s="548"/>
      <c r="BU32" s="548"/>
      <c r="BV32" s="548"/>
      <c r="BW32" s="548"/>
      <c r="BX32" s="548"/>
      <c r="BY32" s="548"/>
      <c r="BZ32" s="548"/>
      <c r="CA32" s="548"/>
      <c r="CB32" s="548"/>
      <c r="CC32" s="548"/>
      <c r="CD32" s="548"/>
      <c r="CE32" s="548"/>
      <c r="CF32" s="548"/>
      <c r="CG32" s="548"/>
      <c r="CH32" s="548"/>
      <c r="CI32" s="548"/>
      <c r="CJ32" s="548"/>
      <c r="CK32" s="548"/>
      <c r="CL32" s="548"/>
      <c r="CM32" s="548"/>
      <c r="CN32" s="548"/>
      <c r="CO32" s="548"/>
      <c r="CP32" s="548"/>
      <c r="CQ32" s="548"/>
      <c r="CR32" s="548"/>
      <c r="CS32" s="548"/>
      <c r="CT32" s="548"/>
      <c r="CU32" s="548"/>
      <c r="CV32" s="548"/>
      <c r="CW32" s="548"/>
      <c r="CX32" s="548"/>
      <c r="CY32" s="548"/>
      <c r="CZ32" s="548"/>
      <c r="DA32" s="548"/>
      <c r="DB32" s="548"/>
      <c r="DC32" s="548"/>
      <c r="DD32" s="548"/>
      <c r="DE32" s="548"/>
      <c r="DF32" s="548"/>
      <c r="DG32" s="548"/>
      <c r="DH32" s="548"/>
      <c r="DI32" s="548"/>
      <c r="DJ32" s="548"/>
      <c r="DK32" s="548"/>
      <c r="DL32" s="548"/>
      <c r="DM32" s="548"/>
      <c r="DN32" s="548"/>
      <c r="DO32" s="548"/>
      <c r="DP32" s="548"/>
      <c r="DQ32" s="548"/>
      <c r="DR32" s="548"/>
      <c r="DS32" s="548"/>
      <c r="DT32" s="548"/>
      <c r="DU32" s="548"/>
      <c r="DV32" s="548"/>
      <c r="DW32" s="548"/>
      <c r="DX32" s="548"/>
      <c r="DY32" s="548"/>
      <c r="DZ32" s="548"/>
      <c r="EA32" s="548"/>
      <c r="EB32" s="548"/>
      <c r="EC32" s="548"/>
      <c r="ED32" s="548"/>
      <c r="EE32" s="548"/>
      <c r="EF32" s="548"/>
      <c r="EG32" s="548"/>
      <c r="EH32" s="548"/>
      <c r="EI32" s="548"/>
      <c r="EJ32" s="548"/>
      <c r="EK32" s="548"/>
      <c r="EL32" s="548"/>
      <c r="EM32" s="548"/>
      <c r="EN32" s="548"/>
      <c r="EO32" s="548"/>
      <c r="EP32" s="548"/>
      <c r="EQ32" s="548"/>
      <c r="ER32" s="548"/>
      <c r="ES32" s="548"/>
      <c r="ET32" s="548"/>
      <c r="EU32" s="548"/>
      <c r="EV32" s="548"/>
      <c r="EW32" s="548"/>
      <c r="EX32" s="548"/>
      <c r="EY32" s="548"/>
      <c r="EZ32" s="548"/>
      <c r="FA32" s="548"/>
      <c r="FB32" s="548"/>
      <c r="FC32" s="548"/>
      <c r="FD32" s="548"/>
      <c r="FE32" s="548"/>
      <c r="FF32" s="548"/>
      <c r="FG32" s="548"/>
      <c r="FH32" s="548"/>
      <c r="FI32" s="548"/>
      <c r="FJ32" s="548"/>
      <c r="FK32" s="548"/>
      <c r="FL32" s="548"/>
      <c r="FM32" s="548"/>
      <c r="FN32" s="548"/>
      <c r="FO32" s="548"/>
      <c r="FP32" s="548"/>
      <c r="FQ32" s="548"/>
      <c r="FR32" s="548"/>
      <c r="FS32" s="548"/>
      <c r="FT32" s="548"/>
      <c r="FU32" s="548"/>
      <c r="FV32" s="548"/>
      <c r="FW32" s="548"/>
      <c r="FX32" s="548"/>
      <c r="FY32" s="548"/>
      <c r="FZ32" s="548"/>
      <c r="GA32" s="548"/>
      <c r="GB32" s="548"/>
      <c r="GC32" s="548"/>
      <c r="GD32" s="548"/>
      <c r="GE32" s="548"/>
      <c r="GF32" s="548"/>
      <c r="GG32" s="548"/>
      <c r="GH32" s="548"/>
      <c r="GI32" s="548"/>
      <c r="GJ32" s="548"/>
      <c r="GK32" s="548"/>
      <c r="GL32" s="548"/>
      <c r="GM32" s="548"/>
      <c r="GN32" s="548"/>
      <c r="GO32" s="548"/>
      <c r="GP32" s="548"/>
      <c r="GQ32" s="548"/>
      <c r="GR32" s="548"/>
      <c r="GS32" s="548"/>
      <c r="GT32" s="548"/>
      <c r="GU32" s="548"/>
      <c r="GV32" s="548"/>
      <c r="GW32" s="548"/>
      <c r="GX32" s="548"/>
      <c r="GY32" s="548"/>
      <c r="GZ32" s="548"/>
      <c r="HA32" s="548"/>
      <c r="HB32" s="548"/>
      <c r="HC32" s="548"/>
      <c r="HD32" s="548"/>
      <c r="HE32" s="548"/>
      <c r="HF32" s="548"/>
      <c r="HG32" s="548"/>
      <c r="HH32" s="548"/>
      <c r="HI32" s="548"/>
      <c r="HJ32" s="548"/>
      <c r="HK32" s="548"/>
      <c r="HL32" s="548"/>
      <c r="HM32" s="548"/>
      <c r="HN32" s="548"/>
      <c r="HO32" s="548"/>
      <c r="HP32" s="548"/>
      <c r="HQ32" s="548"/>
      <c r="HR32" s="548"/>
      <c r="HS32" s="548"/>
      <c r="HT32" s="548"/>
      <c r="HU32" s="548"/>
      <c r="HV32" s="548"/>
      <c r="HW32" s="548"/>
      <c r="HX32" s="548"/>
      <c r="HY32" s="548"/>
      <c r="HZ32" s="548"/>
      <c r="IA32" s="548"/>
      <c r="IB32" s="548"/>
      <c r="IC32" s="548"/>
      <c r="ID32" s="548"/>
      <c r="IE32" s="548"/>
      <c r="IF32" s="548"/>
      <c r="IG32" s="548"/>
      <c r="IH32" s="548"/>
      <c r="II32" s="548"/>
      <c r="IJ32" s="548"/>
      <c r="IK32" s="548"/>
      <c r="IL32" s="548"/>
      <c r="IM32" s="548"/>
      <c r="IN32" s="548"/>
      <c r="IO32" s="548"/>
      <c r="IP32" s="548"/>
      <c r="IQ32" s="548"/>
      <c r="IR32" s="548"/>
      <c r="IS32" s="548"/>
      <c r="IT32" s="548"/>
      <c r="IU32" s="548"/>
      <c r="IV32" s="548"/>
      <c r="IW32" s="548"/>
    </row>
    <row r="33" customFormat="false" ht="12.75" hidden="false" customHeight="false" outlineLevel="0" collapsed="false">
      <c r="A33" s="548"/>
      <c r="B33" s="548"/>
      <c r="C33" s="548"/>
      <c r="D33" s="548"/>
      <c r="E33" s="42" t="n">
        <v>140</v>
      </c>
      <c r="F33" s="46" t="n">
        <f aca="false">11244</f>
        <v>11244</v>
      </c>
      <c r="G33" s="46" t="n">
        <f aca="false">$C$21*$C$23*($C$20*(1+$C$19))</f>
        <v>0</v>
      </c>
      <c r="H33" s="46" t="n">
        <f aca="false">G33+F33</f>
        <v>11244</v>
      </c>
      <c r="I33" s="1053" t="n">
        <f aca="false">G33/H33</f>
        <v>0</v>
      </c>
      <c r="J33" s="1054" t="n">
        <f aca="false">1-I33</f>
        <v>1</v>
      </c>
      <c r="K33" s="1"/>
      <c r="L33" s="1"/>
      <c r="M33" s="1"/>
      <c r="N33" s="1"/>
      <c r="O33" s="1"/>
      <c r="P33" s="1"/>
      <c r="Q33" s="1"/>
      <c r="R33" s="1"/>
      <c r="S33" s="1"/>
      <c r="T33" s="1"/>
      <c r="U33" s="1"/>
      <c r="V33" s="1"/>
      <c r="W33" s="1"/>
      <c r="X33" s="1"/>
      <c r="Y33" s="1"/>
      <c r="Z33" s="1"/>
      <c r="AA33" s="1"/>
      <c r="AB33" s="1"/>
      <c r="AC33" s="1"/>
      <c r="AD33" s="1"/>
      <c r="AE33" s="1"/>
      <c r="AF33" s="548"/>
      <c r="AG33" s="548"/>
      <c r="AH33" s="548"/>
      <c r="AI33" s="548"/>
      <c r="AJ33" s="548"/>
      <c r="AK33" s="548"/>
      <c r="AL33" s="548"/>
      <c r="AM33" s="548"/>
      <c r="AN33" s="548"/>
      <c r="AO33" s="548"/>
      <c r="AP33" s="548"/>
      <c r="AQ33" s="548"/>
      <c r="AR33" s="548"/>
      <c r="AS33" s="548"/>
      <c r="AT33" s="548"/>
      <c r="AU33" s="548"/>
      <c r="AV33" s="548"/>
      <c r="AW33" s="548"/>
      <c r="AX33" s="548"/>
      <c r="AY33" s="548"/>
      <c r="AZ33" s="548"/>
      <c r="BA33" s="548"/>
      <c r="BB33" s="548"/>
      <c r="BC33" s="548"/>
      <c r="BD33" s="548"/>
      <c r="BE33" s="548"/>
      <c r="BF33" s="548"/>
      <c r="BG33" s="548"/>
      <c r="BH33" s="548"/>
      <c r="BI33" s="548"/>
      <c r="BJ33" s="548"/>
      <c r="BK33" s="548"/>
      <c r="BL33" s="548"/>
      <c r="BM33" s="548"/>
      <c r="BN33" s="548"/>
      <c r="BO33" s="548"/>
      <c r="BP33" s="548"/>
      <c r="BQ33" s="548"/>
      <c r="BR33" s="548"/>
      <c r="BS33" s="548"/>
      <c r="BT33" s="548"/>
      <c r="BU33" s="548"/>
      <c r="BV33" s="548"/>
      <c r="BW33" s="548"/>
      <c r="BX33" s="548"/>
      <c r="BY33" s="548"/>
      <c r="BZ33" s="548"/>
      <c r="CA33" s="548"/>
      <c r="CB33" s="548"/>
      <c r="CC33" s="548"/>
      <c r="CD33" s="548"/>
      <c r="CE33" s="548"/>
      <c r="CF33" s="548"/>
      <c r="CG33" s="548"/>
      <c r="CH33" s="548"/>
      <c r="CI33" s="548"/>
      <c r="CJ33" s="548"/>
      <c r="CK33" s="548"/>
      <c r="CL33" s="548"/>
      <c r="CM33" s="548"/>
      <c r="CN33" s="548"/>
      <c r="CO33" s="548"/>
      <c r="CP33" s="548"/>
      <c r="CQ33" s="548"/>
      <c r="CR33" s="548"/>
      <c r="CS33" s="548"/>
      <c r="CT33" s="548"/>
      <c r="CU33" s="548"/>
      <c r="CV33" s="548"/>
      <c r="CW33" s="548"/>
      <c r="CX33" s="548"/>
      <c r="CY33" s="548"/>
      <c r="CZ33" s="548"/>
      <c r="DA33" s="548"/>
      <c r="DB33" s="548"/>
      <c r="DC33" s="548"/>
      <c r="DD33" s="548"/>
      <c r="DE33" s="548"/>
      <c r="DF33" s="548"/>
      <c r="DG33" s="548"/>
      <c r="DH33" s="548"/>
      <c r="DI33" s="548"/>
      <c r="DJ33" s="548"/>
      <c r="DK33" s="548"/>
      <c r="DL33" s="548"/>
      <c r="DM33" s="548"/>
      <c r="DN33" s="548"/>
      <c r="DO33" s="548"/>
      <c r="DP33" s="548"/>
      <c r="DQ33" s="548"/>
      <c r="DR33" s="548"/>
      <c r="DS33" s="548"/>
      <c r="DT33" s="548"/>
      <c r="DU33" s="548"/>
      <c r="DV33" s="548"/>
      <c r="DW33" s="548"/>
      <c r="DX33" s="548"/>
      <c r="DY33" s="548"/>
      <c r="DZ33" s="548"/>
      <c r="EA33" s="548"/>
      <c r="EB33" s="548"/>
      <c r="EC33" s="548"/>
      <c r="ED33" s="548"/>
      <c r="EE33" s="548"/>
      <c r="EF33" s="548"/>
      <c r="EG33" s="548"/>
      <c r="EH33" s="548"/>
      <c r="EI33" s="548"/>
      <c r="EJ33" s="548"/>
      <c r="EK33" s="548"/>
      <c r="EL33" s="548"/>
      <c r="EM33" s="548"/>
      <c r="EN33" s="548"/>
      <c r="EO33" s="548"/>
      <c r="EP33" s="548"/>
      <c r="EQ33" s="548"/>
      <c r="ER33" s="548"/>
      <c r="ES33" s="548"/>
      <c r="ET33" s="548"/>
      <c r="EU33" s="548"/>
      <c r="EV33" s="548"/>
      <c r="EW33" s="548"/>
      <c r="EX33" s="548"/>
      <c r="EY33" s="548"/>
      <c r="EZ33" s="548"/>
      <c r="FA33" s="548"/>
      <c r="FB33" s="548"/>
      <c r="FC33" s="548"/>
      <c r="FD33" s="548"/>
      <c r="FE33" s="548"/>
      <c r="FF33" s="548"/>
      <c r="FG33" s="548"/>
      <c r="FH33" s="548"/>
      <c r="FI33" s="548"/>
      <c r="FJ33" s="548"/>
      <c r="FK33" s="548"/>
      <c r="FL33" s="548"/>
      <c r="FM33" s="548"/>
      <c r="FN33" s="548"/>
      <c r="FO33" s="548"/>
      <c r="FP33" s="548"/>
      <c r="FQ33" s="548"/>
      <c r="FR33" s="548"/>
      <c r="FS33" s="548"/>
      <c r="FT33" s="548"/>
      <c r="FU33" s="548"/>
      <c r="FV33" s="548"/>
      <c r="FW33" s="548"/>
      <c r="FX33" s="548"/>
      <c r="FY33" s="548"/>
      <c r="FZ33" s="548"/>
      <c r="GA33" s="548"/>
      <c r="GB33" s="548"/>
      <c r="GC33" s="548"/>
      <c r="GD33" s="548"/>
      <c r="GE33" s="548"/>
      <c r="GF33" s="548"/>
      <c r="GG33" s="548"/>
      <c r="GH33" s="548"/>
      <c r="GI33" s="548"/>
      <c r="GJ33" s="548"/>
      <c r="GK33" s="548"/>
      <c r="GL33" s="548"/>
      <c r="GM33" s="548"/>
      <c r="GN33" s="548"/>
      <c r="GO33" s="548"/>
      <c r="GP33" s="548"/>
      <c r="GQ33" s="548"/>
      <c r="GR33" s="548"/>
      <c r="GS33" s="548"/>
      <c r="GT33" s="548"/>
      <c r="GU33" s="548"/>
      <c r="GV33" s="548"/>
      <c r="GW33" s="548"/>
      <c r="GX33" s="548"/>
      <c r="GY33" s="548"/>
      <c r="GZ33" s="548"/>
      <c r="HA33" s="548"/>
      <c r="HB33" s="548"/>
      <c r="HC33" s="548"/>
      <c r="HD33" s="548"/>
      <c r="HE33" s="548"/>
      <c r="HF33" s="548"/>
      <c r="HG33" s="548"/>
      <c r="HH33" s="548"/>
      <c r="HI33" s="548"/>
      <c r="HJ33" s="548"/>
      <c r="HK33" s="548"/>
      <c r="HL33" s="548"/>
      <c r="HM33" s="548"/>
      <c r="HN33" s="548"/>
      <c r="HO33" s="548"/>
      <c r="HP33" s="548"/>
      <c r="HQ33" s="548"/>
      <c r="HR33" s="548"/>
      <c r="HS33" s="548"/>
      <c r="HT33" s="548"/>
      <c r="HU33" s="548"/>
      <c r="HV33" s="548"/>
      <c r="HW33" s="548"/>
      <c r="HX33" s="548"/>
      <c r="HY33" s="548"/>
      <c r="HZ33" s="548"/>
      <c r="IA33" s="548"/>
      <c r="IB33" s="548"/>
      <c r="IC33" s="548"/>
      <c r="ID33" s="548"/>
      <c r="IE33" s="548"/>
      <c r="IF33" s="548"/>
      <c r="IG33" s="548"/>
      <c r="IH33" s="548"/>
      <c r="II33" s="548"/>
      <c r="IJ33" s="548"/>
      <c r="IK33" s="548"/>
      <c r="IL33" s="548"/>
      <c r="IM33" s="548"/>
      <c r="IN33" s="548"/>
      <c r="IO33" s="548"/>
      <c r="IP33" s="548"/>
      <c r="IQ33" s="548"/>
      <c r="IR33" s="548"/>
      <c r="IS33" s="548"/>
      <c r="IT33" s="548"/>
      <c r="IU33" s="548"/>
      <c r="IV33" s="548"/>
      <c r="IW33" s="548"/>
    </row>
    <row r="34" customFormat="false" ht="12.75" hidden="false" customHeight="false" outlineLevel="0" collapsed="false">
      <c r="A34" s="548"/>
      <c r="B34" s="548"/>
      <c r="C34" s="548"/>
      <c r="D34" s="548"/>
      <c r="E34" s="42" t="n">
        <v>150</v>
      </c>
      <c r="F34" s="46" t="n">
        <f aca="false">11244</f>
        <v>11244</v>
      </c>
      <c r="G34" s="46" t="n">
        <f aca="false">$C$21*$C$23*($C$20*(1+$C$19))</f>
        <v>0</v>
      </c>
      <c r="H34" s="46" t="n">
        <f aca="false">G34+F34</f>
        <v>11244</v>
      </c>
      <c r="I34" s="1053" t="n">
        <f aca="false">G34/H34</f>
        <v>0</v>
      </c>
      <c r="J34" s="1054" t="n">
        <f aca="false">1-I34</f>
        <v>1</v>
      </c>
      <c r="K34" s="1"/>
      <c r="L34" s="1"/>
      <c r="M34" s="1"/>
      <c r="N34" s="1"/>
      <c r="O34" s="1"/>
      <c r="P34" s="1"/>
      <c r="Q34" s="1"/>
      <c r="R34" s="1"/>
      <c r="S34" s="1"/>
      <c r="T34" s="1"/>
      <c r="U34" s="1"/>
      <c r="V34" s="1"/>
      <c r="W34" s="1"/>
      <c r="X34" s="1"/>
      <c r="Y34" s="1"/>
      <c r="Z34" s="1"/>
      <c r="AA34" s="1"/>
      <c r="AB34" s="1"/>
      <c r="AC34" s="1"/>
      <c r="AD34" s="1"/>
      <c r="AE34" s="1"/>
      <c r="AF34" s="548"/>
      <c r="AG34" s="548"/>
      <c r="AH34" s="548"/>
      <c r="AI34" s="548"/>
      <c r="AJ34" s="548"/>
      <c r="AK34" s="548"/>
      <c r="AL34" s="548"/>
      <c r="AM34" s="548"/>
      <c r="AN34" s="548"/>
      <c r="AO34" s="548"/>
      <c r="AP34" s="548"/>
      <c r="AQ34" s="548"/>
      <c r="AR34" s="548"/>
      <c r="AS34" s="548"/>
      <c r="AT34" s="548"/>
      <c r="AU34" s="548"/>
      <c r="AV34" s="548"/>
      <c r="AW34" s="548"/>
      <c r="AX34" s="548"/>
      <c r="AY34" s="548"/>
      <c r="AZ34" s="548"/>
      <c r="BA34" s="548"/>
      <c r="BB34" s="548"/>
      <c r="BC34" s="548"/>
      <c r="BD34" s="548"/>
      <c r="BE34" s="548"/>
      <c r="BF34" s="548"/>
      <c r="BG34" s="548"/>
      <c r="BH34" s="548"/>
      <c r="BI34" s="548"/>
      <c r="BJ34" s="548"/>
      <c r="BK34" s="548"/>
      <c r="BL34" s="548"/>
      <c r="BM34" s="548"/>
      <c r="BN34" s="548"/>
      <c r="BO34" s="548"/>
      <c r="BP34" s="548"/>
      <c r="BQ34" s="548"/>
      <c r="BR34" s="548"/>
      <c r="BS34" s="548"/>
      <c r="BT34" s="548"/>
      <c r="BU34" s="548"/>
      <c r="BV34" s="548"/>
      <c r="BW34" s="548"/>
      <c r="BX34" s="548"/>
      <c r="BY34" s="548"/>
      <c r="BZ34" s="548"/>
      <c r="CA34" s="548"/>
      <c r="CB34" s="548"/>
      <c r="CC34" s="548"/>
      <c r="CD34" s="548"/>
      <c r="CE34" s="548"/>
      <c r="CF34" s="548"/>
      <c r="CG34" s="548"/>
      <c r="CH34" s="548"/>
      <c r="CI34" s="548"/>
      <c r="CJ34" s="548"/>
      <c r="CK34" s="548"/>
      <c r="CL34" s="548"/>
      <c r="CM34" s="548"/>
      <c r="CN34" s="548"/>
      <c r="CO34" s="548"/>
      <c r="CP34" s="548"/>
      <c r="CQ34" s="548"/>
      <c r="CR34" s="548"/>
      <c r="CS34" s="548"/>
      <c r="CT34" s="548"/>
      <c r="CU34" s="548"/>
      <c r="CV34" s="548"/>
      <c r="CW34" s="548"/>
      <c r="CX34" s="548"/>
      <c r="CY34" s="548"/>
      <c r="CZ34" s="548"/>
      <c r="DA34" s="548"/>
      <c r="DB34" s="548"/>
      <c r="DC34" s="548"/>
      <c r="DD34" s="548"/>
      <c r="DE34" s="548"/>
      <c r="DF34" s="548"/>
      <c r="DG34" s="548"/>
      <c r="DH34" s="548"/>
      <c r="DI34" s="548"/>
      <c r="DJ34" s="548"/>
      <c r="DK34" s="548"/>
      <c r="DL34" s="548"/>
      <c r="DM34" s="548"/>
      <c r="DN34" s="548"/>
      <c r="DO34" s="548"/>
      <c r="DP34" s="548"/>
      <c r="DQ34" s="548"/>
      <c r="DR34" s="548"/>
      <c r="DS34" s="548"/>
      <c r="DT34" s="548"/>
      <c r="DU34" s="548"/>
      <c r="DV34" s="548"/>
      <c r="DW34" s="548"/>
      <c r="DX34" s="548"/>
      <c r="DY34" s="548"/>
      <c r="DZ34" s="548"/>
      <c r="EA34" s="548"/>
      <c r="EB34" s="548"/>
      <c r="EC34" s="548"/>
      <c r="ED34" s="548"/>
      <c r="EE34" s="548"/>
      <c r="EF34" s="548"/>
      <c r="EG34" s="548"/>
      <c r="EH34" s="548"/>
      <c r="EI34" s="548"/>
      <c r="EJ34" s="548"/>
      <c r="EK34" s="548"/>
      <c r="EL34" s="548"/>
      <c r="EM34" s="548"/>
      <c r="EN34" s="548"/>
      <c r="EO34" s="548"/>
      <c r="EP34" s="548"/>
      <c r="EQ34" s="548"/>
      <c r="ER34" s="548"/>
      <c r="ES34" s="548"/>
      <c r="ET34" s="548"/>
      <c r="EU34" s="548"/>
      <c r="EV34" s="548"/>
      <c r="EW34" s="548"/>
      <c r="EX34" s="548"/>
      <c r="EY34" s="548"/>
      <c r="EZ34" s="548"/>
      <c r="FA34" s="548"/>
      <c r="FB34" s="548"/>
      <c r="FC34" s="548"/>
      <c r="FD34" s="548"/>
      <c r="FE34" s="548"/>
      <c r="FF34" s="548"/>
      <c r="FG34" s="548"/>
      <c r="FH34" s="548"/>
      <c r="FI34" s="548"/>
      <c r="FJ34" s="548"/>
      <c r="FK34" s="548"/>
      <c r="FL34" s="548"/>
      <c r="FM34" s="548"/>
      <c r="FN34" s="548"/>
      <c r="FO34" s="548"/>
      <c r="FP34" s="548"/>
      <c r="FQ34" s="548"/>
      <c r="FR34" s="548"/>
      <c r="FS34" s="548"/>
      <c r="FT34" s="548"/>
      <c r="FU34" s="548"/>
      <c r="FV34" s="548"/>
      <c r="FW34" s="548"/>
      <c r="FX34" s="548"/>
      <c r="FY34" s="548"/>
      <c r="FZ34" s="548"/>
      <c r="GA34" s="548"/>
      <c r="GB34" s="548"/>
      <c r="GC34" s="548"/>
      <c r="GD34" s="548"/>
      <c r="GE34" s="548"/>
      <c r="GF34" s="548"/>
      <c r="GG34" s="548"/>
      <c r="GH34" s="548"/>
      <c r="GI34" s="548"/>
      <c r="GJ34" s="548"/>
      <c r="GK34" s="548"/>
      <c r="GL34" s="548"/>
      <c r="GM34" s="548"/>
      <c r="GN34" s="548"/>
      <c r="GO34" s="548"/>
      <c r="GP34" s="548"/>
      <c r="GQ34" s="548"/>
      <c r="GR34" s="548"/>
      <c r="GS34" s="548"/>
      <c r="GT34" s="548"/>
      <c r="GU34" s="548"/>
      <c r="GV34" s="548"/>
      <c r="GW34" s="548"/>
      <c r="GX34" s="548"/>
      <c r="GY34" s="548"/>
      <c r="GZ34" s="548"/>
      <c r="HA34" s="548"/>
      <c r="HB34" s="548"/>
      <c r="HC34" s="548"/>
      <c r="HD34" s="548"/>
      <c r="HE34" s="548"/>
      <c r="HF34" s="548"/>
      <c r="HG34" s="548"/>
      <c r="HH34" s="548"/>
      <c r="HI34" s="548"/>
      <c r="HJ34" s="548"/>
      <c r="HK34" s="548"/>
      <c r="HL34" s="548"/>
      <c r="HM34" s="548"/>
      <c r="HN34" s="548"/>
      <c r="HO34" s="548"/>
      <c r="HP34" s="548"/>
      <c r="HQ34" s="548"/>
      <c r="HR34" s="548"/>
      <c r="HS34" s="548"/>
      <c r="HT34" s="548"/>
      <c r="HU34" s="548"/>
      <c r="HV34" s="548"/>
      <c r="HW34" s="548"/>
      <c r="HX34" s="548"/>
      <c r="HY34" s="548"/>
      <c r="HZ34" s="548"/>
      <c r="IA34" s="548"/>
      <c r="IB34" s="548"/>
      <c r="IC34" s="548"/>
      <c r="ID34" s="548"/>
      <c r="IE34" s="548"/>
      <c r="IF34" s="548"/>
      <c r="IG34" s="548"/>
      <c r="IH34" s="548"/>
      <c r="II34" s="548"/>
      <c r="IJ34" s="548"/>
      <c r="IK34" s="548"/>
      <c r="IL34" s="548"/>
      <c r="IM34" s="548"/>
      <c r="IN34" s="548"/>
      <c r="IO34" s="548"/>
      <c r="IP34" s="548"/>
      <c r="IQ34" s="548"/>
      <c r="IR34" s="548"/>
      <c r="IS34" s="548"/>
      <c r="IT34" s="548"/>
      <c r="IU34" s="548"/>
      <c r="IV34" s="548"/>
      <c r="IW34" s="548"/>
    </row>
    <row r="35" customFormat="false" ht="12.75" hidden="false" customHeight="false" outlineLevel="0" collapsed="false">
      <c r="E35" s="42" t="n">
        <v>160</v>
      </c>
      <c r="F35" s="46" t="n">
        <f aca="false">11244</f>
        <v>11244</v>
      </c>
      <c r="G35" s="46" t="n">
        <f aca="false">$C$21*$C$23*($C$20*(1+$C$19))</f>
        <v>0</v>
      </c>
      <c r="H35" s="46" t="n">
        <f aca="false">G35+F35</f>
        <v>11244</v>
      </c>
      <c r="I35" s="1053" t="n">
        <f aca="false">G35/H35</f>
        <v>0</v>
      </c>
      <c r="J35" s="1054" t="n">
        <f aca="false">1-I35</f>
        <v>1</v>
      </c>
    </row>
    <row r="36" customFormat="false" ht="12.75" hidden="false" customHeight="false" outlineLevel="0" collapsed="false">
      <c r="E36" s="42" t="n">
        <v>170</v>
      </c>
      <c r="F36" s="46" t="n">
        <f aca="false">11244</f>
        <v>11244</v>
      </c>
      <c r="G36" s="46" t="n">
        <f aca="false">$C$21*$C$23*($C$20*(1+$C$19))</f>
        <v>0</v>
      </c>
      <c r="H36" s="46" t="n">
        <f aca="false">G36+F36</f>
        <v>11244</v>
      </c>
      <c r="I36" s="1053" t="n">
        <f aca="false">G36/H36</f>
        <v>0</v>
      </c>
      <c r="J36" s="1054" t="n">
        <f aca="false">1-I36</f>
        <v>1</v>
      </c>
    </row>
    <row r="37" customFormat="false" ht="12.75" hidden="false" customHeight="false" outlineLevel="0" collapsed="false">
      <c r="E37" s="42" t="n">
        <v>180</v>
      </c>
      <c r="F37" s="46" t="n">
        <f aca="false">15478</f>
        <v>15478</v>
      </c>
      <c r="G37" s="46" t="n">
        <f aca="false">$C$21*$C$23*($C$20*(1+$C$19))</f>
        <v>0</v>
      </c>
      <c r="H37" s="46" t="n">
        <f aca="false">G37+F37</f>
        <v>15478</v>
      </c>
      <c r="I37" s="1053" t="n">
        <f aca="false">G37/H37</f>
        <v>0</v>
      </c>
      <c r="J37" s="1054" t="n">
        <f aca="false">1-I37</f>
        <v>1</v>
      </c>
    </row>
    <row r="38" customFormat="false" ht="12.75" hidden="false" customHeight="false" outlineLevel="0" collapsed="false">
      <c r="E38" s="42" t="n">
        <v>190</v>
      </c>
      <c r="F38" s="46" t="n">
        <f aca="false">15478</f>
        <v>15478</v>
      </c>
      <c r="G38" s="46" t="n">
        <f aca="false">$C$21*$C$23*($C$20*(1+$C$19))</f>
        <v>0</v>
      </c>
      <c r="H38" s="46" t="n">
        <f aca="false">G38+F38</f>
        <v>15478</v>
      </c>
      <c r="I38" s="1053" t="n">
        <f aca="false">G38/H38</f>
        <v>0</v>
      </c>
      <c r="J38" s="1054" t="n">
        <f aca="false">1-I38</f>
        <v>1</v>
      </c>
    </row>
    <row r="39" customFormat="false" ht="12.75" hidden="false" customHeight="false" outlineLevel="0" collapsed="false">
      <c r="E39" s="42" t="n">
        <v>200</v>
      </c>
      <c r="F39" s="46" t="n">
        <f aca="false">15478</f>
        <v>15478</v>
      </c>
      <c r="G39" s="46" t="n">
        <f aca="false">$C$21*$C$23*($C$20*(1+$C$19))</f>
        <v>0</v>
      </c>
      <c r="H39" s="46" t="n">
        <f aca="false">G39+F39</f>
        <v>15478</v>
      </c>
      <c r="I39" s="1053" t="n">
        <f aca="false">G39/H39</f>
        <v>0</v>
      </c>
      <c r="J39" s="1054" t="n">
        <f aca="false">1-I39</f>
        <v>1</v>
      </c>
    </row>
    <row r="40" customFormat="false" ht="12.75" hidden="false" customHeight="false" outlineLevel="0" collapsed="false">
      <c r="E40" s="42" t="n">
        <v>210</v>
      </c>
      <c r="F40" s="46" t="n">
        <f aca="false">15478</f>
        <v>15478</v>
      </c>
      <c r="G40" s="46" t="n">
        <f aca="false">$C$21*$C$23*($C$20*(1+$C$19))</f>
        <v>0</v>
      </c>
      <c r="H40" s="46" t="n">
        <f aca="false">G40+F40</f>
        <v>15478</v>
      </c>
      <c r="I40" s="1053" t="n">
        <f aca="false">G40/H40</f>
        <v>0</v>
      </c>
      <c r="J40" s="1054" t="n">
        <f aca="false">1-I40</f>
        <v>1</v>
      </c>
    </row>
    <row r="41" customFormat="false" ht="12.75" hidden="false" customHeight="false" outlineLevel="0" collapsed="false">
      <c r="E41" s="42" t="n">
        <v>220</v>
      </c>
      <c r="F41" s="46" t="n">
        <f aca="false">15478</f>
        <v>15478</v>
      </c>
      <c r="G41" s="46" t="n">
        <f aca="false">$C$21*$C$23*($C$20*(1+$C$19))</f>
        <v>0</v>
      </c>
      <c r="H41" s="46" t="n">
        <f aca="false">G41+F41</f>
        <v>15478</v>
      </c>
      <c r="I41" s="1053" t="n">
        <f aca="false">G41/H41</f>
        <v>0</v>
      </c>
      <c r="J41" s="1054" t="n">
        <f aca="false">1-I41</f>
        <v>1</v>
      </c>
    </row>
    <row r="42" customFormat="false" ht="12.75" hidden="false" customHeight="false" outlineLevel="0" collapsed="false">
      <c r="E42" s="42" t="n">
        <v>230</v>
      </c>
      <c r="F42" s="46" t="n">
        <f aca="false">15478</f>
        <v>15478</v>
      </c>
      <c r="G42" s="46" t="n">
        <f aca="false">$C$21*$C$23*($C$20*(1+$C$19))</f>
        <v>0</v>
      </c>
      <c r="H42" s="46" t="n">
        <f aca="false">G42+F42</f>
        <v>15478</v>
      </c>
      <c r="I42" s="1053" t="n">
        <f aca="false">G42/H42</f>
        <v>0</v>
      </c>
      <c r="J42" s="1054" t="n">
        <f aca="false">1-I42</f>
        <v>1</v>
      </c>
    </row>
    <row r="43" customFormat="false" ht="12.75" hidden="false" customHeight="false" outlineLevel="0" collapsed="false">
      <c r="E43" s="42" t="n">
        <v>240</v>
      </c>
      <c r="F43" s="46" t="n">
        <f aca="false">18822</f>
        <v>18822</v>
      </c>
      <c r="G43" s="46" t="n">
        <f aca="false">$C$21*$C$23*($C$20*(1+$C$19))</f>
        <v>0</v>
      </c>
      <c r="H43" s="46" t="n">
        <f aca="false">G43+F43</f>
        <v>18822</v>
      </c>
      <c r="I43" s="1053" t="n">
        <f aca="false">G43/H43</f>
        <v>0</v>
      </c>
      <c r="J43" s="1054" t="n">
        <f aca="false">1-I43</f>
        <v>1</v>
      </c>
    </row>
    <row r="44" customFormat="false" ht="12.75" hidden="false" customHeight="false" outlineLevel="0" collapsed="false">
      <c r="E44" s="1058" t="n">
        <v>250</v>
      </c>
      <c r="F44" s="1059" t="n">
        <f aca="false">18822</f>
        <v>18822</v>
      </c>
      <c r="G44" s="1059" t="n">
        <f aca="false">$C$21*$C$23*($C$20*(1+$C$19))</f>
        <v>0</v>
      </c>
      <c r="H44" s="1059" t="n">
        <f aca="false">G44+F44</f>
        <v>18822</v>
      </c>
      <c r="I44" s="1060" t="n">
        <f aca="false">G44/H44</f>
        <v>0</v>
      </c>
      <c r="J44" s="1061" t="n">
        <f aca="false">1-I44</f>
        <v>1</v>
      </c>
    </row>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&amp;L&amp;D   &amp;T&amp;R&amp;F
&amp;A &amp;P</oddFooter>
  </headerFooter>
  <colBreaks count="1" manualBreakCount="1">
    <brk id="23" man="true" max="65535" min="0"/>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1.25" customHeight="true" zeroHeight="false" outlineLevelRow="1" outlineLevelCol="0"/>
  <cols>
    <col collapsed="false" customWidth="true" hidden="false" outlineLevel="0" max="1" min="1" style="1" width="39.41"/>
    <col collapsed="false" customWidth="true" hidden="false" outlineLevel="0" max="2" min="2" style="1" width="10.28"/>
    <col collapsed="false" customWidth="true" hidden="false" outlineLevel="0" max="3" min="3" style="1" width="14.41"/>
    <col collapsed="false" customWidth="true" hidden="false" outlineLevel="0" max="4" min="4" style="2" width="11.99"/>
    <col collapsed="false" customWidth="true" hidden="false" outlineLevel="0" max="5" min="5" style="2" width="11.42"/>
    <col collapsed="false" customWidth="true" hidden="false" outlineLevel="0" max="6" min="6" style="2" width="10.85"/>
    <col collapsed="false" customWidth="true" hidden="false" outlineLevel="0" max="7" min="7" style="2" width="11.7"/>
    <col collapsed="false" customWidth="true" hidden="false" outlineLevel="0" max="8" min="8" style="2" width="10.99"/>
    <col collapsed="false" customWidth="true" hidden="false" outlineLevel="0" max="9" min="9" style="2" width="11.13"/>
    <col collapsed="false" customWidth="true" hidden="false" outlineLevel="0" max="10" min="10" style="2" width="11.42"/>
    <col collapsed="false" customWidth="true" hidden="false" outlineLevel="0" max="12" min="11" style="2" width="10.99"/>
    <col collapsed="false" customWidth="true" hidden="false" outlineLevel="0" max="13" min="13" style="2" width="11.42"/>
    <col collapsed="false" customWidth="true" hidden="false" outlineLevel="0" max="15" min="14" style="2" width="11.13"/>
    <col collapsed="false" customWidth="true" hidden="false" outlineLevel="0" max="16" min="16" style="2" width="11.56"/>
    <col collapsed="false" customWidth="true" hidden="false" outlineLevel="0" max="17" min="17" style="2" width="11.42"/>
    <col collapsed="false" customWidth="true" hidden="false" outlineLevel="0" max="18" min="18" style="2" width="11.13"/>
    <col collapsed="false" customWidth="true" hidden="false" outlineLevel="0" max="20" min="19" style="2" width="11.56"/>
    <col collapsed="false" customWidth="true" hidden="false" outlineLevel="0" max="22" min="21" style="2" width="11.42"/>
    <col collapsed="false" customWidth="true" hidden="false" outlineLevel="0" max="23" min="23" style="2" width="11.56"/>
    <col collapsed="false" customWidth="true" hidden="false" outlineLevel="0" max="24" min="24" style="2" width="11.7"/>
    <col collapsed="false" customWidth="true" hidden="false" outlineLevel="0" max="25" min="25" style="2" width="10.99"/>
    <col collapsed="false" customWidth="true" hidden="false" outlineLevel="0" max="26" min="26" style="2" width="11.42"/>
    <col collapsed="false" customWidth="false" hidden="false" outlineLevel="0" max="257" min="27" style="2" width="9.14"/>
  </cols>
  <sheetData>
    <row r="1" customFormat="false" ht="20.25" hidden="false" customHeight="false" outlineLevel="0" collapsed="false">
      <c r="A1" s="3" t="str">
        <f aca="false">'Project Assumptions'!A2:N2</f>
        <v>CALEDONIA, Lowndes County, MS</v>
      </c>
    </row>
    <row r="2" customFormat="false" ht="19.5" hidden="false" customHeight="false" outlineLevel="0" collapsed="false">
      <c r="A2" s="4" t="s">
        <v>0</v>
      </c>
      <c r="B2" s="5"/>
      <c r="C2" s="5"/>
      <c r="D2" s="0"/>
      <c r="E2" s="0"/>
      <c r="F2" s="0"/>
      <c r="G2" s="0"/>
      <c r="H2" s="0"/>
      <c r="I2" s="0"/>
      <c r="J2" s="0"/>
      <c r="K2" s="0"/>
      <c r="L2" s="0"/>
      <c r="M2" s="0"/>
      <c r="N2" s="0"/>
      <c r="O2" s="0"/>
      <c r="P2" s="0"/>
      <c r="Q2" s="0"/>
      <c r="R2" s="0"/>
      <c r="S2" s="0"/>
      <c r="T2" s="0"/>
      <c r="U2" s="0"/>
      <c r="V2" s="0"/>
      <c r="W2" s="0"/>
      <c r="X2" s="0"/>
      <c r="Y2" s="0"/>
      <c r="Z2" s="0"/>
      <c r="AA2" s="0"/>
      <c r="AB2" s="0"/>
      <c r="AC2" s="0"/>
      <c r="AD2" s="0"/>
      <c r="AE2" s="0"/>
      <c r="AF2" s="0"/>
      <c r="AG2" s="0"/>
    </row>
    <row r="3" customFormat="false" ht="19.5" hidden="false" customHeight="false" outlineLevel="0" collapsed="false">
      <c r="A3" s="4"/>
      <c r="B3" s="5"/>
      <c r="C3" s="5"/>
      <c r="D3" s="0"/>
      <c r="E3" s="0"/>
      <c r="F3" s="0"/>
      <c r="G3" s="0"/>
      <c r="H3" s="0"/>
      <c r="I3" s="0"/>
      <c r="J3" s="0"/>
      <c r="K3" s="0"/>
      <c r="L3" s="0"/>
      <c r="M3" s="0"/>
      <c r="N3" s="0"/>
      <c r="O3" s="0"/>
      <c r="P3" s="0"/>
      <c r="Q3" s="0"/>
      <c r="R3" s="0"/>
      <c r="S3" s="0"/>
      <c r="T3" s="0"/>
      <c r="U3" s="0"/>
      <c r="V3" s="0"/>
      <c r="W3" s="0"/>
      <c r="X3" s="0"/>
      <c r="Y3" s="0"/>
      <c r="Z3" s="0"/>
      <c r="AA3" s="0"/>
      <c r="AB3" s="0"/>
      <c r="AC3" s="0"/>
      <c r="AD3" s="0"/>
      <c r="AE3" s="0"/>
      <c r="AF3" s="0"/>
      <c r="AG3" s="0"/>
    </row>
    <row r="4" customFormat="false" ht="12.75" hidden="false" customHeight="false" outlineLevel="0" collapsed="false">
      <c r="A4" s="6" t="s">
        <v>1</v>
      </c>
      <c r="B4" s="5"/>
      <c r="C4" s="5"/>
      <c r="D4" s="0"/>
      <c r="E4" s="0"/>
      <c r="F4" s="0"/>
      <c r="G4" s="0"/>
      <c r="H4" s="0"/>
      <c r="I4" s="0"/>
      <c r="J4" s="0"/>
      <c r="K4" s="0"/>
      <c r="L4" s="0"/>
      <c r="M4" s="0"/>
      <c r="N4" s="0"/>
      <c r="O4" s="0"/>
      <c r="P4" s="0"/>
      <c r="Q4" s="0"/>
      <c r="R4" s="0"/>
      <c r="S4" s="0"/>
      <c r="T4" s="0"/>
      <c r="U4" s="0"/>
      <c r="V4" s="0"/>
      <c r="W4" s="0"/>
      <c r="X4" s="0"/>
      <c r="Y4" s="0"/>
      <c r="Z4" s="0"/>
      <c r="AA4" s="0"/>
      <c r="AB4" s="0"/>
      <c r="AC4" s="0"/>
      <c r="AD4" s="0"/>
      <c r="AE4" s="0"/>
      <c r="AF4" s="0"/>
      <c r="AG4" s="0"/>
    </row>
    <row r="5" customFormat="false" ht="12.75" hidden="false" customHeight="false" outlineLevel="0" collapsed="false">
      <c r="A5" s="7" t="s">
        <v>2</v>
      </c>
      <c r="B5" s="8" t="n">
        <f aca="false">'Project Assumptions'!I70</f>
        <v>36638.7442658832</v>
      </c>
      <c r="C5" s="5"/>
      <c r="D5" s="0"/>
      <c r="E5" s="0"/>
      <c r="F5" s="0"/>
      <c r="G5" s="0"/>
      <c r="H5" s="0"/>
      <c r="I5" s="0"/>
      <c r="J5" s="0"/>
      <c r="K5" s="0"/>
      <c r="L5" s="0"/>
      <c r="M5" s="0"/>
      <c r="N5" s="0"/>
      <c r="O5" s="0"/>
      <c r="P5" s="0"/>
      <c r="Q5" s="0"/>
      <c r="R5" s="0"/>
      <c r="S5" s="0"/>
      <c r="T5" s="0"/>
      <c r="U5" s="0"/>
      <c r="V5" s="0"/>
      <c r="W5" s="0"/>
      <c r="X5" s="0"/>
      <c r="Y5" s="0"/>
      <c r="Z5" s="0"/>
      <c r="AA5" s="0"/>
      <c r="AB5" s="0"/>
      <c r="AC5" s="0"/>
      <c r="AD5" s="0"/>
      <c r="AE5" s="0"/>
      <c r="AF5" s="0"/>
      <c r="AG5" s="0"/>
    </row>
    <row r="6" customFormat="false" ht="12.75" hidden="false" customHeight="true" outlineLevel="0" collapsed="false">
      <c r="A6" s="9" t="s">
        <v>3</v>
      </c>
      <c r="B6" s="10" t="n">
        <f aca="false">'Project Assumptions'!G70</f>
        <v>66435.3805460922</v>
      </c>
      <c r="C6" s="5"/>
      <c r="D6" s="0"/>
      <c r="E6" s="0"/>
      <c r="F6" s="0"/>
      <c r="G6" s="0"/>
      <c r="H6" s="0"/>
      <c r="I6" s="0"/>
      <c r="J6" s="0"/>
      <c r="K6" s="0"/>
      <c r="L6" s="0"/>
      <c r="M6" s="0"/>
      <c r="N6" s="0"/>
      <c r="O6" s="0"/>
      <c r="P6" s="0"/>
      <c r="Q6" s="0"/>
      <c r="R6" s="0"/>
      <c r="S6" s="0"/>
      <c r="T6" s="0"/>
      <c r="U6" s="0"/>
      <c r="V6" s="0"/>
      <c r="W6" s="0"/>
      <c r="X6" s="0"/>
      <c r="Y6" s="0"/>
      <c r="Z6" s="0"/>
      <c r="AA6" s="0"/>
      <c r="AB6" s="0"/>
      <c r="AC6" s="0"/>
      <c r="AD6" s="0"/>
      <c r="AE6" s="0"/>
      <c r="AF6" s="0"/>
      <c r="AG6" s="0"/>
    </row>
    <row r="7" customFormat="false" ht="15" hidden="false" customHeight="true" outlineLevel="0" collapsed="false">
      <c r="A7" s="11" t="s">
        <v>4</v>
      </c>
      <c r="B7" s="12" t="s">
        <v>5</v>
      </c>
      <c r="C7" s="12" t="s">
        <v>6</v>
      </c>
      <c r="D7" s="13" t="n">
        <f aca="false">'PPA Assumptions &amp; Summary'!C5</f>
        <v>1999</v>
      </c>
      <c r="E7" s="14" t="n">
        <f aca="false">'PPA Assumptions &amp; Summary'!D5</f>
        <v>2000</v>
      </c>
      <c r="F7" s="14" t="n">
        <f aca="false">'PPA Assumptions &amp; Summary'!E5</f>
        <v>2001</v>
      </c>
      <c r="G7" s="14" t="n">
        <f aca="false">'PPA Assumptions &amp; Summary'!F5</f>
        <v>2002</v>
      </c>
      <c r="H7" s="14" t="n">
        <f aca="false">'PPA Assumptions &amp; Summary'!G5</f>
        <v>2003</v>
      </c>
      <c r="I7" s="14" t="n">
        <f aca="false">'PPA Assumptions &amp; Summary'!H5</f>
        <v>2004</v>
      </c>
      <c r="J7" s="14" t="n">
        <f aca="false">'PPA Assumptions &amp; Summary'!I5</f>
        <v>2005</v>
      </c>
      <c r="K7" s="14" t="n">
        <f aca="false">'PPA Assumptions &amp; Summary'!J5</f>
        <v>2006</v>
      </c>
      <c r="L7" s="14" t="n">
        <f aca="false">'PPA Assumptions &amp; Summary'!K5</f>
        <v>2007</v>
      </c>
      <c r="M7" s="14" t="n">
        <f aca="false">'PPA Assumptions &amp; Summary'!L5</f>
        <v>2008</v>
      </c>
      <c r="N7" s="14" t="n">
        <f aca="false">'PPA Assumptions &amp; Summary'!M5</f>
        <v>2009</v>
      </c>
      <c r="O7" s="15" t="n">
        <f aca="false">'PPA Assumptions &amp; Summary'!N5</f>
        <v>2010</v>
      </c>
      <c r="P7" s="16" t="n">
        <f aca="false">'PPA Assumptions &amp; Summary'!O5</f>
        <v>2011</v>
      </c>
      <c r="Q7" s="16" t="n">
        <f aca="false">'PPA Assumptions &amp; Summary'!P5</f>
        <v>2012</v>
      </c>
      <c r="R7" s="16" t="n">
        <f aca="false">'PPA Assumptions &amp; Summary'!Q5</f>
        <v>2013</v>
      </c>
      <c r="S7" s="16" t="n">
        <f aca="false">'PPA Assumptions &amp; Summary'!R5</f>
        <v>2014</v>
      </c>
      <c r="T7" s="16" t="n">
        <f aca="false">'PPA Assumptions &amp; Summary'!S5</f>
        <v>2015</v>
      </c>
      <c r="U7" s="16" t="n">
        <f aca="false">'PPA Assumptions &amp; Summary'!T5</f>
        <v>2016</v>
      </c>
      <c r="V7" s="16" t="n">
        <f aca="false">'PPA Assumptions &amp; Summary'!U5</f>
        <v>2017</v>
      </c>
      <c r="W7" s="16" t="n">
        <f aca="false">'PPA Assumptions &amp; Summary'!V5</f>
        <v>2018</v>
      </c>
      <c r="X7" s="16" t="n">
        <f aca="false">'PPA Assumptions &amp; Summary'!W5</f>
        <v>2019</v>
      </c>
      <c r="Y7" s="16" t="n">
        <f aca="false">'PPA Assumptions &amp; Summary'!X5</f>
        <v>2020</v>
      </c>
      <c r="Z7" s="0"/>
      <c r="AA7" s="0"/>
      <c r="AB7" s="0"/>
      <c r="AC7" s="0"/>
      <c r="AD7" s="0"/>
      <c r="AE7" s="0"/>
      <c r="AF7" s="0"/>
      <c r="AG7" s="0"/>
    </row>
    <row r="8" customFormat="false" ht="11.25" hidden="false" customHeight="true" outlineLevel="0" collapsed="false">
      <c r="A8" s="11" t="s">
        <v>7</v>
      </c>
      <c r="B8" s="17" t="n">
        <f aca="false">NPV(0.1,D8:Y8)</f>
        <v>418867.165581224</v>
      </c>
      <c r="C8" s="17" t="n">
        <v>0</v>
      </c>
      <c r="D8" s="18" t="n">
        <f aca="false">'Book Income Statement'!D17</f>
        <v>26898.21696</v>
      </c>
      <c r="E8" s="19" t="n">
        <f aca="false">'Book Income Statement'!E17</f>
        <v>40079.9158149774</v>
      </c>
      <c r="F8" s="19" t="n">
        <f aca="false">'Book Income Statement'!F17</f>
        <v>40673.1613422172</v>
      </c>
      <c r="G8" s="19" t="n">
        <f aca="false">'Book Income Statement'!G17</f>
        <v>40731.6409776837</v>
      </c>
      <c r="H8" s="19" t="n">
        <f aca="false">'Book Income Statement'!H17</f>
        <v>47605.8401142549</v>
      </c>
      <c r="I8" s="19" t="n">
        <f aca="false">'Book Income Statement'!I17</f>
        <v>52769.7658852343</v>
      </c>
      <c r="J8" s="19" t="n">
        <f aca="false">'Book Income Statement'!J17</f>
        <v>53213.7751206579</v>
      </c>
      <c r="K8" s="19" t="n">
        <f aca="false">'Book Income Statement'!K17</f>
        <v>53653.2595037859</v>
      </c>
      <c r="L8" s="19" t="n">
        <f aca="false">'Book Income Statement'!L17</f>
        <v>54718.6111930403</v>
      </c>
      <c r="M8" s="19" t="n">
        <f aca="false">'Book Income Statement'!M17</f>
        <v>55165.9282773646</v>
      </c>
      <c r="N8" s="19" t="n">
        <f aca="false">'Book Income Statement'!N17</f>
        <v>56276.6600298264</v>
      </c>
      <c r="O8" s="20" t="n">
        <f aca="false">'Book Income Statement'!O17</f>
        <v>56731.1338742778</v>
      </c>
      <c r="P8" s="21" t="n">
        <f aca="false">'Book Income Statement'!P17</f>
        <v>57888.821794647</v>
      </c>
      <c r="Q8" s="21" t="n">
        <f aca="false">'Book Income Statement'!Q17</f>
        <v>58349.6650785334</v>
      </c>
      <c r="R8" s="21" t="n">
        <f aca="false">'Book Income Statement'!R17</f>
        <v>58802.3864027137</v>
      </c>
      <c r="S8" s="21" t="n">
        <f aca="false">'Book Income Statement'!S17</f>
        <v>59246.0836906499</v>
      </c>
      <c r="T8" s="21" t="n">
        <f aca="false">'Book Income Statement'!T17</f>
        <v>59679.8080509756</v>
      </c>
      <c r="U8" s="21" t="n">
        <f aca="false">'Book Income Statement'!U17</f>
        <v>60102.561780475</v>
      </c>
      <c r="V8" s="21" t="n">
        <f aca="false">'Book Income Statement'!V17</f>
        <v>60513.2962893742</v>
      </c>
      <c r="W8" s="21" t="n">
        <f aca="false">'Book Income Statement'!W17</f>
        <v>60910.9099460808</v>
      </c>
      <c r="X8" s="21" t="n">
        <f aca="false">'Book Income Statement'!X17</f>
        <v>61294.2458384051</v>
      </c>
      <c r="Y8" s="21" t="n">
        <f aca="false">'Book Income Statement'!Y17</f>
        <v>0</v>
      </c>
      <c r="Z8" s="0"/>
      <c r="AA8" s="0"/>
      <c r="AB8" s="0"/>
      <c r="AC8" s="0"/>
      <c r="AD8" s="0"/>
      <c r="AE8" s="0"/>
      <c r="AF8" s="0"/>
      <c r="AG8" s="0"/>
    </row>
    <row r="9" customFormat="false" ht="12.75" hidden="false" customHeight="false" outlineLevel="1" collapsed="false">
      <c r="A9" s="22" t="s">
        <v>8</v>
      </c>
      <c r="B9" s="17" t="n">
        <f aca="false">NPV(0.1,D9:Y9)</f>
        <v>196948.664417693</v>
      </c>
      <c r="C9" s="17" t="n">
        <v>0</v>
      </c>
      <c r="D9" s="18" t="n">
        <f aca="false">'Book Income Statement'!D58</f>
        <v>18832.9004385294</v>
      </c>
      <c r="E9" s="19" t="n">
        <f aca="false">'Book Income Statement'!E58</f>
        <v>20844.4875250162</v>
      </c>
      <c r="F9" s="19" t="n">
        <f aca="false">'Book Income Statement'!F58</f>
        <v>21182.1810764772</v>
      </c>
      <c r="G9" s="19" t="n">
        <f aca="false">'Book Income Statement'!G58</f>
        <v>21286.7750033754</v>
      </c>
      <c r="H9" s="19" t="n">
        <f aca="false">'Book Income Statement'!H58</f>
        <v>22536.0463842908</v>
      </c>
      <c r="I9" s="19" t="n">
        <f aca="false">'Book Income Statement'!I58</f>
        <v>23320.5626520514</v>
      </c>
      <c r="J9" s="19" t="n">
        <f aca="false">'Book Income Statement'!J58</f>
        <v>23450.0509547692</v>
      </c>
      <c r="K9" s="19" t="n">
        <f aca="false">'Book Income Statement'!K58</f>
        <v>23578.209624988</v>
      </c>
      <c r="L9" s="19" t="n">
        <f aca="false">'Book Income Statement'!L58</f>
        <v>23710.7122950392</v>
      </c>
      <c r="M9" s="19" t="n">
        <f aca="false">'Book Income Statement'!M58</f>
        <v>23847.6892849177</v>
      </c>
      <c r="N9" s="19" t="n">
        <f aca="false">'Book Income Statement'!N58</f>
        <v>23983.7277161539</v>
      </c>
      <c r="O9" s="20" t="n">
        <f aca="false">'Book Income Statement'!O58</f>
        <v>24923.2965145665</v>
      </c>
      <c r="P9" s="21" t="n">
        <f aca="false">'Book Income Statement'!P58</f>
        <v>25007.9527730813</v>
      </c>
      <c r="Q9" s="21" t="n">
        <f aca="false">'Book Income Statement'!Q58</f>
        <v>25081.0035937873</v>
      </c>
      <c r="R9" s="21" t="n">
        <f aca="false">'Book Income Statement'!R58</f>
        <v>25159.2413774693</v>
      </c>
      <c r="S9" s="21" t="n">
        <f aca="false">'Book Income Statement'!S58</f>
        <v>25242.8217330166</v>
      </c>
      <c r="T9" s="21" t="n">
        <f aca="false">'Book Income Statement'!T58</f>
        <v>25298.6222891987</v>
      </c>
      <c r="U9" s="21" t="n">
        <f aca="false">'Book Income Statement'!U58</f>
        <v>25343.4494556795</v>
      </c>
      <c r="V9" s="21" t="n">
        <f aca="false">'Book Income Statement'!V58</f>
        <v>25394.1145946869</v>
      </c>
      <c r="W9" s="21" t="n">
        <f aca="false">'Book Income Statement'!W58</f>
        <v>25550.6407905555</v>
      </c>
      <c r="X9" s="21" t="n">
        <f aca="false">'Book Income Statement'!X58</f>
        <v>25763.2844640571</v>
      </c>
      <c r="Y9" s="21" t="n">
        <f aca="false">'Book Income Statement'!Y58</f>
        <v>0</v>
      </c>
      <c r="Z9" s="0"/>
      <c r="AA9" s="0"/>
      <c r="AB9" s="0"/>
      <c r="AC9" s="0"/>
      <c r="AD9" s="0"/>
      <c r="AE9" s="0"/>
      <c r="AF9" s="0"/>
      <c r="AG9" s="0"/>
    </row>
    <row r="10" customFormat="false" ht="12.75" hidden="false" customHeight="false" outlineLevel="1" collapsed="false">
      <c r="A10" s="22" t="s">
        <v>9</v>
      </c>
      <c r="B10" s="17" t="n">
        <f aca="false">NPV(0.1,D10:Y10)</f>
        <v>80334.9203993004</v>
      </c>
      <c r="C10" s="17" t="n">
        <v>0</v>
      </c>
      <c r="D10" s="18" t="n">
        <f aca="false">'Book Income Statement'!D72</f>
        <v>-1929.19038492515</v>
      </c>
      <c r="E10" s="19" t="n">
        <f aca="false">'Book Income Statement'!E72</f>
        <v>3368.36667856417</v>
      </c>
      <c r="F10" s="19" t="n">
        <f aca="false">'Book Income Statement'!F72</f>
        <v>3692.95689692064</v>
      </c>
      <c r="G10" s="19" t="n">
        <f aca="false">'Book Income Statement'!G72</f>
        <v>3942.99349017459</v>
      </c>
      <c r="H10" s="19" t="n">
        <f aca="false">'Book Income Statement'!H72</f>
        <v>7820.30693470598</v>
      </c>
      <c r="I10" s="19" t="n">
        <f aca="false">'Book Income Statement'!I72</f>
        <v>10941.5023548466</v>
      </c>
      <c r="J10" s="19" t="n">
        <f aca="false">'Book Income Statement'!J72</f>
        <v>11583.4168255417</v>
      </c>
      <c r="K10" s="19" t="n">
        <f aca="false">'Book Income Statement'!K72</f>
        <v>12037.9746887847</v>
      </c>
      <c r="L10" s="19" t="n">
        <f aca="false">'Book Income Statement'!L72</f>
        <v>12881.1205766846</v>
      </c>
      <c r="M10" s="19" t="n">
        <f aca="false">'Book Income Statement'!M72</f>
        <v>13498.332275584</v>
      </c>
      <c r="N10" s="19" t="n">
        <f aca="false">'Book Income Statement'!N72</f>
        <v>14644.7588090139</v>
      </c>
      <c r="O10" s="20" t="n">
        <f aca="false">'Book Income Statement'!O72</f>
        <v>14470.323184767</v>
      </c>
      <c r="P10" s="21" t="n">
        <f aca="false">'Book Income Statement'!P72</f>
        <v>15302.271244727</v>
      </c>
      <c r="Q10" s="21" t="n">
        <f aca="false">'Book Income Statement'!Q72</f>
        <v>15705.7949094411</v>
      </c>
      <c r="R10" s="21" t="n">
        <f aca="false">'Book Income Statement'!R72</f>
        <v>16100.997586152</v>
      </c>
      <c r="S10" s="21" t="n">
        <f aca="false">'Book Income Statement'!S72</f>
        <v>16487.217990099</v>
      </c>
      <c r="T10" s="21" t="n">
        <f aca="false">'Book Income Statement'!T72</f>
        <v>16884.5715841459</v>
      </c>
      <c r="U10" s="21" t="n">
        <f aca="false">'Book Income Statement'!U72</f>
        <v>17442.9954487182</v>
      </c>
      <c r="V10" s="21" t="n">
        <f aca="false">'Book Income Statement'!V72</f>
        <v>18054.6820795753</v>
      </c>
      <c r="W10" s="21" t="n">
        <f aca="false">'Book Income Statement'!W72</f>
        <v>18688.6201173561</v>
      </c>
      <c r="X10" s="21" t="n">
        <f aca="false">'Book Income Statement'!X72</f>
        <v>19358.9638252515</v>
      </c>
      <c r="Y10" s="21" t="n">
        <f aca="false">'Book Income Statement'!Y72</f>
        <v>0</v>
      </c>
      <c r="Z10" s="0"/>
      <c r="AA10" s="0"/>
      <c r="AB10" s="0"/>
      <c r="AC10" s="0"/>
      <c r="AD10" s="0"/>
      <c r="AE10" s="0"/>
      <c r="AF10" s="0"/>
      <c r="AG10" s="0"/>
    </row>
    <row r="11" customFormat="false" ht="12.75" hidden="false" customHeight="false" outlineLevel="1" collapsed="false">
      <c r="A11" s="22" t="s">
        <v>10</v>
      </c>
      <c r="B11" s="17" t="n">
        <f aca="false">NPV(0.1,D11:Y11)</f>
        <v>83715.6773073267</v>
      </c>
      <c r="C11" s="17" t="n">
        <v>0</v>
      </c>
      <c r="D11" s="23" t="n">
        <f aca="false">'Cash Flow Statement'!D22</f>
        <v>-5718.33482201103</v>
      </c>
      <c r="E11" s="24" t="n">
        <f aca="false">'Cash Flow Statement'!E22</f>
        <v>3459.97284195981</v>
      </c>
      <c r="F11" s="24" t="n">
        <f aca="false">'Cash Flow Statement'!F22</f>
        <v>4731.46710293299</v>
      </c>
      <c r="G11" s="24" t="n">
        <f aca="false">'Cash Flow Statement'!G22</f>
        <v>3389.98466285842</v>
      </c>
      <c r="H11" s="24" t="n">
        <f aca="false">'Cash Flow Statement'!H22</f>
        <v>13139.5347754599</v>
      </c>
      <c r="I11" s="24" t="n">
        <f aca="false">'Cash Flow Statement'!I22</f>
        <v>16843.5536218872</v>
      </c>
      <c r="J11" s="24" t="n">
        <f aca="false">'Cash Flow Statement'!J22</f>
        <v>12517.027147933</v>
      </c>
      <c r="K11" s="24" t="n">
        <f aca="false">'Cash Flow Statement'!K22</f>
        <v>12967.9864798995</v>
      </c>
      <c r="L11" s="24" t="n">
        <f aca="false">'Cash Flow Statement'!L22</f>
        <v>10312.7117910115</v>
      </c>
      <c r="M11" s="24" t="n">
        <f aca="false">'Cash Flow Statement'!M22</f>
        <v>8551.3940666988</v>
      </c>
      <c r="N11" s="24" t="n">
        <f aca="false">'Cash Flow Statement'!N22</f>
        <v>18418.6529152764</v>
      </c>
      <c r="O11" s="25" t="n">
        <f aca="false">'Cash Flow Statement'!O22</f>
        <v>18410.8714290889</v>
      </c>
      <c r="P11" s="21" t="n">
        <f aca="false">'Cash Flow Statement'!P22</f>
        <v>18377.3971622813</v>
      </c>
      <c r="Q11" s="21" t="n">
        <f aca="false">'Cash Flow Statement'!Q22</f>
        <v>18769.9000795902</v>
      </c>
      <c r="R11" s="21" t="n">
        <f aca="false">'Cash Flow Statement'!R22</f>
        <v>19159.4821795131</v>
      </c>
      <c r="S11" s="21" t="n">
        <f aca="false">'Cash Flow Statement'!S22</f>
        <v>17853.6664310001</v>
      </c>
      <c r="T11" s="21" t="n">
        <f aca="false">'Cash Flow Statement'!T22</f>
        <v>13303.2147242007</v>
      </c>
      <c r="U11" s="21" t="n">
        <f aca="false">'Cash Flow Statement'!U22</f>
        <v>12535.6460145798</v>
      </c>
      <c r="V11" s="21" t="n">
        <f aca="false">'Cash Flow Statement'!V22</f>
        <v>11234.0826454369</v>
      </c>
      <c r="W11" s="21" t="n">
        <f aca="false">'Cash Flow Statement'!W22</f>
        <v>10692.3686283766</v>
      </c>
      <c r="X11" s="21" t="n">
        <f aca="false">'Cash Flow Statement'!X22</f>
        <v>22214.6232567682</v>
      </c>
      <c r="Y11" s="21" t="n">
        <f aca="false">'Cash Flow Statement'!Y22</f>
        <v>0</v>
      </c>
      <c r="Z11" s="0"/>
      <c r="AA11" s="0"/>
      <c r="AB11" s="0"/>
      <c r="AC11" s="0"/>
      <c r="AD11" s="0"/>
      <c r="AE11" s="0"/>
      <c r="AF11" s="0"/>
      <c r="AG11" s="0"/>
    </row>
    <row r="12" customFormat="false" ht="12.75" hidden="false" customHeight="false" outlineLevel="1" collapsed="false">
      <c r="A12" s="26"/>
      <c r="B12" s="5"/>
      <c r="C12" s="5"/>
      <c r="D12" s="0"/>
      <c r="E12" s="0"/>
      <c r="F12" s="0"/>
      <c r="G12" s="0"/>
      <c r="H12" s="0"/>
      <c r="I12" s="0"/>
      <c r="J12" s="0"/>
      <c r="K12" s="0"/>
      <c r="L12" s="0"/>
      <c r="M12" s="0"/>
      <c r="N12" s="0"/>
      <c r="O12" s="0"/>
      <c r="P12" s="0"/>
      <c r="Q12" s="0"/>
      <c r="R12" s="0"/>
      <c r="S12" s="0"/>
      <c r="T12" s="0"/>
      <c r="U12" s="0"/>
      <c r="V12" s="0"/>
      <c r="W12" s="0"/>
      <c r="X12" s="0"/>
      <c r="Y12" s="0"/>
      <c r="Z12" s="0"/>
      <c r="AA12" s="0"/>
      <c r="AB12" s="0"/>
      <c r="AC12" s="0"/>
      <c r="AD12" s="0"/>
      <c r="AE12" s="0"/>
      <c r="AF12" s="0"/>
      <c r="AG12" s="0"/>
    </row>
    <row r="13" customFormat="false" ht="12.75" hidden="false" customHeight="false" outlineLevel="1" collapsed="false">
      <c r="A13" s="26" t="s">
        <v>11</v>
      </c>
      <c r="B13" s="5"/>
      <c r="C13" s="5"/>
      <c r="D13" s="0"/>
      <c r="E13" s="0"/>
      <c r="F13" s="0"/>
      <c r="G13" s="0"/>
      <c r="H13" s="0"/>
      <c r="I13" s="0"/>
      <c r="J13" s="0"/>
      <c r="K13" s="0"/>
      <c r="L13" s="0"/>
      <c r="M13" s="0"/>
      <c r="N13" s="0"/>
      <c r="O13" s="0"/>
      <c r="P13" s="0"/>
      <c r="Q13" s="0"/>
      <c r="R13" s="0"/>
      <c r="S13" s="0"/>
      <c r="T13" s="0"/>
      <c r="U13" s="0"/>
      <c r="V13" s="0"/>
      <c r="W13" s="0"/>
      <c r="X13" s="0"/>
      <c r="Y13" s="0"/>
      <c r="Z13" s="0"/>
      <c r="AA13" s="0"/>
      <c r="AB13" s="0"/>
      <c r="AC13" s="0"/>
      <c r="AD13" s="0"/>
      <c r="AE13" s="0"/>
      <c r="AF13" s="0"/>
      <c r="AG13" s="0"/>
    </row>
    <row r="14" customFormat="false" ht="12.75" hidden="false" customHeight="false" outlineLevel="1" collapsed="false">
      <c r="A14" s="5"/>
      <c r="B14" s="5"/>
      <c r="C14" s="5"/>
      <c r="D14" s="0"/>
      <c r="E14" s="0"/>
      <c r="F14" s="0"/>
      <c r="G14" s="0"/>
      <c r="H14" s="0"/>
      <c r="I14" s="0"/>
      <c r="J14" s="0"/>
      <c r="K14" s="0"/>
      <c r="L14" s="0"/>
      <c r="M14" s="0"/>
      <c r="N14" s="0"/>
      <c r="O14" s="0"/>
      <c r="P14" s="0"/>
      <c r="Q14" s="0"/>
      <c r="R14" s="0"/>
      <c r="S14" s="0"/>
      <c r="T14" s="0"/>
      <c r="U14" s="0"/>
      <c r="V14" s="0"/>
      <c r="W14" s="0"/>
      <c r="X14" s="0"/>
      <c r="Y14" s="0"/>
      <c r="Z14" s="0"/>
      <c r="AA14" s="0"/>
      <c r="AB14" s="0"/>
      <c r="AC14" s="0"/>
      <c r="AD14" s="0"/>
      <c r="AE14" s="0"/>
      <c r="AF14" s="0"/>
      <c r="AG14" s="0"/>
    </row>
    <row r="15" customFormat="false" ht="12.75" hidden="false" customHeight="false" outlineLevel="1" collapsed="false">
      <c r="A15" s="7" t="s">
        <v>2</v>
      </c>
      <c r="B15" s="8" t="n">
        <f aca="false">'[2]Project Assumptions'!$I$64</f>
        <v>36532.4580629093</v>
      </c>
      <c r="C15" s="5" t="s">
        <v>12</v>
      </c>
      <c r="D15" s="0"/>
      <c r="E15" s="0"/>
      <c r="F15" s="0"/>
      <c r="G15" s="0"/>
      <c r="H15" s="0"/>
      <c r="I15" s="0"/>
      <c r="J15" s="0"/>
      <c r="K15" s="0"/>
      <c r="L15" s="0"/>
      <c r="M15" s="0"/>
      <c r="N15" s="0"/>
      <c r="O15" s="0"/>
      <c r="P15" s="0"/>
      <c r="Q15" s="0"/>
      <c r="R15" s="0"/>
      <c r="S15" s="0"/>
      <c r="T15" s="0"/>
      <c r="U15" s="0"/>
      <c r="V15" s="0"/>
      <c r="W15" s="0"/>
      <c r="X15" s="0"/>
      <c r="Y15" s="0"/>
      <c r="Z15" s="0"/>
      <c r="AA15" s="0"/>
      <c r="AB15" s="0"/>
      <c r="AC15" s="0"/>
      <c r="AD15" s="0"/>
      <c r="AE15" s="0"/>
      <c r="AF15" s="0"/>
      <c r="AG15" s="0"/>
    </row>
    <row r="16" customFormat="false" ht="12.75" hidden="false" customHeight="false" outlineLevel="1" collapsed="false">
      <c r="A16" s="9" t="s">
        <v>3</v>
      </c>
      <c r="B16" s="27" t="n">
        <v>71451.1178670968</v>
      </c>
      <c r="C16" s="5"/>
      <c r="D16" s="0"/>
      <c r="E16" s="0"/>
      <c r="F16" s="0"/>
      <c r="G16" s="0"/>
      <c r="H16" s="0"/>
      <c r="I16" s="0"/>
      <c r="J16" s="0"/>
      <c r="K16" s="0"/>
      <c r="L16" s="0"/>
      <c r="M16" s="0"/>
      <c r="N16" s="0"/>
      <c r="O16" s="0"/>
      <c r="P16" s="0"/>
      <c r="Q16" s="0"/>
      <c r="R16" s="0"/>
      <c r="S16" s="0"/>
      <c r="T16" s="0"/>
      <c r="U16" s="0"/>
      <c r="V16" s="0"/>
      <c r="W16" s="0"/>
      <c r="X16" s="0"/>
      <c r="Y16" s="0"/>
      <c r="Z16" s="0"/>
      <c r="AA16" s="0"/>
      <c r="AB16" s="0"/>
      <c r="AC16" s="0"/>
      <c r="AD16" s="0"/>
      <c r="AE16" s="0"/>
      <c r="AF16" s="0"/>
      <c r="AG16" s="0"/>
    </row>
    <row r="17" customFormat="false" ht="12.75" hidden="false" customHeight="false" outlineLevel="1" collapsed="false">
      <c r="A17" s="11" t="s">
        <v>4</v>
      </c>
      <c r="B17" s="12" t="s">
        <v>5</v>
      </c>
      <c r="C17" s="12" t="s">
        <v>6</v>
      </c>
      <c r="D17" s="13" t="n">
        <v>1999</v>
      </c>
      <c r="E17" s="14" t="n">
        <v>2000</v>
      </c>
      <c r="F17" s="14" t="n">
        <v>2001</v>
      </c>
      <c r="G17" s="14" t="n">
        <v>2002</v>
      </c>
      <c r="H17" s="14" t="n">
        <v>2003</v>
      </c>
      <c r="I17" s="14" t="n">
        <v>2004</v>
      </c>
      <c r="J17" s="14" t="n">
        <v>2005</v>
      </c>
      <c r="K17" s="14" t="n">
        <v>2006</v>
      </c>
      <c r="L17" s="14" t="n">
        <v>2007</v>
      </c>
      <c r="M17" s="14" t="n">
        <v>2008</v>
      </c>
      <c r="N17" s="14" t="n">
        <v>2009</v>
      </c>
      <c r="O17" s="15" t="n">
        <v>2010</v>
      </c>
      <c r="P17" s="16" t="n">
        <v>2011</v>
      </c>
      <c r="Q17" s="16" t="n">
        <v>2012</v>
      </c>
      <c r="R17" s="16" t="n">
        <v>2013</v>
      </c>
      <c r="S17" s="16" t="n">
        <v>2014</v>
      </c>
      <c r="T17" s="16" t="n">
        <v>2015</v>
      </c>
      <c r="U17" s="16" t="n">
        <v>2016</v>
      </c>
      <c r="V17" s="16" t="n">
        <v>2017</v>
      </c>
      <c r="W17" s="16" t="n">
        <v>2018</v>
      </c>
      <c r="X17" s="16" t="n">
        <v>2019</v>
      </c>
      <c r="Y17" s="16" t="n">
        <v>2020</v>
      </c>
      <c r="Z17" s="0"/>
      <c r="AA17" s="0"/>
      <c r="AB17" s="0"/>
      <c r="AC17" s="0"/>
      <c r="AD17" s="0"/>
      <c r="AE17" s="0"/>
      <c r="AF17" s="0"/>
      <c r="AG17" s="0"/>
    </row>
    <row r="18" customFormat="false" ht="12.75" hidden="false" customHeight="false" outlineLevel="1" collapsed="false">
      <c r="A18" s="11" t="s">
        <v>7</v>
      </c>
      <c r="B18" s="17" t="n">
        <f aca="false">NPV(0.1,D18:Y18)</f>
        <v>430825.216465593</v>
      </c>
      <c r="C18" s="17" t="n">
        <f aca="false">B18-B8</f>
        <v>11958.0508843687</v>
      </c>
      <c r="D18" s="18" t="n">
        <v>26519.7963498736</v>
      </c>
      <c r="E18" s="19" t="n">
        <v>36688.0660098591</v>
      </c>
      <c r="F18" s="19" t="n">
        <v>36966.9939662001</v>
      </c>
      <c r="G18" s="19" t="n">
        <v>37199.7746952514</v>
      </c>
      <c r="H18" s="19" t="n">
        <v>46623.0542580929</v>
      </c>
      <c r="I18" s="19" t="n">
        <v>54441.9396657499</v>
      </c>
      <c r="J18" s="19" t="n">
        <v>55849.9367690245</v>
      </c>
      <c r="K18" s="19" t="n">
        <v>56914.5385053034</v>
      </c>
      <c r="L18" s="19" t="n">
        <v>58094.4686652381</v>
      </c>
      <c r="M18" s="19" t="n">
        <v>59389.0947696498</v>
      </c>
      <c r="N18" s="19" t="n">
        <v>60833.8865394601</v>
      </c>
      <c r="O18" s="20" t="n">
        <v>62431.4245681761</v>
      </c>
      <c r="P18" s="21" t="n">
        <v>64321.1828272317</v>
      </c>
      <c r="Q18" s="21" t="n">
        <v>66298.2990354357</v>
      </c>
      <c r="R18" s="21" t="n">
        <v>68355.756217228</v>
      </c>
      <c r="S18" s="21" t="n">
        <v>70456.9418100334</v>
      </c>
      <c r="T18" s="21" t="n">
        <v>72583.6106760295</v>
      </c>
      <c r="U18" s="21" t="n">
        <v>74401.5850793457</v>
      </c>
      <c r="V18" s="21" t="n">
        <v>76181.0668755413</v>
      </c>
      <c r="W18" s="21" t="n">
        <v>77956.7129376313</v>
      </c>
      <c r="X18" s="21" t="n">
        <v>0</v>
      </c>
      <c r="Y18" s="21" t="n">
        <v>0</v>
      </c>
      <c r="Z18" s="0"/>
      <c r="AA18" s="0"/>
      <c r="AB18" s="0"/>
      <c r="AC18" s="0"/>
      <c r="AD18" s="0"/>
      <c r="AE18" s="0"/>
      <c r="AF18" s="0"/>
      <c r="AG18" s="0"/>
    </row>
    <row r="19" customFormat="false" ht="12.75" hidden="false" customHeight="false" outlineLevel="1" collapsed="false">
      <c r="A19" s="22" t="s">
        <v>8</v>
      </c>
      <c r="B19" s="17" t="n">
        <f aca="false">NPV(0.1,D19:Y19)</f>
        <v>204858.018541655</v>
      </c>
      <c r="C19" s="17" t="n">
        <f aca="false">B19-B9</f>
        <v>7909.35412396182</v>
      </c>
      <c r="D19" s="18" t="n">
        <v>16747.4360423736</v>
      </c>
      <c r="E19" s="19" t="n">
        <v>20539.1759713187</v>
      </c>
      <c r="F19" s="19" t="n">
        <v>20873.5629676858</v>
      </c>
      <c r="G19" s="19" t="n">
        <v>21163.7933601831</v>
      </c>
      <c r="H19" s="19" t="n">
        <v>21526.2390129337</v>
      </c>
      <c r="I19" s="19" t="n">
        <v>21970.1756161654</v>
      </c>
      <c r="J19" s="19" t="n">
        <v>22495.682534556</v>
      </c>
      <c r="K19" s="19" t="n">
        <v>23133.5314797981</v>
      </c>
      <c r="L19" s="19" t="n">
        <v>23892.5394144149</v>
      </c>
      <c r="M19" s="19" t="n">
        <v>24772.7930623325</v>
      </c>
      <c r="N19" s="19" t="n">
        <v>25805.0717152696</v>
      </c>
      <c r="O19" s="20" t="n">
        <v>27782.6454690809</v>
      </c>
      <c r="P19" s="21" t="n">
        <v>29076.7955306924</v>
      </c>
      <c r="Q19" s="21" t="n">
        <v>30443.3701243154</v>
      </c>
      <c r="R19" s="21" t="n">
        <v>31892.2419426038</v>
      </c>
      <c r="S19" s="21" t="n">
        <v>33387.3770354007</v>
      </c>
      <c r="T19" s="21" t="n">
        <v>34878.4566115089</v>
      </c>
      <c r="U19" s="21" t="n">
        <v>36373.3915495275</v>
      </c>
      <c r="V19" s="21" t="n">
        <v>37853.8142034265</v>
      </c>
      <c r="W19" s="21" t="n">
        <v>39454.034291709</v>
      </c>
      <c r="X19" s="21" t="n">
        <v>0</v>
      </c>
      <c r="Y19" s="21" t="n">
        <v>0</v>
      </c>
      <c r="Z19" s="0"/>
      <c r="AA19" s="0"/>
      <c r="AB19" s="0"/>
      <c r="AC19" s="0"/>
      <c r="AD19" s="0"/>
      <c r="AE19" s="0"/>
      <c r="AF19" s="0"/>
      <c r="AG19" s="0"/>
    </row>
    <row r="20" customFormat="false" ht="12.75" hidden="false" customHeight="false" outlineLevel="1" collapsed="false">
      <c r="A20" s="22" t="s">
        <v>9</v>
      </c>
      <c r="B20" s="17" t="n">
        <f aca="false">NPV(0.1,D20:Y20)</f>
        <v>84452.4942814483</v>
      </c>
      <c r="C20" s="17" t="n">
        <f aca="false">B20-B10</f>
        <v>4117.57388214795</v>
      </c>
      <c r="D20" s="18" t="n">
        <v>1131.43806263551</v>
      </c>
      <c r="E20" s="19" t="n">
        <v>1653.76491608571</v>
      </c>
      <c r="F20" s="19" t="n">
        <v>1755.90113799524</v>
      </c>
      <c r="G20" s="19" t="n">
        <v>1853.61026086297</v>
      </c>
      <c r="H20" s="19" t="n">
        <v>7456.76243657539</v>
      </c>
      <c r="I20" s="19" t="n">
        <v>12270.7868947264</v>
      </c>
      <c r="J20" s="19" t="n">
        <v>13193.4047817104</v>
      </c>
      <c r="K20" s="19" t="n">
        <v>13759.3757050413</v>
      </c>
      <c r="L20" s="19" t="n">
        <v>14375.8459657376</v>
      </c>
      <c r="M20" s="19" t="n">
        <v>15024.8343135412</v>
      </c>
      <c r="N20" s="19" t="n">
        <v>15712.0243030995</v>
      </c>
      <c r="O20" s="20" t="n">
        <v>15929.6098561997</v>
      </c>
      <c r="P20" s="21" t="n">
        <v>16802.4924236387</v>
      </c>
      <c r="Q20" s="21" t="n">
        <v>17736.4592313332</v>
      </c>
      <c r="R20" s="21" t="n">
        <v>18575.9365102182</v>
      </c>
      <c r="S20" s="21" t="n">
        <v>19622.6927877404</v>
      </c>
      <c r="T20" s="21" t="n">
        <v>20039.3884196806</v>
      </c>
      <c r="U20" s="21" t="n">
        <v>20246.1437511883</v>
      </c>
      <c r="V20" s="21" t="n">
        <v>20438.3095870934</v>
      </c>
      <c r="W20" s="21" t="n">
        <v>20525.6544528323</v>
      </c>
      <c r="X20" s="21" t="n">
        <v>0</v>
      </c>
      <c r="Y20" s="21" t="n">
        <v>0</v>
      </c>
      <c r="Z20" s="0"/>
      <c r="AA20" s="0"/>
      <c r="AB20" s="0"/>
      <c r="AC20" s="0"/>
      <c r="AD20" s="0"/>
      <c r="AE20" s="0"/>
      <c r="AF20" s="0"/>
      <c r="AG20" s="0"/>
    </row>
    <row r="21" customFormat="false" ht="12.75" hidden="false" customHeight="false" outlineLevel="1" collapsed="false">
      <c r="A21" s="22" t="s">
        <v>10</v>
      </c>
      <c r="B21" s="17" t="n">
        <f aca="false">NPV(0.1,D21:Y21)</f>
        <v>99008.6129153232</v>
      </c>
      <c r="C21" s="17" t="n">
        <f aca="false">B21-B11</f>
        <v>15292.9356079965</v>
      </c>
      <c r="D21" s="23" t="n">
        <f aca="false">'[2]Cash Flow Statement'!D21</f>
        <v>3402.91615931765</v>
      </c>
      <c r="E21" s="24" t="n">
        <f aca="false">'[2]Cash Flow Statement'!E21</f>
        <v>6176.00805176461</v>
      </c>
      <c r="F21" s="24" t="n">
        <f aca="false">'[2]Cash Flow Statement'!F21</f>
        <v>5614.88608509249</v>
      </c>
      <c r="G21" s="24" t="n">
        <f aca="false">'[2]Cash Flow Statement'!G21</f>
        <v>5584.45797229637</v>
      </c>
      <c r="H21" s="24" t="n">
        <f aca="false">'[2]Cash Flow Statement'!H21</f>
        <v>15305.2463692221</v>
      </c>
      <c r="I21" s="24" t="n">
        <f aca="false">'[2]Cash Flow Statement'!I21</f>
        <v>16836.655889199</v>
      </c>
      <c r="J21" s="24" t="n">
        <f aca="false">'[2]Cash Flow Statement'!J21</f>
        <v>13210.6033500583</v>
      </c>
      <c r="K21" s="24" t="n">
        <f aca="false">'[2]Cash Flow Statement'!K21</f>
        <v>13101.081252691</v>
      </c>
      <c r="L21" s="24" t="n">
        <f aca="false">'[2]Cash Flow Statement'!L21</f>
        <v>12983.8818487123</v>
      </c>
      <c r="M21" s="24" t="n">
        <f aca="false">'[2]Cash Flow Statement'!M21</f>
        <v>12854.0907345398</v>
      </c>
      <c r="N21" s="24" t="n">
        <f aca="false">'[2]Cash Flow Statement'!N21</f>
        <v>12683.1423354739</v>
      </c>
      <c r="O21" s="25" t="n">
        <f aca="false">'[2]Cash Flow Statement'!O21</f>
        <v>13092.2504998396</v>
      </c>
      <c r="P21" s="24" t="n">
        <f aca="false">'[2]Cash Flow Statement'!P21</f>
        <v>12077.797965155</v>
      </c>
      <c r="Q21" s="24" t="n">
        <f aca="false">'[2]Cash Flow Statement'!Q21</f>
        <v>11874.0084444523</v>
      </c>
      <c r="R21" s="24" t="n">
        <f aca="false">'[2]Cash Flow Statement'!R21</f>
        <v>16873.7519865596</v>
      </c>
      <c r="S21" s="24" t="n">
        <f aca="false">'[2]Cash Flow Statement'!S21</f>
        <v>23120.1189789727</v>
      </c>
      <c r="T21" s="24" t="n">
        <f aca="false">'[2]Cash Flow Statement'!T21</f>
        <v>23070.156805572</v>
      </c>
      <c r="U21" s="24" t="n">
        <f aca="false">'[2]Cash Flow Statement'!U21</f>
        <v>23269.1418190996</v>
      </c>
      <c r="V21" s="24" t="n">
        <f aca="false">'[2]Cash Flow Statement'!V21</f>
        <v>23469.8799479812</v>
      </c>
      <c r="W21" s="24" t="n">
        <f aca="false">'[2]Cash Flow Statement'!W21</f>
        <v>23663.8527724345</v>
      </c>
      <c r="X21" s="24" t="n">
        <f aca="false">'[2]Cash Flow Statement'!X21</f>
        <v>0</v>
      </c>
      <c r="Y21" s="24" t="n">
        <f aca="false">'[2]Cash Flow Statement'!Y21</f>
        <v>0</v>
      </c>
      <c r="Z21" s="0"/>
      <c r="AA21" s="0"/>
      <c r="AB21" s="0"/>
      <c r="AC21" s="0"/>
      <c r="AD21" s="0"/>
      <c r="AE21" s="0"/>
      <c r="AF21" s="0"/>
      <c r="AG21" s="0"/>
    </row>
    <row r="22" customFormat="false" ht="12.75" hidden="false" customHeight="false" outlineLevel="1" collapsed="false">
      <c r="A22" s="5"/>
      <c r="B22" s="5"/>
      <c r="C22" s="5"/>
      <c r="D22" s="0"/>
      <c r="E22" s="0"/>
      <c r="F22" s="0"/>
      <c r="G22" s="0"/>
      <c r="H22" s="0"/>
      <c r="I22" s="0"/>
      <c r="J22" s="0"/>
      <c r="K22" s="0"/>
      <c r="L22" s="0"/>
      <c r="M22" s="0"/>
      <c r="N22" s="0"/>
      <c r="O22" s="0"/>
      <c r="P22" s="0"/>
      <c r="Q22" s="0"/>
      <c r="R22" s="0"/>
      <c r="S22" s="0"/>
      <c r="T22" s="0"/>
      <c r="U22" s="0"/>
      <c r="V22" s="0"/>
      <c r="W22" s="0"/>
      <c r="X22" s="0"/>
      <c r="Y22" s="0"/>
      <c r="Z22" s="0"/>
      <c r="AA22" s="0"/>
      <c r="AB22" s="0"/>
      <c r="AC22" s="0"/>
      <c r="AD22" s="0"/>
      <c r="AE22" s="0"/>
      <c r="AF22" s="0"/>
      <c r="AG22" s="0"/>
    </row>
    <row r="23" customFormat="false" ht="12.75" hidden="false" customHeight="false" outlineLevel="1" collapsed="false">
      <c r="A23" s="26" t="s">
        <v>13</v>
      </c>
      <c r="B23" s="5"/>
      <c r="C23" s="5"/>
      <c r="D23" s="0"/>
      <c r="E23" s="0"/>
      <c r="F23" s="0"/>
      <c r="G23" s="0"/>
      <c r="H23" s="0"/>
      <c r="I23" s="0"/>
      <c r="J23" s="0"/>
      <c r="K23" s="0"/>
      <c r="L23" s="0"/>
      <c r="M23" s="0"/>
      <c r="N23" s="0"/>
      <c r="O23" s="0"/>
      <c r="P23" s="0"/>
      <c r="Q23" s="0"/>
      <c r="R23" s="0"/>
      <c r="S23" s="0"/>
      <c r="T23" s="0"/>
      <c r="U23" s="0"/>
      <c r="V23" s="0"/>
      <c r="W23" s="0"/>
      <c r="X23" s="0"/>
      <c r="Y23" s="0"/>
      <c r="Z23" s="0"/>
      <c r="AA23" s="0"/>
      <c r="AB23" s="0"/>
      <c r="AC23" s="0"/>
      <c r="AD23" s="0"/>
      <c r="AE23" s="0"/>
      <c r="AF23" s="0"/>
      <c r="AG23" s="0"/>
    </row>
    <row r="24" customFormat="false" ht="12.75" hidden="false" customHeight="false" outlineLevel="1" collapsed="false">
      <c r="A24" s="5"/>
      <c r="B24" s="5"/>
      <c r="C24" s="5"/>
      <c r="D24" s="0"/>
      <c r="E24" s="0"/>
      <c r="F24" s="0"/>
      <c r="G24" s="0"/>
      <c r="H24" s="0"/>
      <c r="I24" s="0"/>
      <c r="J24" s="0"/>
      <c r="K24" s="0"/>
      <c r="L24" s="0"/>
      <c r="M24" s="0"/>
      <c r="N24" s="0"/>
      <c r="O24" s="0"/>
      <c r="P24" s="0"/>
      <c r="Q24" s="0"/>
      <c r="R24" s="0"/>
      <c r="S24" s="0"/>
      <c r="T24" s="0"/>
      <c r="U24" s="0"/>
      <c r="V24" s="0"/>
      <c r="W24" s="0"/>
      <c r="X24" s="0"/>
      <c r="Y24" s="0"/>
      <c r="Z24" s="0"/>
      <c r="AA24" s="0"/>
      <c r="AB24" s="0"/>
      <c r="AC24" s="0"/>
      <c r="AD24" s="0"/>
      <c r="AE24" s="0"/>
      <c r="AF24" s="0"/>
      <c r="AG24" s="0"/>
    </row>
    <row r="25" customFormat="false" ht="12.75" hidden="false" customHeight="false" outlineLevel="1" collapsed="false">
      <c r="A25" s="7" t="s">
        <v>2</v>
      </c>
      <c r="B25" s="8" t="n">
        <v>36523.6904246732</v>
      </c>
      <c r="C25" s="5" t="s">
        <v>14</v>
      </c>
      <c r="D25" s="0"/>
      <c r="E25" s="0"/>
      <c r="F25" s="0"/>
      <c r="G25" s="0"/>
      <c r="H25" s="0"/>
      <c r="I25" s="0"/>
      <c r="J25" s="0"/>
      <c r="K25" s="0"/>
      <c r="L25" s="0"/>
      <c r="M25" s="0"/>
      <c r="N25" s="0"/>
      <c r="O25" s="0"/>
      <c r="P25" s="0"/>
      <c r="Q25" s="0"/>
      <c r="R25" s="0"/>
      <c r="S25" s="0"/>
      <c r="T25" s="0"/>
      <c r="U25" s="0"/>
      <c r="V25" s="0"/>
      <c r="W25" s="0"/>
      <c r="X25" s="0"/>
      <c r="Y25" s="0"/>
      <c r="Z25" s="0"/>
      <c r="AA25" s="0"/>
      <c r="AB25" s="0"/>
      <c r="AC25" s="0"/>
      <c r="AD25" s="0"/>
      <c r="AE25" s="0"/>
      <c r="AF25" s="0"/>
      <c r="AG25" s="0"/>
    </row>
    <row r="26" customFormat="false" ht="12.75" hidden="false" customHeight="false" outlineLevel="1" collapsed="false">
      <c r="A26" s="9" t="s">
        <v>3</v>
      </c>
      <c r="B26" s="10" t="n">
        <v>71440.9058670968</v>
      </c>
      <c r="C26" s="5"/>
      <c r="D26" s="0"/>
      <c r="E26" s="0"/>
      <c r="F26" s="0"/>
      <c r="G26" s="0"/>
      <c r="H26" s="0"/>
      <c r="I26" s="0"/>
      <c r="J26" s="0"/>
      <c r="K26" s="0"/>
      <c r="L26" s="0"/>
      <c r="M26" s="0"/>
      <c r="N26" s="0"/>
      <c r="O26" s="0"/>
      <c r="P26" s="0"/>
      <c r="Q26" s="0"/>
      <c r="R26" s="0"/>
      <c r="S26" s="0"/>
      <c r="T26" s="0"/>
      <c r="U26" s="0"/>
      <c r="V26" s="0"/>
      <c r="W26" s="0"/>
      <c r="X26" s="0"/>
      <c r="Y26" s="0"/>
      <c r="Z26" s="0"/>
      <c r="AA26" s="0"/>
      <c r="AB26" s="0"/>
      <c r="AC26" s="0"/>
      <c r="AD26" s="0"/>
      <c r="AE26" s="0"/>
      <c r="AF26" s="0"/>
      <c r="AG26" s="0"/>
    </row>
    <row r="27" customFormat="false" ht="12.75" hidden="false" customHeight="false" outlineLevel="1" collapsed="false">
      <c r="A27" s="11" t="s">
        <v>4</v>
      </c>
      <c r="B27" s="12" t="s">
        <v>5</v>
      </c>
      <c r="C27" s="12" t="s">
        <v>6</v>
      </c>
      <c r="D27" s="13" t="n">
        <v>1999</v>
      </c>
      <c r="E27" s="14" t="n">
        <v>2000</v>
      </c>
      <c r="F27" s="14" t="n">
        <v>2001</v>
      </c>
      <c r="G27" s="14" t="n">
        <v>2002</v>
      </c>
      <c r="H27" s="14" t="n">
        <v>2003</v>
      </c>
      <c r="I27" s="14" t="n">
        <v>2004</v>
      </c>
      <c r="J27" s="14" t="n">
        <v>2005</v>
      </c>
      <c r="K27" s="14" t="n">
        <v>2006</v>
      </c>
      <c r="L27" s="14" t="n">
        <v>2007</v>
      </c>
      <c r="M27" s="14" t="n">
        <v>2008</v>
      </c>
      <c r="N27" s="14" t="n">
        <v>2009</v>
      </c>
      <c r="O27" s="15" t="n">
        <v>2010</v>
      </c>
      <c r="P27" s="16" t="n">
        <v>2011</v>
      </c>
      <c r="Q27" s="16" t="n">
        <v>2012</v>
      </c>
      <c r="R27" s="16" t="n">
        <v>2013</v>
      </c>
      <c r="S27" s="16" t="n">
        <v>2014</v>
      </c>
      <c r="T27" s="16" t="n">
        <v>2015</v>
      </c>
      <c r="U27" s="16" t="n">
        <v>2016</v>
      </c>
      <c r="V27" s="16" t="n">
        <v>2017</v>
      </c>
      <c r="W27" s="16" t="n">
        <v>2018</v>
      </c>
      <c r="X27" s="16" t="n">
        <v>2019</v>
      </c>
      <c r="Y27" s="16" t="n">
        <v>2020</v>
      </c>
      <c r="Z27" s="0"/>
      <c r="AA27" s="0"/>
      <c r="AB27" s="0"/>
      <c r="AC27" s="0"/>
      <c r="AD27" s="0"/>
      <c r="AE27" s="0"/>
      <c r="AF27" s="0"/>
      <c r="AG27" s="0"/>
    </row>
    <row r="28" customFormat="false" ht="12.75" hidden="false" customHeight="false" outlineLevel="1" collapsed="false">
      <c r="A28" s="11" t="s">
        <v>7</v>
      </c>
      <c r="B28" s="17" t="n">
        <f aca="false">NPV(0.1,D28:Y28)</f>
        <v>430825.216465593</v>
      </c>
      <c r="C28" s="17" t="n">
        <f aca="false">B28-B18</f>
        <v>0</v>
      </c>
      <c r="D28" s="18" t="n">
        <v>26519.7963498736</v>
      </c>
      <c r="E28" s="19" t="n">
        <v>36688.0660098591</v>
      </c>
      <c r="F28" s="19" t="n">
        <v>36966.9939662001</v>
      </c>
      <c r="G28" s="19" t="n">
        <v>37199.7746952514</v>
      </c>
      <c r="H28" s="19" t="n">
        <v>46623.0542580929</v>
      </c>
      <c r="I28" s="19" t="n">
        <v>54441.9396657499</v>
      </c>
      <c r="J28" s="19" t="n">
        <v>55849.9367690245</v>
      </c>
      <c r="K28" s="19" t="n">
        <v>56914.5385053034</v>
      </c>
      <c r="L28" s="19" t="n">
        <v>58094.4686652381</v>
      </c>
      <c r="M28" s="19" t="n">
        <v>59389.0947696498</v>
      </c>
      <c r="N28" s="19" t="n">
        <v>60833.8865394601</v>
      </c>
      <c r="O28" s="20" t="n">
        <v>62431.4245681761</v>
      </c>
      <c r="P28" s="21" t="n">
        <v>64321.1828272317</v>
      </c>
      <c r="Q28" s="21" t="n">
        <v>66298.2990354357</v>
      </c>
      <c r="R28" s="21" t="n">
        <v>68355.756217228</v>
      </c>
      <c r="S28" s="21" t="n">
        <v>70456.9418100334</v>
      </c>
      <c r="T28" s="21" t="n">
        <v>72583.6106760295</v>
      </c>
      <c r="U28" s="21" t="n">
        <v>74401.5850793457</v>
      </c>
      <c r="V28" s="21" t="n">
        <v>76181.0668755413</v>
      </c>
      <c r="W28" s="21" t="n">
        <v>77956.7129376313</v>
      </c>
      <c r="X28" s="21" t="n">
        <v>0</v>
      </c>
      <c r="Y28" s="21" t="n">
        <v>0</v>
      </c>
      <c r="Z28" s="0"/>
      <c r="AA28" s="0"/>
      <c r="AB28" s="0"/>
      <c r="AC28" s="0"/>
      <c r="AD28" s="0"/>
      <c r="AE28" s="0"/>
      <c r="AF28" s="0"/>
      <c r="AG28" s="0"/>
    </row>
    <row r="29" customFormat="false" ht="12.75" hidden="false" customHeight="false" outlineLevel="1" collapsed="false">
      <c r="A29" s="22" t="s">
        <v>8</v>
      </c>
      <c r="B29" s="17" t="n">
        <f aca="false">NPV(0.1,D29:Y29)</f>
        <v>204858.018541655</v>
      </c>
      <c r="C29" s="17" t="n">
        <f aca="false">B29-B19</f>
        <v>0</v>
      </c>
      <c r="D29" s="18" t="n">
        <v>16747.4360423736</v>
      </c>
      <c r="E29" s="19" t="n">
        <v>20539.1759713187</v>
      </c>
      <c r="F29" s="19" t="n">
        <v>20873.5629676858</v>
      </c>
      <c r="G29" s="19" t="n">
        <v>21163.7933601831</v>
      </c>
      <c r="H29" s="19" t="n">
        <v>21526.2390129337</v>
      </c>
      <c r="I29" s="19" t="n">
        <v>21970.1756161654</v>
      </c>
      <c r="J29" s="19" t="n">
        <v>22495.682534556</v>
      </c>
      <c r="K29" s="19" t="n">
        <v>23133.5314797981</v>
      </c>
      <c r="L29" s="19" t="n">
        <v>23892.5394144149</v>
      </c>
      <c r="M29" s="19" t="n">
        <v>24772.7930623325</v>
      </c>
      <c r="N29" s="19" t="n">
        <v>25805.0717152696</v>
      </c>
      <c r="O29" s="20" t="n">
        <v>27782.6454690809</v>
      </c>
      <c r="P29" s="21" t="n">
        <v>29076.7955306924</v>
      </c>
      <c r="Q29" s="21" t="n">
        <v>30443.3701243154</v>
      </c>
      <c r="R29" s="21" t="n">
        <v>31892.2419426038</v>
      </c>
      <c r="S29" s="21" t="n">
        <v>33387.3770354007</v>
      </c>
      <c r="T29" s="21" t="n">
        <v>34878.4566115089</v>
      </c>
      <c r="U29" s="21" t="n">
        <v>36373.3915495275</v>
      </c>
      <c r="V29" s="21" t="n">
        <v>37853.8142034265</v>
      </c>
      <c r="W29" s="21" t="n">
        <v>39454.034291709</v>
      </c>
      <c r="X29" s="21" t="n">
        <v>0</v>
      </c>
      <c r="Y29" s="21" t="n">
        <v>0</v>
      </c>
      <c r="Z29" s="0"/>
      <c r="AA29" s="0"/>
      <c r="AB29" s="0"/>
      <c r="AC29" s="0"/>
      <c r="AD29" s="0"/>
      <c r="AE29" s="0"/>
      <c r="AF29" s="0"/>
      <c r="AG29" s="0"/>
    </row>
    <row r="30" customFormat="false" ht="12.75" hidden="false" customHeight="false" outlineLevel="1" collapsed="false">
      <c r="A30" s="22" t="s">
        <v>9</v>
      </c>
      <c r="B30" s="17" t="n">
        <f aca="false">NPV(0.1,D30:Y30)</f>
        <v>84449.4866190165</v>
      </c>
      <c r="C30" s="17" t="n">
        <f aca="false">B30-B20</f>
        <v>-3.00766243186081</v>
      </c>
      <c r="D30" s="18" t="n">
        <v>1131.21497360774</v>
      </c>
      <c r="E30" s="19" t="n">
        <v>1653.38247775238</v>
      </c>
      <c r="F30" s="19" t="n">
        <v>1755.51869966191</v>
      </c>
      <c r="G30" s="19" t="n">
        <v>1853.22782252964</v>
      </c>
      <c r="H30" s="19" t="n">
        <v>7456.37999824206</v>
      </c>
      <c r="I30" s="19" t="n">
        <v>12270.3712451848</v>
      </c>
      <c r="J30" s="19" t="n">
        <v>13192.9654098771</v>
      </c>
      <c r="K30" s="19" t="n">
        <v>13758.936333208</v>
      </c>
      <c r="L30" s="19" t="n">
        <v>14375.4065939042</v>
      </c>
      <c r="M30" s="19" t="n">
        <v>15024.3949417079</v>
      </c>
      <c r="N30" s="19" t="n">
        <v>15711.5849312662</v>
      </c>
      <c r="O30" s="20" t="n">
        <v>15929.1704843664</v>
      </c>
      <c r="P30" s="21" t="n">
        <v>16802.0530518053</v>
      </c>
      <c r="Q30" s="21" t="n">
        <v>17736.0198594998</v>
      </c>
      <c r="R30" s="21" t="n">
        <v>18575.4971383848</v>
      </c>
      <c r="S30" s="21" t="n">
        <v>19622.5097161432</v>
      </c>
      <c r="T30" s="21" t="n">
        <v>20039.3884196806</v>
      </c>
      <c r="U30" s="21" t="n">
        <v>20246.1437511883</v>
      </c>
      <c r="V30" s="21" t="n">
        <v>20438.3095870934</v>
      </c>
      <c r="W30" s="21" t="n">
        <v>20525.6544528323</v>
      </c>
      <c r="X30" s="21" t="n">
        <v>0</v>
      </c>
      <c r="Y30" s="21" t="n">
        <v>0</v>
      </c>
      <c r="Z30" s="0"/>
      <c r="AA30" s="0"/>
      <c r="AB30" s="0"/>
      <c r="AC30" s="0"/>
      <c r="AD30" s="0"/>
      <c r="AE30" s="0"/>
      <c r="AF30" s="0"/>
      <c r="AG30" s="0"/>
    </row>
    <row r="31" customFormat="false" ht="12.75" hidden="false" customHeight="false" outlineLevel="1" collapsed="false">
      <c r="A31" s="22" t="s">
        <v>10</v>
      </c>
      <c r="B31" s="17" t="n">
        <f aca="false">NPV(0.1,D31:Y31)</f>
        <v>99010.2183678501</v>
      </c>
      <c r="C31" s="17" t="n">
        <f aca="false">B31-B21</f>
        <v>1.60545252688462</v>
      </c>
      <c r="D31" s="23" t="n">
        <v>3402.91615931765</v>
      </c>
      <c r="E31" s="24" t="n">
        <v>6176.00805176461</v>
      </c>
      <c r="F31" s="24" t="n">
        <v>5614.88608509249</v>
      </c>
      <c r="G31" s="24" t="n">
        <v>5584.45797229637</v>
      </c>
      <c r="H31" s="24" t="n">
        <v>15305.2463692221</v>
      </c>
      <c r="I31" s="24" t="n">
        <v>16837.9225300761</v>
      </c>
      <c r="J31" s="24" t="n">
        <v>13210.8657798577</v>
      </c>
      <c r="K31" s="24" t="n">
        <v>13101.344838732</v>
      </c>
      <c r="L31" s="24" t="n">
        <v>12984.146590995</v>
      </c>
      <c r="M31" s="24" t="n">
        <v>12854.3566330641</v>
      </c>
      <c r="N31" s="24" t="n">
        <v>12683.4093902399</v>
      </c>
      <c r="O31" s="25" t="n">
        <v>13092.5187108473</v>
      </c>
      <c r="P31" s="21" t="n">
        <v>12078.0673324043</v>
      </c>
      <c r="Q31" s="21" t="n">
        <v>11874.2789679433</v>
      </c>
      <c r="R31" s="21" t="n">
        <v>16874.0236662922</v>
      </c>
      <c r="S31" s="21" t="n">
        <v>23120.2323795977</v>
      </c>
      <c r="T31" s="21" t="n">
        <v>23070.156805572</v>
      </c>
      <c r="U31" s="21" t="n">
        <v>23269.1418190996</v>
      </c>
      <c r="V31" s="21" t="n">
        <v>23469.8799479812</v>
      </c>
      <c r="W31" s="21" t="n">
        <v>23663.8527724345</v>
      </c>
      <c r="X31" s="21" t="n">
        <v>0</v>
      </c>
      <c r="Y31" s="21" t="n">
        <v>0</v>
      </c>
      <c r="Z31" s="0"/>
      <c r="AA31" s="0"/>
      <c r="AB31" s="0"/>
      <c r="AC31" s="0"/>
      <c r="AD31" s="0"/>
      <c r="AE31" s="0"/>
      <c r="AF31" s="0"/>
      <c r="AG31" s="0"/>
    </row>
    <row r="32" customFormat="false" ht="12.75" hidden="false" customHeight="false" outlineLevel="1" collapsed="false">
      <c r="A32" s="5"/>
      <c r="B32" s="5"/>
      <c r="C32" s="5"/>
      <c r="D32" s="0"/>
      <c r="E32" s="0"/>
      <c r="F32" s="0"/>
      <c r="G32" s="0"/>
      <c r="H32" s="0"/>
      <c r="I32" s="0"/>
      <c r="J32" s="0"/>
      <c r="K32" s="0"/>
      <c r="L32" s="0"/>
      <c r="M32" s="0"/>
      <c r="N32" s="0"/>
      <c r="O32" s="0"/>
      <c r="P32" s="0"/>
      <c r="Q32" s="0"/>
      <c r="R32" s="0"/>
      <c r="S32" s="0"/>
      <c r="T32" s="0"/>
      <c r="U32" s="0"/>
      <c r="V32" s="0"/>
      <c r="W32" s="0"/>
      <c r="X32" s="0"/>
      <c r="Y32" s="0"/>
      <c r="Z32" s="0"/>
      <c r="AA32" s="0"/>
      <c r="AB32" s="0"/>
      <c r="AC32" s="0"/>
      <c r="AD32" s="0"/>
      <c r="AE32" s="0"/>
      <c r="AF32" s="0"/>
      <c r="AG32" s="0"/>
    </row>
    <row r="33" customFormat="false" ht="12.75" hidden="false" customHeight="false" outlineLevel="1" collapsed="false">
      <c r="A33" s="26" t="s">
        <v>15</v>
      </c>
      <c r="B33" s="5"/>
      <c r="C33" s="5"/>
      <c r="D33" s="0"/>
      <c r="E33" s="0"/>
      <c r="F33" s="0"/>
      <c r="G33" s="0"/>
      <c r="H33" s="0"/>
      <c r="I33" s="0"/>
      <c r="J33" s="0"/>
      <c r="K33" s="0"/>
      <c r="L33" s="0"/>
      <c r="M33" s="0"/>
      <c r="N33" s="0"/>
      <c r="O33" s="0"/>
      <c r="P33" s="0"/>
      <c r="Q33" s="0"/>
      <c r="R33" s="0"/>
      <c r="S33" s="0"/>
      <c r="T33" s="0"/>
      <c r="U33" s="0"/>
      <c r="V33" s="0"/>
      <c r="W33" s="0"/>
      <c r="X33" s="0"/>
      <c r="Y33" s="0"/>
      <c r="Z33" s="0"/>
      <c r="AA33" s="0"/>
      <c r="AB33" s="0"/>
      <c r="AC33" s="0"/>
      <c r="AD33" s="0"/>
      <c r="AE33" s="0"/>
      <c r="AF33" s="0"/>
      <c r="AG33" s="0"/>
    </row>
    <row r="34" customFormat="false" ht="12.75" hidden="false" customHeight="false" outlineLevel="1" collapsed="false">
      <c r="A34" s="28" t="n">
        <v>36220</v>
      </c>
      <c r="B34" s="5"/>
      <c r="C34" s="5"/>
      <c r="D34" s="0"/>
      <c r="E34" s="0"/>
      <c r="F34" s="0"/>
      <c r="G34" s="0"/>
      <c r="H34" s="0"/>
      <c r="I34" s="0"/>
      <c r="J34" s="0"/>
      <c r="K34" s="0"/>
      <c r="L34" s="0"/>
      <c r="M34" s="0"/>
      <c r="N34" s="0"/>
      <c r="O34" s="0"/>
      <c r="P34" s="0"/>
      <c r="Q34" s="0"/>
      <c r="R34" s="0"/>
      <c r="S34" s="0"/>
      <c r="T34" s="0"/>
      <c r="U34" s="0"/>
      <c r="V34" s="0"/>
      <c r="W34" s="0"/>
      <c r="X34" s="0"/>
      <c r="Y34" s="0"/>
      <c r="Z34" s="0"/>
      <c r="AA34" s="0"/>
      <c r="AB34" s="0"/>
      <c r="AC34" s="0"/>
      <c r="AD34" s="0"/>
      <c r="AE34" s="0"/>
      <c r="AF34" s="0"/>
      <c r="AG34" s="0"/>
    </row>
    <row r="35" customFormat="false" ht="12.75" hidden="false" customHeight="false" outlineLevel="1" collapsed="false">
      <c r="A35" s="7" t="s">
        <v>2</v>
      </c>
      <c r="B35" s="8" t="n">
        <v>35984.1078484821</v>
      </c>
      <c r="C35" s="5" t="s">
        <v>14</v>
      </c>
      <c r="D35" s="0"/>
      <c r="E35" s="0"/>
      <c r="F35" s="0"/>
      <c r="G35" s="0"/>
      <c r="H35" s="0"/>
      <c r="I35" s="0"/>
      <c r="J35" s="0"/>
      <c r="K35" s="0"/>
      <c r="L35" s="0"/>
      <c r="M35" s="0"/>
      <c r="N35" s="0"/>
      <c r="O35" s="0"/>
      <c r="P35" s="0"/>
      <c r="Q35" s="0"/>
      <c r="R35" s="0"/>
      <c r="S35" s="0"/>
      <c r="T35" s="0"/>
      <c r="U35" s="0"/>
      <c r="V35" s="0"/>
      <c r="W35" s="0"/>
      <c r="X35" s="0"/>
      <c r="Y35" s="0"/>
      <c r="Z35" s="0"/>
      <c r="AA35" s="0"/>
      <c r="AB35" s="0"/>
      <c r="AC35" s="0"/>
      <c r="AD35" s="0"/>
      <c r="AE35" s="0"/>
      <c r="AF35" s="0"/>
      <c r="AG35" s="0"/>
    </row>
    <row r="36" customFormat="false" ht="12.75" hidden="false" customHeight="false" outlineLevel="1" collapsed="false">
      <c r="A36" s="9" t="s">
        <v>3</v>
      </c>
      <c r="B36" s="10" t="n">
        <v>70790.7080678452</v>
      </c>
      <c r="C36" s="5"/>
      <c r="D36" s="0"/>
      <c r="E36" s="0"/>
      <c r="F36" s="0"/>
      <c r="G36" s="0"/>
      <c r="H36" s="0"/>
      <c r="I36" s="0"/>
      <c r="J36" s="0"/>
      <c r="K36" s="0"/>
      <c r="L36" s="0"/>
      <c r="M36" s="0"/>
      <c r="N36" s="0"/>
      <c r="O36" s="0"/>
      <c r="P36" s="0"/>
      <c r="Q36" s="0"/>
      <c r="R36" s="0"/>
      <c r="S36" s="0"/>
      <c r="T36" s="0"/>
      <c r="U36" s="0"/>
      <c r="V36" s="0"/>
      <c r="W36" s="0"/>
      <c r="X36" s="0"/>
      <c r="Y36" s="0"/>
      <c r="Z36" s="0"/>
      <c r="AA36" s="0"/>
      <c r="AB36" s="0"/>
      <c r="AC36" s="0"/>
      <c r="AD36" s="0"/>
      <c r="AE36" s="0"/>
      <c r="AF36" s="0"/>
      <c r="AG36" s="0"/>
    </row>
    <row r="37" customFormat="false" ht="12.75" hidden="false" customHeight="false" outlineLevel="1" collapsed="false">
      <c r="A37" s="11" t="s">
        <v>4</v>
      </c>
      <c r="B37" s="12" t="s">
        <v>5</v>
      </c>
      <c r="C37" s="12" t="s">
        <v>6</v>
      </c>
      <c r="D37" s="13" t="n">
        <v>1999</v>
      </c>
      <c r="E37" s="14" t="n">
        <v>2000</v>
      </c>
      <c r="F37" s="14" t="n">
        <v>2001</v>
      </c>
      <c r="G37" s="14" t="n">
        <v>2002</v>
      </c>
      <c r="H37" s="14" t="n">
        <v>2003</v>
      </c>
      <c r="I37" s="14" t="n">
        <v>2004</v>
      </c>
      <c r="J37" s="14" t="n">
        <v>2005</v>
      </c>
      <c r="K37" s="14" t="n">
        <v>2006</v>
      </c>
      <c r="L37" s="14" t="n">
        <v>2007</v>
      </c>
      <c r="M37" s="14" t="n">
        <v>2008</v>
      </c>
      <c r="N37" s="14" t="n">
        <v>2009</v>
      </c>
      <c r="O37" s="15" t="n">
        <v>2010</v>
      </c>
      <c r="P37" s="16" t="n">
        <v>2011</v>
      </c>
      <c r="Q37" s="16" t="n">
        <v>2012</v>
      </c>
      <c r="R37" s="16" t="n">
        <v>2013</v>
      </c>
      <c r="S37" s="16" t="n">
        <v>2014</v>
      </c>
      <c r="T37" s="16" t="n">
        <v>2015</v>
      </c>
      <c r="U37" s="16" t="n">
        <v>2016</v>
      </c>
      <c r="V37" s="16" t="n">
        <v>2017</v>
      </c>
      <c r="W37" s="16" t="n">
        <v>2018</v>
      </c>
      <c r="X37" s="16" t="n">
        <v>2019</v>
      </c>
      <c r="Y37" s="16" t="n">
        <v>2020</v>
      </c>
      <c r="Z37" s="0"/>
      <c r="AA37" s="0"/>
      <c r="AB37" s="0"/>
      <c r="AC37" s="0"/>
      <c r="AD37" s="0"/>
      <c r="AE37" s="0"/>
      <c r="AF37" s="0"/>
      <c r="AG37" s="0"/>
    </row>
    <row r="38" customFormat="false" ht="12.75" hidden="false" customHeight="false" outlineLevel="1" collapsed="false">
      <c r="A38" s="11" t="s">
        <v>7</v>
      </c>
      <c r="B38" s="17" t="n">
        <f aca="false">NPV(0.1,D38:Y38)</f>
        <v>430825.216465593</v>
      </c>
      <c r="C38" s="17" t="n">
        <f aca="false">B38-B28</f>
        <v>0</v>
      </c>
      <c r="D38" s="18" t="n">
        <v>26519.7963498736</v>
      </c>
      <c r="E38" s="19" t="n">
        <v>36688.0660098591</v>
      </c>
      <c r="F38" s="19" t="n">
        <v>36966.9939662001</v>
      </c>
      <c r="G38" s="19" t="n">
        <v>37199.7746952514</v>
      </c>
      <c r="H38" s="19" t="n">
        <v>46623.0542580929</v>
      </c>
      <c r="I38" s="19" t="n">
        <v>54441.9396657499</v>
      </c>
      <c r="J38" s="19" t="n">
        <v>55849.9367690245</v>
      </c>
      <c r="K38" s="19" t="n">
        <v>56914.5385053034</v>
      </c>
      <c r="L38" s="19" t="n">
        <v>58094.4686652381</v>
      </c>
      <c r="M38" s="19" t="n">
        <v>59389.0947696498</v>
      </c>
      <c r="N38" s="19" t="n">
        <v>60833.8865394601</v>
      </c>
      <c r="O38" s="20" t="n">
        <v>62431.4245681761</v>
      </c>
      <c r="P38" s="21" t="n">
        <v>64321.1828272317</v>
      </c>
      <c r="Q38" s="21" t="n">
        <v>66298.2990354357</v>
      </c>
      <c r="R38" s="21" t="n">
        <v>68355.756217228</v>
      </c>
      <c r="S38" s="21" t="n">
        <v>70456.9418100334</v>
      </c>
      <c r="T38" s="21" t="n">
        <v>72583.6106760295</v>
      </c>
      <c r="U38" s="21" t="n">
        <v>74401.5850793457</v>
      </c>
      <c r="V38" s="21" t="n">
        <v>76181.0668755413</v>
      </c>
      <c r="W38" s="21" t="n">
        <v>77956.7129376313</v>
      </c>
      <c r="X38" s="21" t="n">
        <v>0</v>
      </c>
      <c r="Y38" s="21" t="n">
        <v>0</v>
      </c>
      <c r="Z38" s="0"/>
      <c r="AA38" s="0"/>
      <c r="AB38" s="0"/>
      <c r="AC38" s="0"/>
      <c r="AD38" s="0"/>
      <c r="AE38" s="0"/>
      <c r="AF38" s="0"/>
      <c r="AG38" s="0"/>
    </row>
    <row r="39" customFormat="false" ht="12.75" hidden="false" customHeight="false" outlineLevel="1" collapsed="false">
      <c r="A39" s="22" t="s">
        <v>8</v>
      </c>
      <c r="B39" s="17" t="n">
        <f aca="false">NPV(0.1,D39:Y39)</f>
        <v>204858.018541655</v>
      </c>
      <c r="C39" s="17" t="n">
        <f aca="false">B39-B29</f>
        <v>0</v>
      </c>
      <c r="D39" s="18" t="n">
        <v>16747.4360423736</v>
      </c>
      <c r="E39" s="19" t="n">
        <v>20539.1759713187</v>
      </c>
      <c r="F39" s="19" t="n">
        <v>20873.5629676858</v>
      </c>
      <c r="G39" s="19" t="n">
        <v>21163.7933601831</v>
      </c>
      <c r="H39" s="19" t="n">
        <v>21526.2390129337</v>
      </c>
      <c r="I39" s="19" t="n">
        <v>21970.1756161654</v>
      </c>
      <c r="J39" s="19" t="n">
        <v>22495.682534556</v>
      </c>
      <c r="K39" s="19" t="n">
        <v>23133.5314797981</v>
      </c>
      <c r="L39" s="19" t="n">
        <v>23892.5394144149</v>
      </c>
      <c r="M39" s="19" t="n">
        <v>24772.7930623325</v>
      </c>
      <c r="N39" s="19" t="n">
        <v>25805.0717152696</v>
      </c>
      <c r="O39" s="20" t="n">
        <v>27782.6454690809</v>
      </c>
      <c r="P39" s="21" t="n">
        <v>29076.7955306924</v>
      </c>
      <c r="Q39" s="21" t="n">
        <v>30443.3701243154</v>
      </c>
      <c r="R39" s="21" t="n">
        <v>31892.2419426038</v>
      </c>
      <c r="S39" s="21" t="n">
        <v>33387.3770354007</v>
      </c>
      <c r="T39" s="21" t="n">
        <v>34878.4566115089</v>
      </c>
      <c r="U39" s="21" t="n">
        <v>36373.3915495275</v>
      </c>
      <c r="V39" s="21" t="n">
        <v>37853.8142034265</v>
      </c>
      <c r="W39" s="21" t="n">
        <v>39454.034291709</v>
      </c>
      <c r="X39" s="21" t="n">
        <v>0</v>
      </c>
      <c r="Y39" s="21" t="n">
        <v>0</v>
      </c>
      <c r="Z39" s="0"/>
      <c r="AA39" s="0"/>
      <c r="AB39" s="0"/>
      <c r="AC39" s="0"/>
      <c r="AD39" s="0"/>
      <c r="AE39" s="0"/>
      <c r="AF39" s="0"/>
      <c r="AG39" s="0"/>
    </row>
    <row r="40" customFormat="false" ht="12.75" hidden="false" customHeight="false" outlineLevel="1" collapsed="false">
      <c r="A40" s="22" t="s">
        <v>9</v>
      </c>
      <c r="B40" s="17" t="n">
        <f aca="false">NPV(0.1,D40:Y40)</f>
        <v>84105.3622289442</v>
      </c>
      <c r="C40" s="17" t="n">
        <f aca="false">B40-B30</f>
        <v>-344.124390072218</v>
      </c>
      <c r="D40" s="18" t="n">
        <v>725.350398401826</v>
      </c>
      <c r="E40" s="19" t="n">
        <v>1661.35304425238</v>
      </c>
      <c r="F40" s="19" t="n">
        <v>1763.48926616191</v>
      </c>
      <c r="G40" s="19" t="n">
        <v>1861.19838902964</v>
      </c>
      <c r="H40" s="19" t="n">
        <v>7464.35056474206</v>
      </c>
      <c r="I40" s="19" t="n">
        <v>12273.6923145598</v>
      </c>
      <c r="J40" s="19" t="n">
        <v>13192.9654098771</v>
      </c>
      <c r="K40" s="19" t="n">
        <v>13758.936333208</v>
      </c>
      <c r="L40" s="19" t="n">
        <v>14375.4065939042</v>
      </c>
      <c r="M40" s="19" t="n">
        <v>15024.3949417079</v>
      </c>
      <c r="N40" s="19" t="n">
        <v>15711.5849312662</v>
      </c>
      <c r="O40" s="20" t="n">
        <v>15929.1704843664</v>
      </c>
      <c r="P40" s="21" t="n">
        <v>16802.0530518053</v>
      </c>
      <c r="Q40" s="21" t="n">
        <v>17736.0198594998</v>
      </c>
      <c r="R40" s="21" t="n">
        <v>18575.4971383848</v>
      </c>
      <c r="S40" s="21" t="n">
        <v>19622.5097161432</v>
      </c>
      <c r="T40" s="21" t="n">
        <v>20039.3884196806</v>
      </c>
      <c r="U40" s="21" t="n">
        <v>20246.1437511883</v>
      </c>
      <c r="V40" s="21" t="n">
        <v>20438.3095870934</v>
      </c>
      <c r="W40" s="21" t="n">
        <v>20525.6544528323</v>
      </c>
      <c r="X40" s="21" t="n">
        <v>0</v>
      </c>
      <c r="Y40" s="21" t="n">
        <v>0</v>
      </c>
      <c r="Z40" s="0"/>
      <c r="AA40" s="0"/>
      <c r="AB40" s="0"/>
      <c r="AC40" s="0"/>
      <c r="AD40" s="0"/>
      <c r="AE40" s="0"/>
      <c r="AF40" s="0"/>
      <c r="AG40" s="0"/>
    </row>
    <row r="41" customFormat="false" ht="12.75" hidden="false" customHeight="false" outlineLevel="1" collapsed="false">
      <c r="A41" s="22" t="s">
        <v>10</v>
      </c>
      <c r="B41" s="17" t="n">
        <f aca="false">NPV(0.1,D41:Y41)</f>
        <v>98920.4183319405</v>
      </c>
      <c r="C41" s="17" t="n">
        <f aca="false">B41-B31</f>
        <v>-89.8000359096041</v>
      </c>
      <c r="D41" s="23" t="n">
        <v>3174.73649265098</v>
      </c>
      <c r="E41" s="24" t="n">
        <v>6176.00805176461</v>
      </c>
      <c r="F41" s="24" t="n">
        <v>5614.88608509249</v>
      </c>
      <c r="G41" s="24" t="n">
        <v>5584.45797229637</v>
      </c>
      <c r="H41" s="24" t="n">
        <v>15305.2463692221</v>
      </c>
      <c r="I41" s="24" t="n">
        <v>17046.3219236233</v>
      </c>
      <c r="J41" s="24" t="n">
        <v>13210.8657798577</v>
      </c>
      <c r="K41" s="24" t="n">
        <v>13101.344838732</v>
      </c>
      <c r="L41" s="24" t="n">
        <v>12984.146590995</v>
      </c>
      <c r="M41" s="24" t="n">
        <v>12854.3566330641</v>
      </c>
      <c r="N41" s="24" t="n">
        <v>12683.4093902399</v>
      </c>
      <c r="O41" s="25" t="n">
        <v>13092.5187108473</v>
      </c>
      <c r="P41" s="21" t="n">
        <v>12078.0673324043</v>
      </c>
      <c r="Q41" s="21" t="n">
        <v>11874.2789679433</v>
      </c>
      <c r="R41" s="21" t="n">
        <v>16874.0236662922</v>
      </c>
      <c r="S41" s="21" t="n">
        <v>23120.2323795977</v>
      </c>
      <c r="T41" s="21" t="n">
        <v>23070.156805572</v>
      </c>
      <c r="U41" s="21" t="n">
        <v>23269.1418190996</v>
      </c>
      <c r="V41" s="21" t="n">
        <v>23469.8799479812</v>
      </c>
      <c r="W41" s="21" t="n">
        <v>23663.8527724345</v>
      </c>
      <c r="X41" s="21" t="n">
        <v>0</v>
      </c>
      <c r="Y41" s="21" t="n">
        <v>0</v>
      </c>
      <c r="Z41" s="0"/>
      <c r="AA41" s="0"/>
      <c r="AB41" s="0"/>
      <c r="AC41" s="0"/>
      <c r="AD41" s="0"/>
      <c r="AE41" s="0"/>
      <c r="AF41" s="0"/>
      <c r="AG41" s="0"/>
    </row>
    <row r="42" customFormat="false" ht="10.5" hidden="false" customHeight="true" outlineLevel="0" collapsed="false">
      <c r="A42" s="5"/>
      <c r="B42" s="5"/>
      <c r="C42" s="5"/>
      <c r="D42" s="0"/>
      <c r="E42" s="0"/>
      <c r="F42" s="0"/>
      <c r="G42" s="0"/>
      <c r="H42" s="0"/>
      <c r="I42" s="0"/>
      <c r="J42" s="0"/>
      <c r="K42" s="0"/>
      <c r="L42" s="0"/>
      <c r="M42" s="0"/>
      <c r="N42" s="0"/>
      <c r="O42" s="0"/>
      <c r="P42" s="0"/>
      <c r="Q42" s="0"/>
      <c r="R42" s="0"/>
      <c r="S42" s="0"/>
      <c r="T42" s="0"/>
      <c r="U42" s="0"/>
      <c r="V42" s="0"/>
      <c r="W42" s="0"/>
      <c r="X42" s="0"/>
      <c r="Y42" s="0"/>
      <c r="Z42" s="0"/>
      <c r="AA42" s="0"/>
      <c r="AB42" s="0"/>
      <c r="AC42" s="0"/>
      <c r="AD42" s="0"/>
      <c r="AE42" s="0"/>
      <c r="AF42" s="0"/>
      <c r="AG42" s="0"/>
    </row>
    <row r="43" customFormat="false" ht="12.75" hidden="false" customHeight="true" outlineLevel="0" collapsed="false">
      <c r="A43" s="26" t="s">
        <v>16</v>
      </c>
      <c r="B43" s="5"/>
      <c r="C43" s="5"/>
      <c r="D43" s="0"/>
      <c r="E43" s="0"/>
      <c r="F43" s="0"/>
      <c r="G43" s="0"/>
      <c r="H43" s="0"/>
      <c r="I43" s="0"/>
      <c r="J43" s="0"/>
      <c r="K43" s="0"/>
      <c r="L43" s="0"/>
      <c r="M43" s="0"/>
      <c r="N43" s="0"/>
      <c r="O43" s="0"/>
      <c r="P43" s="0"/>
      <c r="Q43" s="0"/>
      <c r="R43" s="0"/>
      <c r="S43" s="0"/>
      <c r="T43" s="0"/>
      <c r="U43" s="0"/>
      <c r="V43" s="0"/>
      <c r="W43" s="0"/>
      <c r="X43" s="0"/>
      <c r="Y43" s="0"/>
      <c r="Z43" s="0"/>
      <c r="AA43" s="0"/>
      <c r="AB43" s="0"/>
      <c r="AC43" s="0"/>
      <c r="AD43" s="0"/>
      <c r="AE43" s="0"/>
      <c r="AF43" s="0"/>
      <c r="AG43" s="0"/>
    </row>
    <row r="44" customFormat="false" ht="12.75" hidden="false" customHeight="false" outlineLevel="0" collapsed="false">
      <c r="A44" s="28" t="n">
        <v>36220</v>
      </c>
      <c r="B44" s="5"/>
      <c r="C44" s="5"/>
      <c r="D44" s="0"/>
      <c r="E44" s="0"/>
      <c r="F44" s="0"/>
      <c r="G44" s="0"/>
      <c r="H44" s="0"/>
      <c r="I44" s="0"/>
      <c r="J44" s="0"/>
      <c r="K44" s="0"/>
      <c r="L44" s="0"/>
      <c r="M44" s="0"/>
      <c r="N44" s="0"/>
      <c r="O44" s="0"/>
      <c r="P44" s="0"/>
      <c r="Q44" s="0"/>
      <c r="R44" s="0"/>
      <c r="S44" s="0"/>
      <c r="T44" s="0"/>
      <c r="U44" s="0"/>
      <c r="V44" s="0"/>
      <c r="W44" s="0"/>
      <c r="X44" s="0"/>
      <c r="Y44" s="0"/>
      <c r="Z44" s="0"/>
      <c r="AA44" s="0"/>
      <c r="AB44" s="0"/>
      <c r="AC44" s="0"/>
      <c r="AD44" s="0"/>
      <c r="AE44" s="0"/>
      <c r="AF44" s="0"/>
      <c r="AG44" s="0"/>
    </row>
    <row r="45" customFormat="false" ht="12.75" hidden="false" customHeight="false" outlineLevel="0" collapsed="false">
      <c r="A45" s="7" t="s">
        <v>2</v>
      </c>
      <c r="B45" s="8" t="n">
        <v>36059.6186614419</v>
      </c>
      <c r="C45" s="5" t="s">
        <v>14</v>
      </c>
      <c r="D45" s="0"/>
      <c r="E45" s="0"/>
      <c r="F45" s="0"/>
      <c r="G45" s="0"/>
      <c r="H45" s="0"/>
      <c r="I45" s="0"/>
      <c r="J45" s="0"/>
      <c r="K45" s="0"/>
      <c r="L45" s="0"/>
      <c r="M45" s="0"/>
      <c r="N45" s="0"/>
      <c r="O45" s="0"/>
      <c r="P45" s="0"/>
      <c r="Q45" s="0"/>
      <c r="R45" s="0"/>
      <c r="S45" s="0"/>
      <c r="T45" s="0"/>
      <c r="U45" s="0"/>
      <c r="V45" s="0"/>
      <c r="W45" s="0"/>
      <c r="X45" s="0"/>
      <c r="Y45" s="0"/>
      <c r="Z45" s="0"/>
      <c r="AA45" s="0"/>
      <c r="AB45" s="0"/>
      <c r="AC45" s="0"/>
      <c r="AD45" s="0"/>
      <c r="AE45" s="0"/>
      <c r="AF45" s="0"/>
      <c r="AG45" s="0"/>
    </row>
    <row r="46" customFormat="false" ht="12.75" hidden="false" customHeight="false" outlineLevel="0" collapsed="false">
      <c r="A46" s="9" t="s">
        <v>3</v>
      </c>
      <c r="B46" s="10" t="n">
        <v>70790.7080678452</v>
      </c>
      <c r="C46" s="5"/>
      <c r="D46" s="0"/>
      <c r="E46" s="0"/>
      <c r="F46" s="0"/>
      <c r="G46" s="0"/>
      <c r="H46" s="0"/>
      <c r="I46" s="0"/>
      <c r="J46" s="0"/>
      <c r="K46" s="0"/>
      <c r="L46" s="0"/>
      <c r="M46" s="0"/>
      <c r="N46" s="0"/>
      <c r="O46" s="0"/>
      <c r="P46" s="0"/>
      <c r="Q46" s="0"/>
      <c r="R46" s="0"/>
      <c r="S46" s="0"/>
      <c r="T46" s="0"/>
      <c r="U46" s="0"/>
      <c r="V46" s="0"/>
      <c r="W46" s="0"/>
      <c r="X46" s="0"/>
      <c r="Y46" s="0"/>
      <c r="Z46" s="0"/>
      <c r="AA46" s="0"/>
      <c r="AB46" s="0"/>
      <c r="AC46" s="0"/>
      <c r="AD46" s="0"/>
      <c r="AE46" s="0"/>
      <c r="AF46" s="0"/>
      <c r="AG46" s="0"/>
    </row>
    <row r="47" customFormat="false" ht="12.75" hidden="false" customHeight="false" outlineLevel="0" collapsed="false">
      <c r="A47" s="11" t="s">
        <v>4</v>
      </c>
      <c r="B47" s="12" t="s">
        <v>5</v>
      </c>
      <c r="C47" s="12" t="s">
        <v>6</v>
      </c>
      <c r="D47" s="13" t="n">
        <v>1999</v>
      </c>
      <c r="E47" s="14" t="n">
        <v>2000</v>
      </c>
      <c r="F47" s="14" t="n">
        <v>2001</v>
      </c>
      <c r="G47" s="14" t="n">
        <v>2002</v>
      </c>
      <c r="H47" s="14" t="n">
        <v>2003</v>
      </c>
      <c r="I47" s="14" t="n">
        <v>2004</v>
      </c>
      <c r="J47" s="14" t="n">
        <v>2005</v>
      </c>
      <c r="K47" s="14" t="n">
        <v>2006</v>
      </c>
      <c r="L47" s="14" t="n">
        <v>2007</v>
      </c>
      <c r="M47" s="14" t="n">
        <v>2008</v>
      </c>
      <c r="N47" s="14" t="n">
        <v>2009</v>
      </c>
      <c r="O47" s="15" t="n">
        <v>2010</v>
      </c>
      <c r="P47" s="16" t="n">
        <v>2011</v>
      </c>
      <c r="Q47" s="16" t="n">
        <v>2012</v>
      </c>
      <c r="R47" s="16" t="n">
        <v>2013</v>
      </c>
      <c r="S47" s="16" t="n">
        <v>2014</v>
      </c>
      <c r="T47" s="16" t="n">
        <v>2015</v>
      </c>
      <c r="U47" s="16" t="n">
        <v>2016</v>
      </c>
      <c r="V47" s="16" t="n">
        <v>2017</v>
      </c>
      <c r="W47" s="16" t="n">
        <v>2018</v>
      </c>
      <c r="X47" s="16" t="n">
        <v>2019</v>
      </c>
      <c r="Y47" s="16" t="n">
        <v>2020</v>
      </c>
      <c r="Z47" s="0"/>
      <c r="AA47" s="0"/>
      <c r="AB47" s="0"/>
      <c r="AC47" s="0"/>
      <c r="AD47" s="0"/>
      <c r="AE47" s="0"/>
      <c r="AF47" s="0"/>
      <c r="AG47" s="0"/>
    </row>
    <row r="48" customFormat="false" ht="12.75" hidden="false" customHeight="false" outlineLevel="0" collapsed="false">
      <c r="A48" s="11" t="s">
        <v>7</v>
      </c>
      <c r="B48" s="17" t="n">
        <f aca="false">NPV(0.1,D48:Y48)</f>
        <v>430825.216465593</v>
      </c>
      <c r="C48" s="17" t="n">
        <f aca="false">B48-B38</f>
        <v>0</v>
      </c>
      <c r="D48" s="18" t="n">
        <v>26519.7963498736</v>
      </c>
      <c r="E48" s="19" t="n">
        <v>36688.0660098591</v>
      </c>
      <c r="F48" s="19" t="n">
        <v>36966.9939662001</v>
      </c>
      <c r="G48" s="19" t="n">
        <v>37199.7746952514</v>
      </c>
      <c r="H48" s="19" t="n">
        <v>46623.0542580929</v>
      </c>
      <c r="I48" s="19" t="n">
        <v>54441.9396657499</v>
      </c>
      <c r="J48" s="19" t="n">
        <v>55849.9367690245</v>
      </c>
      <c r="K48" s="19" t="n">
        <v>56914.5385053034</v>
      </c>
      <c r="L48" s="19" t="n">
        <v>58094.4686652381</v>
      </c>
      <c r="M48" s="19" t="n">
        <v>59389.0947696498</v>
      </c>
      <c r="N48" s="19" t="n">
        <v>60833.8865394601</v>
      </c>
      <c r="O48" s="20" t="n">
        <v>62431.4245681761</v>
      </c>
      <c r="P48" s="21" t="n">
        <v>64321.1828272317</v>
      </c>
      <c r="Q48" s="21" t="n">
        <v>66298.2990354357</v>
      </c>
      <c r="R48" s="21" t="n">
        <v>68355.756217228</v>
      </c>
      <c r="S48" s="21" t="n">
        <v>70456.9418100334</v>
      </c>
      <c r="T48" s="21" t="n">
        <v>72583.6106760295</v>
      </c>
      <c r="U48" s="21" t="n">
        <v>74401.5850793457</v>
      </c>
      <c r="V48" s="21" t="n">
        <v>76181.0668755413</v>
      </c>
      <c r="W48" s="21" t="n">
        <v>77956.7129376313</v>
      </c>
      <c r="X48" s="21" t="n">
        <v>0</v>
      </c>
      <c r="Y48" s="21" t="n">
        <v>0</v>
      </c>
      <c r="Z48" s="0"/>
      <c r="AA48" s="0"/>
      <c r="AB48" s="0"/>
      <c r="AC48" s="0"/>
      <c r="AD48" s="0"/>
      <c r="AE48" s="0"/>
      <c r="AF48" s="0"/>
      <c r="AG48" s="0"/>
    </row>
    <row r="49" customFormat="false" ht="12.75" hidden="false" customHeight="false" outlineLevel="0" collapsed="false">
      <c r="A49" s="22" t="s">
        <v>8</v>
      </c>
      <c r="B49" s="17" t="n">
        <f aca="false">NPV(0.1,D49:Y49)</f>
        <v>204858.018541655</v>
      </c>
      <c r="C49" s="17" t="n">
        <f aca="false">B49-B39</f>
        <v>0</v>
      </c>
      <c r="D49" s="18" t="n">
        <v>16747.4360423736</v>
      </c>
      <c r="E49" s="19" t="n">
        <v>20539.1759713187</v>
      </c>
      <c r="F49" s="19" t="n">
        <v>20873.5629676858</v>
      </c>
      <c r="G49" s="19" t="n">
        <v>21163.7933601831</v>
      </c>
      <c r="H49" s="19" t="n">
        <v>21526.2390129337</v>
      </c>
      <c r="I49" s="19" t="n">
        <v>21970.1756161654</v>
      </c>
      <c r="J49" s="19" t="n">
        <v>22495.682534556</v>
      </c>
      <c r="K49" s="19" t="n">
        <v>23133.5314797981</v>
      </c>
      <c r="L49" s="19" t="n">
        <v>23892.5394144149</v>
      </c>
      <c r="M49" s="19" t="n">
        <v>24772.7930623325</v>
      </c>
      <c r="N49" s="19" t="n">
        <v>25805.0717152696</v>
      </c>
      <c r="O49" s="20" t="n">
        <v>27782.6454690809</v>
      </c>
      <c r="P49" s="21" t="n">
        <v>29076.7955306924</v>
      </c>
      <c r="Q49" s="21" t="n">
        <v>30443.3701243154</v>
      </c>
      <c r="R49" s="21" t="n">
        <v>31892.2419426038</v>
      </c>
      <c r="S49" s="21" t="n">
        <v>33387.3770354007</v>
      </c>
      <c r="T49" s="21" t="n">
        <v>34878.4566115089</v>
      </c>
      <c r="U49" s="21" t="n">
        <v>36373.3915495275</v>
      </c>
      <c r="V49" s="21" t="n">
        <v>37853.8142034265</v>
      </c>
      <c r="W49" s="21" t="n">
        <v>39454.034291709</v>
      </c>
      <c r="X49" s="21" t="n">
        <v>0</v>
      </c>
      <c r="Y49" s="21" t="n">
        <v>0</v>
      </c>
      <c r="Z49" s="0"/>
      <c r="AA49" s="0"/>
      <c r="AB49" s="0"/>
      <c r="AC49" s="0"/>
      <c r="AD49" s="0"/>
      <c r="AE49" s="0"/>
      <c r="AF49" s="0"/>
      <c r="AG49" s="0"/>
    </row>
    <row r="50" customFormat="false" ht="12.75" hidden="false" customHeight="false" outlineLevel="0" collapsed="false">
      <c r="A50" s="22" t="s">
        <v>9</v>
      </c>
      <c r="B50" s="17" t="n">
        <f aca="false">NPV(0.1,D50:Y50)</f>
        <v>84105.3622289442</v>
      </c>
      <c r="C50" s="17" t="n">
        <f aca="false">B50-B40</f>
        <v>0</v>
      </c>
      <c r="D50" s="18" t="n">
        <v>725.350398401826</v>
      </c>
      <c r="E50" s="19" t="n">
        <v>1661.35304425238</v>
      </c>
      <c r="F50" s="19" t="n">
        <v>1763.48926616191</v>
      </c>
      <c r="G50" s="19" t="n">
        <v>1861.19838902964</v>
      </c>
      <c r="H50" s="19" t="n">
        <v>7464.35056474206</v>
      </c>
      <c r="I50" s="19" t="n">
        <v>12273.6923145598</v>
      </c>
      <c r="J50" s="19" t="n">
        <v>13192.9654098771</v>
      </c>
      <c r="K50" s="19" t="n">
        <v>13758.936333208</v>
      </c>
      <c r="L50" s="19" t="n">
        <v>14375.4065939042</v>
      </c>
      <c r="M50" s="19" t="n">
        <v>15024.3949417079</v>
      </c>
      <c r="N50" s="19" t="n">
        <v>15711.5849312662</v>
      </c>
      <c r="O50" s="20" t="n">
        <v>15929.1704843664</v>
      </c>
      <c r="P50" s="21" t="n">
        <v>16802.0530518053</v>
      </c>
      <c r="Q50" s="21" t="n">
        <v>17736.0198594998</v>
      </c>
      <c r="R50" s="21" t="n">
        <v>18575.4971383848</v>
      </c>
      <c r="S50" s="21" t="n">
        <v>19622.5097161432</v>
      </c>
      <c r="T50" s="21" t="n">
        <v>20039.3884196806</v>
      </c>
      <c r="U50" s="21" t="n">
        <v>20246.1437511883</v>
      </c>
      <c r="V50" s="21" t="n">
        <v>20438.3095870934</v>
      </c>
      <c r="W50" s="21" t="n">
        <v>20525.6544528323</v>
      </c>
      <c r="X50" s="21" t="n">
        <v>0</v>
      </c>
      <c r="Y50" s="21" t="n">
        <v>0</v>
      </c>
      <c r="Z50" s="0"/>
      <c r="AA50" s="0"/>
      <c r="AB50" s="0"/>
      <c r="AC50" s="0"/>
      <c r="AD50" s="0"/>
      <c r="AE50" s="0"/>
      <c r="AF50" s="0"/>
      <c r="AG50" s="0"/>
    </row>
    <row r="51" customFormat="false" ht="12.75" hidden="false" customHeight="false" outlineLevel="0" collapsed="false">
      <c r="A51" s="22" t="s">
        <v>10</v>
      </c>
      <c r="B51" s="17" t="n">
        <f aca="false">NPV(0.1,D51:Y51)</f>
        <v>99011.4608199981</v>
      </c>
      <c r="C51" s="17" t="n">
        <f aca="false">B51-B41</f>
        <v>91.0424880576611</v>
      </c>
      <c r="D51" s="23" t="n">
        <v>3174.73649265098</v>
      </c>
      <c r="E51" s="24" t="n">
        <v>6176.00805176461</v>
      </c>
      <c r="F51" s="24" t="n">
        <v>5614.88608509249</v>
      </c>
      <c r="G51" s="24" t="n">
        <v>5584.45797229637</v>
      </c>
      <c r="H51" s="24" t="n">
        <v>15305.2463692221</v>
      </c>
      <c r="I51" s="24" t="n">
        <v>17043.7064759142</v>
      </c>
      <c r="J51" s="24" t="n">
        <v>13224.1020175762</v>
      </c>
      <c r="K51" s="24" t="n">
        <v>13116.4003193154</v>
      </c>
      <c r="L51" s="24" t="n">
        <v>13001.029283498</v>
      </c>
      <c r="M51" s="24" t="n">
        <v>12873.0927652841</v>
      </c>
      <c r="N51" s="24" t="n">
        <v>12703.998120236</v>
      </c>
      <c r="O51" s="25" t="n">
        <v>13116.2631061881</v>
      </c>
      <c r="P51" s="21" t="n">
        <v>12103.6032056987</v>
      </c>
      <c r="Q51" s="21" t="n">
        <v>11901.6058888587</v>
      </c>
      <c r="R51" s="21" t="n">
        <v>16911.9111109524</v>
      </c>
      <c r="S51" s="21" t="n">
        <v>23155.2426015634</v>
      </c>
      <c r="T51" s="21" t="n">
        <v>23101.5707808975</v>
      </c>
      <c r="U51" s="21" t="n">
        <v>23296.9410470537</v>
      </c>
      <c r="V51" s="21" t="n">
        <v>23494.0724976873</v>
      </c>
      <c r="W51" s="21" t="n">
        <v>23684.6063259567</v>
      </c>
      <c r="X51" s="21" t="n">
        <v>0</v>
      </c>
      <c r="Y51" s="21" t="n">
        <v>0</v>
      </c>
      <c r="Z51" s="0"/>
      <c r="AA51" s="0"/>
      <c r="AB51" s="0"/>
      <c r="AC51" s="0"/>
      <c r="AD51" s="0"/>
      <c r="AE51" s="0"/>
      <c r="AF51" s="0"/>
      <c r="AG51" s="0"/>
    </row>
    <row r="52" customFormat="false" ht="12.75" hidden="false" customHeight="false" outlineLevel="0" collapsed="false">
      <c r="A52" s="5"/>
      <c r="B52" s="5"/>
      <c r="C52" s="5"/>
      <c r="D52" s="0"/>
      <c r="E52" s="0"/>
      <c r="F52" s="0"/>
      <c r="G52" s="0"/>
      <c r="H52" s="0"/>
      <c r="I52" s="0"/>
      <c r="J52" s="0"/>
      <c r="K52" s="0"/>
      <c r="L52" s="0"/>
      <c r="M52" s="0"/>
      <c r="N52" s="0"/>
      <c r="O52" s="0"/>
      <c r="P52" s="0"/>
      <c r="Q52" s="0"/>
      <c r="R52" s="0"/>
      <c r="S52" s="0"/>
      <c r="T52" s="0"/>
      <c r="U52" s="0"/>
      <c r="V52" s="0"/>
      <c r="W52" s="0"/>
      <c r="X52" s="0"/>
      <c r="Y52" s="0"/>
      <c r="Z52" s="0"/>
      <c r="AA52" s="0"/>
      <c r="AB52" s="0"/>
      <c r="AC52" s="0"/>
      <c r="AD52" s="0"/>
      <c r="AE52" s="0"/>
      <c r="AF52" s="0"/>
      <c r="AG52" s="0"/>
    </row>
    <row r="53" customFormat="false" ht="12.75" hidden="false" customHeight="false" outlineLevel="0" collapsed="false">
      <c r="A53" s="26" t="s">
        <v>17</v>
      </c>
      <c r="B53" s="5"/>
      <c r="C53" s="5"/>
      <c r="D53" s="0"/>
      <c r="E53" s="0"/>
      <c r="F53" s="0"/>
      <c r="G53" s="0"/>
      <c r="H53" s="0"/>
      <c r="I53" s="0"/>
      <c r="J53" s="0"/>
      <c r="K53" s="0"/>
      <c r="L53" s="0"/>
      <c r="M53" s="0"/>
      <c r="N53" s="0"/>
      <c r="O53" s="0"/>
      <c r="P53" s="0"/>
      <c r="Q53" s="0"/>
      <c r="R53" s="0"/>
      <c r="S53" s="0"/>
      <c r="T53" s="0"/>
      <c r="U53" s="0"/>
      <c r="V53" s="0"/>
      <c r="W53" s="0"/>
      <c r="X53" s="0"/>
      <c r="Y53" s="0"/>
      <c r="Z53" s="0"/>
      <c r="AA53" s="0"/>
      <c r="AB53" s="0"/>
      <c r="AC53" s="0"/>
      <c r="AD53" s="0"/>
      <c r="AE53" s="0"/>
      <c r="AF53" s="0"/>
      <c r="AG53" s="0"/>
    </row>
    <row r="54" customFormat="false" ht="12.75" hidden="false" customHeight="false" outlineLevel="0" collapsed="false">
      <c r="A54" s="28" t="n">
        <v>36221</v>
      </c>
      <c r="B54" s="5"/>
      <c r="C54" s="5"/>
      <c r="D54" s="0"/>
      <c r="E54" s="0"/>
      <c r="F54" s="0"/>
      <c r="G54" s="0"/>
      <c r="H54" s="0"/>
      <c r="I54" s="0"/>
      <c r="J54" s="0"/>
      <c r="K54" s="0"/>
      <c r="L54" s="0"/>
      <c r="M54" s="0"/>
      <c r="N54" s="0"/>
      <c r="O54" s="0"/>
      <c r="P54" s="0"/>
      <c r="Q54" s="0"/>
      <c r="R54" s="0"/>
      <c r="S54" s="0"/>
      <c r="T54" s="0"/>
      <c r="U54" s="0"/>
      <c r="V54" s="0"/>
      <c r="W54" s="0"/>
      <c r="X54" s="0"/>
      <c r="Y54" s="0"/>
      <c r="Z54" s="0"/>
      <c r="AA54" s="0"/>
      <c r="AB54" s="0"/>
      <c r="AC54" s="0"/>
      <c r="AD54" s="0"/>
      <c r="AE54" s="0"/>
      <c r="AF54" s="0"/>
      <c r="AG54" s="0"/>
    </row>
    <row r="55" customFormat="false" ht="12.75" hidden="false" customHeight="false" outlineLevel="0" collapsed="false">
      <c r="A55" s="7" t="s">
        <v>2</v>
      </c>
      <c r="B55" s="8" t="n">
        <v>36648.5253329781</v>
      </c>
      <c r="C55" s="5" t="s">
        <v>14</v>
      </c>
      <c r="D55" s="0"/>
      <c r="E55" s="0"/>
      <c r="F55" s="0"/>
      <c r="G55" s="0"/>
      <c r="H55" s="0"/>
      <c r="I55" s="0"/>
      <c r="J55" s="0"/>
      <c r="K55" s="0"/>
      <c r="L55" s="0"/>
      <c r="M55" s="0"/>
      <c r="N55" s="0"/>
      <c r="O55" s="0"/>
      <c r="P55" s="0"/>
      <c r="Q55" s="0"/>
      <c r="R55" s="0"/>
      <c r="S55" s="0"/>
      <c r="T55" s="0"/>
      <c r="U55" s="0"/>
      <c r="V55" s="0"/>
      <c r="W55" s="0"/>
      <c r="X55" s="0"/>
      <c r="Y55" s="0"/>
      <c r="Z55" s="0"/>
      <c r="AA55" s="0"/>
      <c r="AB55" s="0"/>
      <c r="AC55" s="0"/>
      <c r="AD55" s="0"/>
      <c r="AE55" s="0"/>
      <c r="AF55" s="0"/>
      <c r="AG55" s="0"/>
    </row>
    <row r="56" customFormat="false" ht="12.75" hidden="false" customHeight="false" outlineLevel="0" collapsed="false">
      <c r="A56" s="9" t="s">
        <v>3</v>
      </c>
      <c r="B56" s="10" t="n">
        <v>71440.9058670968</v>
      </c>
      <c r="C56" s="5"/>
      <c r="D56" s="0"/>
      <c r="E56" s="0"/>
      <c r="F56" s="0"/>
      <c r="G56" s="0"/>
      <c r="H56" s="0"/>
      <c r="I56" s="0"/>
      <c r="J56" s="0"/>
      <c r="K56" s="0"/>
      <c r="L56" s="0"/>
      <c r="M56" s="0"/>
      <c r="N56" s="0"/>
      <c r="O56" s="0"/>
      <c r="P56" s="0"/>
      <c r="Q56" s="0"/>
      <c r="R56" s="0"/>
      <c r="S56" s="0"/>
      <c r="T56" s="0"/>
      <c r="U56" s="0"/>
      <c r="V56" s="0"/>
      <c r="W56" s="0"/>
      <c r="X56" s="0"/>
      <c r="Y56" s="0"/>
      <c r="Z56" s="0"/>
      <c r="AA56" s="0"/>
      <c r="AB56" s="0"/>
      <c r="AC56" s="0"/>
      <c r="AD56" s="0"/>
      <c r="AE56" s="0"/>
      <c r="AF56" s="0"/>
      <c r="AG56" s="0"/>
    </row>
    <row r="57" customFormat="false" ht="12.75" hidden="false" customHeight="false" outlineLevel="0" collapsed="false">
      <c r="A57" s="11" t="s">
        <v>4</v>
      </c>
      <c r="B57" s="12" t="s">
        <v>5</v>
      </c>
      <c r="C57" s="12" t="s">
        <v>6</v>
      </c>
      <c r="D57" s="13" t="n">
        <v>1999</v>
      </c>
      <c r="E57" s="14" t="n">
        <v>2000</v>
      </c>
      <c r="F57" s="14" t="n">
        <v>2001</v>
      </c>
      <c r="G57" s="14" t="n">
        <v>2002</v>
      </c>
      <c r="H57" s="14" t="n">
        <v>2003</v>
      </c>
      <c r="I57" s="14" t="n">
        <v>2004</v>
      </c>
      <c r="J57" s="14" t="n">
        <v>2005</v>
      </c>
      <c r="K57" s="14" t="n">
        <v>2006</v>
      </c>
      <c r="L57" s="14" t="n">
        <v>2007</v>
      </c>
      <c r="M57" s="14" t="n">
        <v>2008</v>
      </c>
      <c r="N57" s="14" t="n">
        <v>2009</v>
      </c>
      <c r="O57" s="15" t="n">
        <v>2010</v>
      </c>
      <c r="P57" s="16" t="n">
        <v>2011</v>
      </c>
      <c r="Q57" s="16" t="n">
        <v>2012</v>
      </c>
      <c r="R57" s="16" t="n">
        <v>2013</v>
      </c>
      <c r="S57" s="16" t="n">
        <v>2014</v>
      </c>
      <c r="T57" s="16" t="n">
        <v>2015</v>
      </c>
      <c r="U57" s="16" t="n">
        <v>2016</v>
      </c>
      <c r="V57" s="16" t="n">
        <v>2017</v>
      </c>
      <c r="W57" s="16" t="n">
        <v>2018</v>
      </c>
      <c r="X57" s="16" t="n">
        <v>2019</v>
      </c>
      <c r="Y57" s="16" t="n">
        <v>2020</v>
      </c>
      <c r="Z57" s="0"/>
      <c r="AA57" s="0"/>
      <c r="AB57" s="0"/>
      <c r="AC57" s="0"/>
      <c r="AD57" s="0"/>
      <c r="AE57" s="0"/>
      <c r="AF57" s="0"/>
      <c r="AG57" s="0"/>
    </row>
    <row r="58" customFormat="false" ht="12.75" hidden="false" customHeight="false" outlineLevel="0" collapsed="false">
      <c r="A58" s="11" t="s">
        <v>7</v>
      </c>
      <c r="B58" s="17" t="n">
        <f aca="false">NPV(0.1,D58:Y58)</f>
        <v>430162.922539337</v>
      </c>
      <c r="C58" s="17" t="n">
        <f aca="false">B58-B48</f>
        <v>-662.293926255952</v>
      </c>
      <c r="D58" s="18" t="n">
        <v>26456.1651721875</v>
      </c>
      <c r="E58" s="19" t="n">
        <v>36622.8167682054</v>
      </c>
      <c r="F58" s="19" t="n">
        <v>36899.7467266388</v>
      </c>
      <c r="G58" s="19" t="n">
        <v>37130.4608454278</v>
      </c>
      <c r="H58" s="19" t="n">
        <v>46551.6218507978</v>
      </c>
      <c r="I58" s="19" t="n">
        <v>54368.3363263156</v>
      </c>
      <c r="J58" s="19" t="n">
        <v>55774.1081752542</v>
      </c>
      <c r="K58" s="19" t="n">
        <v>56836.4340779057</v>
      </c>
      <c r="L58" s="19" t="n">
        <v>58014.036281412</v>
      </c>
      <c r="M58" s="19" t="n">
        <v>59306.2801784764</v>
      </c>
      <c r="N58" s="19" t="n">
        <v>60748.6390469201</v>
      </c>
      <c r="O58" s="20" t="n">
        <v>62343.6917451537</v>
      </c>
      <c r="P58" s="21" t="n">
        <v>64230.9099191597</v>
      </c>
      <c r="Q58" s="21" t="n">
        <v>66205.4173948106</v>
      </c>
      <c r="R58" s="21" t="n">
        <v>68260.1936842274</v>
      </c>
      <c r="S58" s="21" t="n">
        <v>70358.6179348906</v>
      </c>
      <c r="T58" s="21" t="n">
        <v>72482.4395694936</v>
      </c>
      <c r="U58" s="21" t="n">
        <v>74297.4767975085</v>
      </c>
      <c r="V58" s="21" t="n">
        <v>76073.9231579729</v>
      </c>
      <c r="W58" s="21" t="n">
        <v>77846.43841275</v>
      </c>
      <c r="X58" s="21" t="n">
        <v>0</v>
      </c>
      <c r="Y58" s="21" t="n">
        <v>0</v>
      </c>
      <c r="Z58" s="0"/>
      <c r="AA58" s="0"/>
      <c r="AB58" s="0"/>
      <c r="AC58" s="0"/>
      <c r="AD58" s="0"/>
      <c r="AE58" s="0"/>
      <c r="AF58" s="0"/>
      <c r="AG58" s="0"/>
    </row>
    <row r="59" customFormat="false" ht="12.75" hidden="false" customHeight="false" outlineLevel="0" collapsed="false">
      <c r="A59" s="22" t="s">
        <v>8</v>
      </c>
      <c r="B59" s="17" t="n">
        <f aca="false">NPV(0.1,D59:Y59)</f>
        <v>204858.018541655</v>
      </c>
      <c r="C59" s="17" t="n">
        <f aca="false">B59-B49</f>
        <v>0</v>
      </c>
      <c r="D59" s="18" t="n">
        <v>16747.4360423736</v>
      </c>
      <c r="E59" s="19" t="n">
        <v>20539.1759713187</v>
      </c>
      <c r="F59" s="19" t="n">
        <v>20873.5629676858</v>
      </c>
      <c r="G59" s="19" t="n">
        <v>21163.7933601831</v>
      </c>
      <c r="H59" s="19" t="n">
        <v>21526.2390129337</v>
      </c>
      <c r="I59" s="19" t="n">
        <v>21970.1756161654</v>
      </c>
      <c r="J59" s="19" t="n">
        <v>22495.682534556</v>
      </c>
      <c r="K59" s="19" t="n">
        <v>23133.5314797981</v>
      </c>
      <c r="L59" s="19" t="n">
        <v>23892.5394144149</v>
      </c>
      <c r="M59" s="19" t="n">
        <v>24772.7930623325</v>
      </c>
      <c r="N59" s="19" t="n">
        <v>25805.0717152696</v>
      </c>
      <c r="O59" s="20" t="n">
        <v>27782.6454690809</v>
      </c>
      <c r="P59" s="21" t="n">
        <v>29076.7955306924</v>
      </c>
      <c r="Q59" s="21" t="n">
        <v>30443.3701243154</v>
      </c>
      <c r="R59" s="21" t="n">
        <v>31892.2419426038</v>
      </c>
      <c r="S59" s="21" t="n">
        <v>33387.3770354007</v>
      </c>
      <c r="T59" s="21" t="n">
        <v>34878.4566115089</v>
      </c>
      <c r="U59" s="21" t="n">
        <v>36373.3915495275</v>
      </c>
      <c r="V59" s="21" t="n">
        <v>37853.8142034265</v>
      </c>
      <c r="W59" s="21" t="n">
        <v>39454.034291709</v>
      </c>
      <c r="X59" s="21" t="n">
        <v>0</v>
      </c>
      <c r="Y59" s="21" t="n">
        <v>0</v>
      </c>
      <c r="Z59" s="0"/>
      <c r="AA59" s="0"/>
      <c r="AB59" s="0"/>
      <c r="AC59" s="0"/>
      <c r="AD59" s="0"/>
      <c r="AE59" s="0"/>
      <c r="AF59" s="0"/>
      <c r="AG59" s="0"/>
    </row>
    <row r="60" customFormat="false" ht="12.75" hidden="false" customHeight="false" outlineLevel="0" collapsed="false">
      <c r="A60" s="22" t="s">
        <v>9</v>
      </c>
      <c r="B60" s="17" t="n">
        <f aca="false">NPV(0.1,D60:Y60)</f>
        <v>84094.2815378814</v>
      </c>
      <c r="C60" s="17" t="n">
        <f aca="false">B60-B50</f>
        <v>-11.0806910628016</v>
      </c>
      <c r="D60" s="18" t="n">
        <v>713.161638232737</v>
      </c>
      <c r="E60" s="19" t="n">
        <v>1661.35304425238</v>
      </c>
      <c r="F60" s="19" t="n">
        <v>1763.48926616191</v>
      </c>
      <c r="G60" s="19" t="n">
        <v>1861.19838902964</v>
      </c>
      <c r="H60" s="19" t="n">
        <v>7464.35056474205</v>
      </c>
      <c r="I60" s="19" t="n">
        <v>12273.6923145598</v>
      </c>
      <c r="J60" s="19" t="n">
        <v>13192.9654098771</v>
      </c>
      <c r="K60" s="19" t="n">
        <v>13758.936333208</v>
      </c>
      <c r="L60" s="19" t="n">
        <v>14375.4065939043</v>
      </c>
      <c r="M60" s="19" t="n">
        <v>15024.3949417079</v>
      </c>
      <c r="N60" s="19" t="n">
        <v>15711.5849312662</v>
      </c>
      <c r="O60" s="20" t="n">
        <v>15929.1704843664</v>
      </c>
      <c r="P60" s="21" t="n">
        <v>16802.0530518053</v>
      </c>
      <c r="Q60" s="21" t="n">
        <v>17736.0198594998</v>
      </c>
      <c r="R60" s="21" t="n">
        <v>18575.4971383849</v>
      </c>
      <c r="S60" s="21" t="n">
        <v>19622.5097161432</v>
      </c>
      <c r="T60" s="21" t="n">
        <v>20039.3884196806</v>
      </c>
      <c r="U60" s="21" t="n">
        <v>20246.1437511883</v>
      </c>
      <c r="V60" s="21" t="n">
        <v>20438.3095870934</v>
      </c>
      <c r="W60" s="21" t="n">
        <v>20525.6544528323</v>
      </c>
      <c r="X60" s="21" t="n">
        <v>0</v>
      </c>
      <c r="Y60" s="21" t="n">
        <v>0</v>
      </c>
      <c r="Z60" s="0"/>
      <c r="AA60" s="0"/>
      <c r="AB60" s="0"/>
      <c r="AC60" s="0"/>
      <c r="AD60" s="0"/>
      <c r="AE60" s="0"/>
      <c r="AF60" s="0"/>
      <c r="AG60" s="0"/>
    </row>
    <row r="61" customFormat="false" ht="12.75" hidden="false" customHeight="false" outlineLevel="0" collapsed="false">
      <c r="A61" s="22" t="s">
        <v>10</v>
      </c>
      <c r="B61" s="17" t="n">
        <f aca="false">NPV(0.1,D61:Y61)</f>
        <v>99150.272668318</v>
      </c>
      <c r="C61" s="17" t="n">
        <f aca="false">B61-B51</f>
        <v>138.811848319863</v>
      </c>
      <c r="D61" s="23" t="n">
        <v>3402.91615931765</v>
      </c>
      <c r="E61" s="24" t="n">
        <v>6176.00805176461</v>
      </c>
      <c r="F61" s="24" t="n">
        <v>5614.8860850925</v>
      </c>
      <c r="G61" s="24" t="n">
        <v>5584.45797229637</v>
      </c>
      <c r="H61" s="24" t="n">
        <v>15305.2463692221</v>
      </c>
      <c r="I61" s="24" t="n">
        <v>16988.5376595344</v>
      </c>
      <c r="J61" s="24" t="n">
        <v>13214.628769739</v>
      </c>
      <c r="K61" s="24" t="n">
        <v>13106.8943574704</v>
      </c>
      <c r="L61" s="24" t="n">
        <v>12991.4999054103</v>
      </c>
      <c r="M61" s="24" t="n">
        <v>12863.5216741596</v>
      </c>
      <c r="N61" s="24" t="n">
        <v>12694.4123180293</v>
      </c>
      <c r="O61" s="25" t="n">
        <v>13105.3586594844</v>
      </c>
      <c r="P61" s="21" t="n">
        <v>12094.0452266604</v>
      </c>
      <c r="Q61" s="21" t="n">
        <v>11892.0328084372</v>
      </c>
      <c r="R61" s="21" t="n">
        <v>16893.5529981517</v>
      </c>
      <c r="S61" s="21" t="n">
        <v>23150.3562721879</v>
      </c>
      <c r="T61" s="21" t="n">
        <v>23097.4411558393</v>
      </c>
      <c r="U61" s="21" t="n">
        <v>23292.8232120869</v>
      </c>
      <c r="V61" s="21" t="n">
        <v>23489.939902116</v>
      </c>
      <c r="W61" s="21" t="n">
        <v>23680.2993328549</v>
      </c>
      <c r="X61" s="21" t="n">
        <v>0</v>
      </c>
      <c r="Y61" s="21" t="n">
        <v>0</v>
      </c>
      <c r="Z61" s="0"/>
      <c r="AA61" s="0"/>
      <c r="AB61" s="0"/>
      <c r="AC61" s="0"/>
      <c r="AD61" s="0"/>
      <c r="AE61" s="0"/>
      <c r="AF61" s="0"/>
      <c r="AG61" s="0"/>
    </row>
    <row r="62" customFormat="false" ht="12.75" hidden="false" customHeight="false" outlineLevel="0" collapsed="false">
      <c r="A62" s="5"/>
      <c r="B62" s="5"/>
      <c r="C62" s="5"/>
      <c r="D62" s="0"/>
      <c r="E62" s="0"/>
      <c r="F62" s="0"/>
      <c r="G62" s="0"/>
      <c r="H62" s="0"/>
      <c r="I62" s="0"/>
      <c r="J62" s="0"/>
      <c r="K62" s="0"/>
      <c r="L62" s="0"/>
      <c r="M62" s="0"/>
      <c r="N62" s="0"/>
      <c r="O62" s="0"/>
      <c r="P62" s="0"/>
      <c r="Q62" s="0"/>
      <c r="R62" s="0"/>
      <c r="S62" s="0"/>
      <c r="T62" s="0"/>
      <c r="U62" s="0"/>
      <c r="V62" s="0"/>
      <c r="W62" s="0"/>
      <c r="X62" s="0"/>
      <c r="Y62" s="0"/>
      <c r="Z62" s="0"/>
      <c r="AA62" s="0"/>
      <c r="AB62" s="0"/>
      <c r="AC62" s="0"/>
      <c r="AD62" s="0"/>
      <c r="AE62" s="0"/>
      <c r="AF62" s="0"/>
      <c r="AG62" s="0"/>
    </row>
    <row r="63" customFormat="false" ht="12.75" hidden="false" customHeight="false" outlineLevel="0" collapsed="false">
      <c r="A63" s="26" t="s">
        <v>18</v>
      </c>
      <c r="B63" s="5"/>
      <c r="C63" s="5"/>
      <c r="D63" s="0"/>
      <c r="E63" s="0"/>
      <c r="F63" s="0"/>
      <c r="G63" s="0"/>
      <c r="H63" s="0"/>
      <c r="I63" s="0"/>
      <c r="J63" s="0"/>
      <c r="K63" s="0"/>
      <c r="L63" s="0"/>
      <c r="M63" s="0"/>
      <c r="N63" s="0"/>
      <c r="O63" s="0"/>
      <c r="P63" s="0"/>
      <c r="Q63" s="0"/>
      <c r="R63" s="0"/>
      <c r="S63" s="0"/>
      <c r="T63" s="0"/>
      <c r="U63" s="0"/>
      <c r="V63" s="0"/>
      <c r="W63" s="0"/>
      <c r="X63" s="0"/>
      <c r="Y63" s="0"/>
      <c r="Z63" s="0"/>
      <c r="AA63" s="0"/>
      <c r="AB63" s="0"/>
      <c r="AC63" s="0"/>
      <c r="AD63" s="0"/>
      <c r="AE63" s="0"/>
      <c r="AF63" s="0"/>
      <c r="AG63" s="0"/>
    </row>
    <row r="64" customFormat="false" ht="12.75" hidden="false" customHeight="false" outlineLevel="1" collapsed="false">
      <c r="A64" s="28" t="n">
        <v>36221</v>
      </c>
      <c r="B64" s="5"/>
      <c r="C64" s="5"/>
      <c r="D64" s="0"/>
      <c r="E64" s="0"/>
      <c r="F64" s="0"/>
      <c r="G64" s="0"/>
      <c r="H64" s="0"/>
      <c r="I64" s="0"/>
      <c r="J64" s="0"/>
      <c r="K64" s="0"/>
      <c r="L64" s="0"/>
      <c r="M64" s="0"/>
      <c r="N64" s="0"/>
      <c r="O64" s="0"/>
      <c r="P64" s="0"/>
      <c r="Q64" s="0"/>
      <c r="R64" s="0"/>
      <c r="S64" s="0"/>
      <c r="T64" s="0"/>
      <c r="U64" s="0"/>
      <c r="V64" s="0"/>
      <c r="W64" s="0"/>
      <c r="X64" s="0"/>
      <c r="Y64" s="0"/>
      <c r="Z64" s="0"/>
      <c r="AA64" s="0"/>
      <c r="AB64" s="0"/>
      <c r="AC64" s="0"/>
      <c r="AD64" s="0"/>
      <c r="AE64" s="0"/>
      <c r="AF64" s="0"/>
      <c r="AG64" s="0"/>
    </row>
    <row r="65" customFormat="false" ht="12.75" hidden="false" customHeight="false" outlineLevel="1" collapsed="false">
      <c r="A65" s="7" t="s">
        <v>2</v>
      </c>
      <c r="B65" s="8" t="n">
        <v>36634.3503645705</v>
      </c>
      <c r="C65" s="5" t="s">
        <v>14</v>
      </c>
      <c r="D65" s="0"/>
      <c r="E65" s="0"/>
      <c r="F65" s="0"/>
      <c r="G65" s="0"/>
      <c r="H65" s="0"/>
      <c r="I65" s="0"/>
      <c r="J65" s="0"/>
      <c r="K65" s="0"/>
      <c r="L65" s="0"/>
      <c r="M65" s="0"/>
      <c r="N65" s="0"/>
      <c r="O65" s="0"/>
      <c r="P65" s="0"/>
      <c r="Q65" s="0"/>
      <c r="R65" s="0"/>
      <c r="S65" s="0"/>
      <c r="T65" s="0"/>
      <c r="U65" s="0"/>
      <c r="V65" s="0"/>
      <c r="W65" s="0"/>
      <c r="X65" s="0"/>
      <c r="Y65" s="0"/>
      <c r="Z65" s="0"/>
      <c r="AA65" s="0"/>
      <c r="AB65" s="0"/>
      <c r="AC65" s="0"/>
      <c r="AD65" s="0"/>
      <c r="AE65" s="0"/>
      <c r="AF65" s="0"/>
      <c r="AG65" s="0"/>
    </row>
    <row r="66" customFormat="false" ht="12.75" hidden="false" customHeight="false" outlineLevel="1" collapsed="false">
      <c r="A66" s="9" t="s">
        <v>3</v>
      </c>
      <c r="B66" s="10" t="n">
        <v>71423.4479228779</v>
      </c>
      <c r="C66" s="5"/>
      <c r="D66" s="0"/>
      <c r="E66" s="0"/>
      <c r="F66" s="0"/>
      <c r="G66" s="0"/>
      <c r="H66" s="0"/>
      <c r="I66" s="0"/>
      <c r="J66" s="0"/>
      <c r="K66" s="0"/>
      <c r="L66" s="0"/>
      <c r="M66" s="0"/>
      <c r="N66" s="0"/>
      <c r="O66" s="0"/>
      <c r="P66" s="0"/>
      <c r="Q66" s="0"/>
      <c r="R66" s="0"/>
      <c r="S66" s="0"/>
      <c r="T66" s="0"/>
      <c r="U66" s="0"/>
      <c r="V66" s="0"/>
      <c r="W66" s="0"/>
      <c r="X66" s="0"/>
      <c r="Y66" s="0"/>
      <c r="Z66" s="0"/>
      <c r="AA66" s="0"/>
      <c r="AB66" s="0"/>
      <c r="AC66" s="0"/>
      <c r="AD66" s="0"/>
      <c r="AE66" s="0"/>
      <c r="AF66" s="0"/>
      <c r="AG66" s="0"/>
    </row>
    <row r="67" customFormat="false" ht="12.75" hidden="false" customHeight="false" outlineLevel="1" collapsed="false">
      <c r="A67" s="11" t="s">
        <v>4</v>
      </c>
      <c r="B67" s="12" t="s">
        <v>5</v>
      </c>
      <c r="C67" s="12" t="s">
        <v>6</v>
      </c>
      <c r="D67" s="13" t="n">
        <v>1999</v>
      </c>
      <c r="E67" s="14" t="n">
        <v>2000</v>
      </c>
      <c r="F67" s="14" t="n">
        <v>2001</v>
      </c>
      <c r="G67" s="14" t="n">
        <v>2002</v>
      </c>
      <c r="H67" s="14" t="n">
        <v>2003</v>
      </c>
      <c r="I67" s="14" t="n">
        <v>2004</v>
      </c>
      <c r="J67" s="14" t="n">
        <v>2005</v>
      </c>
      <c r="K67" s="14" t="n">
        <v>2006</v>
      </c>
      <c r="L67" s="14" t="n">
        <v>2007</v>
      </c>
      <c r="M67" s="14" t="n">
        <v>2008</v>
      </c>
      <c r="N67" s="14" t="n">
        <v>2009</v>
      </c>
      <c r="O67" s="15" t="n">
        <v>2010</v>
      </c>
      <c r="P67" s="16" t="n">
        <v>2011</v>
      </c>
      <c r="Q67" s="16" t="n">
        <v>2012</v>
      </c>
      <c r="R67" s="16" t="n">
        <v>2013</v>
      </c>
      <c r="S67" s="16" t="n">
        <v>2014</v>
      </c>
      <c r="T67" s="16" t="n">
        <v>2015</v>
      </c>
      <c r="U67" s="16" t="n">
        <v>2016</v>
      </c>
      <c r="V67" s="16" t="n">
        <v>2017</v>
      </c>
      <c r="W67" s="16" t="n">
        <v>2018</v>
      </c>
      <c r="X67" s="16" t="n">
        <v>2019</v>
      </c>
      <c r="Y67" s="16" t="n">
        <v>2020</v>
      </c>
      <c r="Z67" s="0"/>
      <c r="AA67" s="0"/>
      <c r="AB67" s="0"/>
      <c r="AC67" s="0"/>
      <c r="AD67" s="0"/>
      <c r="AE67" s="0"/>
      <c r="AF67" s="0"/>
      <c r="AG67" s="0"/>
    </row>
    <row r="68" customFormat="false" ht="12.75" hidden="false" customHeight="false" outlineLevel="1" collapsed="false">
      <c r="A68" s="11" t="s">
        <v>7</v>
      </c>
      <c r="B68" s="17" t="n">
        <f aca="false">NPV(0.1,D68:Y68)</f>
        <v>430162.922539337</v>
      </c>
      <c r="C68" s="17" t="n">
        <f aca="false">B68-B58</f>
        <v>0</v>
      </c>
      <c r="D68" s="18" t="n">
        <v>26456.1651721875</v>
      </c>
      <c r="E68" s="19" t="n">
        <v>36622.8167682054</v>
      </c>
      <c r="F68" s="19" t="n">
        <v>36899.7467266388</v>
      </c>
      <c r="G68" s="19" t="n">
        <v>37130.4608454278</v>
      </c>
      <c r="H68" s="19" t="n">
        <v>46551.6218507978</v>
      </c>
      <c r="I68" s="19" t="n">
        <v>54368.3363263156</v>
      </c>
      <c r="J68" s="19" t="n">
        <v>55774.1081752542</v>
      </c>
      <c r="K68" s="19" t="n">
        <v>56836.4340779057</v>
      </c>
      <c r="L68" s="19" t="n">
        <v>58014.036281412</v>
      </c>
      <c r="M68" s="19" t="n">
        <v>59306.2801784764</v>
      </c>
      <c r="N68" s="19" t="n">
        <v>60748.6390469201</v>
      </c>
      <c r="O68" s="20" t="n">
        <v>62343.6917451537</v>
      </c>
      <c r="P68" s="21" t="n">
        <v>64230.9099191597</v>
      </c>
      <c r="Q68" s="21" t="n">
        <v>66205.4173948106</v>
      </c>
      <c r="R68" s="21" t="n">
        <v>68260.1936842274</v>
      </c>
      <c r="S68" s="21" t="n">
        <v>70358.6179348906</v>
      </c>
      <c r="T68" s="21" t="n">
        <v>72482.4395694936</v>
      </c>
      <c r="U68" s="21" t="n">
        <v>74297.4767975085</v>
      </c>
      <c r="V68" s="21" t="n">
        <v>76073.9231579729</v>
      </c>
      <c r="W68" s="21" t="n">
        <v>77846.43841275</v>
      </c>
      <c r="X68" s="21" t="n">
        <v>0</v>
      </c>
      <c r="Y68" s="21" t="n">
        <v>0</v>
      </c>
      <c r="Z68" s="0"/>
      <c r="AA68" s="0"/>
      <c r="AB68" s="0"/>
      <c r="AC68" s="0"/>
      <c r="AD68" s="0"/>
      <c r="AE68" s="0"/>
      <c r="AF68" s="0"/>
      <c r="AG68" s="0"/>
    </row>
    <row r="69" customFormat="false" ht="12.75" hidden="false" customHeight="false" outlineLevel="1" collapsed="false">
      <c r="A69" s="22" t="s">
        <v>8</v>
      </c>
      <c r="B69" s="17" t="n">
        <f aca="false">NPV(0.1,D69:Y69)</f>
        <v>204841.654905291</v>
      </c>
      <c r="C69" s="17" t="n">
        <f aca="false">B69-B59</f>
        <v>-16.3636363636469</v>
      </c>
      <c r="D69" s="18" t="n">
        <v>16729.4360423736</v>
      </c>
      <c r="E69" s="19" t="n">
        <v>20539.1759713187</v>
      </c>
      <c r="F69" s="19" t="n">
        <v>20873.5629676858</v>
      </c>
      <c r="G69" s="19" t="n">
        <v>21163.7933601831</v>
      </c>
      <c r="H69" s="19" t="n">
        <v>21526.2390129337</v>
      </c>
      <c r="I69" s="19" t="n">
        <v>21970.1756161654</v>
      </c>
      <c r="J69" s="19" t="n">
        <v>22495.682534556</v>
      </c>
      <c r="K69" s="19" t="n">
        <v>23133.5314797981</v>
      </c>
      <c r="L69" s="19" t="n">
        <v>23892.5394144149</v>
      </c>
      <c r="M69" s="19" t="n">
        <v>24772.7930623325</v>
      </c>
      <c r="N69" s="19" t="n">
        <v>25805.0717152696</v>
      </c>
      <c r="O69" s="20" t="n">
        <v>27782.6454690809</v>
      </c>
      <c r="P69" s="21" t="n">
        <v>29076.7955306924</v>
      </c>
      <c r="Q69" s="21" t="n">
        <v>30443.3701243154</v>
      </c>
      <c r="R69" s="21" t="n">
        <v>31892.2419426038</v>
      </c>
      <c r="S69" s="21" t="n">
        <v>33387.3770354007</v>
      </c>
      <c r="T69" s="21" t="n">
        <v>34878.4566115089</v>
      </c>
      <c r="U69" s="21" t="n">
        <v>36373.3915495275</v>
      </c>
      <c r="V69" s="21" t="n">
        <v>37853.8142034265</v>
      </c>
      <c r="W69" s="21" t="n">
        <v>39454.034291709</v>
      </c>
      <c r="X69" s="21" t="n">
        <v>0</v>
      </c>
      <c r="Y69" s="21" t="n">
        <v>0</v>
      </c>
      <c r="Z69" s="0"/>
      <c r="AA69" s="0"/>
      <c r="AB69" s="0"/>
      <c r="AC69" s="0"/>
      <c r="AD69" s="0"/>
      <c r="AE69" s="0"/>
      <c r="AF69" s="0"/>
      <c r="AG69" s="0"/>
    </row>
    <row r="70" customFormat="false" ht="12.75" hidden="false" customHeight="false" outlineLevel="1" collapsed="false">
      <c r="A70" s="22" t="s">
        <v>9</v>
      </c>
      <c r="B70" s="17" t="n">
        <f aca="false">NPV(0.1,D70:Y70)</f>
        <v>84084.2611860549</v>
      </c>
      <c r="C70" s="17" t="n">
        <f aca="false">B70-B60</f>
        <v>-10.0203518265189</v>
      </c>
      <c r="D70" s="18" t="n">
        <v>702.139251223572</v>
      </c>
      <c r="E70" s="19" t="n">
        <v>1661.35304425238</v>
      </c>
      <c r="F70" s="19" t="n">
        <v>1763.48926616191</v>
      </c>
      <c r="G70" s="19" t="n">
        <v>1861.19838902964</v>
      </c>
      <c r="H70" s="19" t="n">
        <v>7464.35056474205</v>
      </c>
      <c r="I70" s="19" t="n">
        <v>12273.6923145598</v>
      </c>
      <c r="J70" s="19" t="n">
        <v>13192.9654098771</v>
      </c>
      <c r="K70" s="19" t="n">
        <v>13758.936333208</v>
      </c>
      <c r="L70" s="19" t="n">
        <v>14375.4065939043</v>
      </c>
      <c r="M70" s="19" t="n">
        <v>15024.3949417079</v>
      </c>
      <c r="N70" s="19" t="n">
        <v>15711.5849312662</v>
      </c>
      <c r="O70" s="20" t="n">
        <v>15929.1704843664</v>
      </c>
      <c r="P70" s="21" t="n">
        <v>16802.0530518053</v>
      </c>
      <c r="Q70" s="21" t="n">
        <v>17736.0198594998</v>
      </c>
      <c r="R70" s="21" t="n">
        <v>18575.4971383849</v>
      </c>
      <c r="S70" s="21" t="n">
        <v>19622.5097161432</v>
      </c>
      <c r="T70" s="21" t="n">
        <v>20039.3884196806</v>
      </c>
      <c r="U70" s="21" t="n">
        <v>20246.1437511883</v>
      </c>
      <c r="V70" s="21" t="n">
        <v>20438.3095870934</v>
      </c>
      <c r="W70" s="21" t="n">
        <v>20525.6544528323</v>
      </c>
      <c r="X70" s="21" t="n">
        <v>0</v>
      </c>
      <c r="Y70" s="21" t="n">
        <v>0</v>
      </c>
      <c r="Z70" s="0"/>
      <c r="AA70" s="0"/>
      <c r="AB70" s="0"/>
      <c r="AC70" s="0"/>
      <c r="AD70" s="0"/>
      <c r="AE70" s="0"/>
      <c r="AF70" s="0"/>
      <c r="AG70" s="0"/>
    </row>
    <row r="71" customFormat="false" ht="12.75" hidden="false" customHeight="false" outlineLevel="1" collapsed="false">
      <c r="A71" s="22" t="s">
        <v>10</v>
      </c>
      <c r="B71" s="17" t="n">
        <f aca="false">NPV(0.1,D71:Y71)</f>
        <v>99148.1938783964</v>
      </c>
      <c r="C71" s="17" t="n">
        <f aca="false">B71-B61</f>
        <v>-2.0787899215793</v>
      </c>
      <c r="D71" s="23" t="n">
        <v>3396.78948848432</v>
      </c>
      <c r="E71" s="24" t="n">
        <v>6176.00805176461</v>
      </c>
      <c r="F71" s="24" t="n">
        <v>5614.8860850925</v>
      </c>
      <c r="G71" s="24" t="n">
        <v>5584.45797229637</v>
      </c>
      <c r="H71" s="24" t="n">
        <v>15305.2463692221</v>
      </c>
      <c r="I71" s="24" t="n">
        <v>16994.7296918277</v>
      </c>
      <c r="J71" s="24" t="n">
        <v>13214.6277368887</v>
      </c>
      <c r="K71" s="24" t="n">
        <v>13106.8933229418</v>
      </c>
      <c r="L71" s="24" t="n">
        <v>12991.4988692006</v>
      </c>
      <c r="M71" s="24" t="n">
        <v>12863.520636266</v>
      </c>
      <c r="N71" s="24" t="n">
        <v>12694.4112784492</v>
      </c>
      <c r="O71" s="25" t="n">
        <v>13105.3576182149</v>
      </c>
      <c r="P71" s="21" t="n">
        <v>12094.0441836989</v>
      </c>
      <c r="Q71" s="21" t="n">
        <v>11892.0317637809</v>
      </c>
      <c r="R71" s="21" t="n">
        <v>16893.5519517978</v>
      </c>
      <c r="S71" s="21" t="n">
        <v>23150.3552241337</v>
      </c>
      <c r="T71" s="21" t="n">
        <v>23097.440106082</v>
      </c>
      <c r="U71" s="21" t="n">
        <v>23292.8221606237</v>
      </c>
      <c r="V71" s="21" t="n">
        <v>23489.9388489442</v>
      </c>
      <c r="W71" s="21" t="n">
        <v>23680.2982779717</v>
      </c>
      <c r="X71" s="21" t="n">
        <v>0</v>
      </c>
      <c r="Y71" s="21" t="n">
        <v>0</v>
      </c>
      <c r="Z71" s="0"/>
      <c r="AA71" s="0"/>
      <c r="AB71" s="0"/>
      <c r="AC71" s="0"/>
      <c r="AD71" s="0"/>
      <c r="AE71" s="0"/>
      <c r="AF71" s="0"/>
      <c r="AG71" s="0"/>
    </row>
    <row r="72" customFormat="false" ht="12.75" hidden="false" customHeight="false" outlineLevel="1" collapsed="false">
      <c r="A72" s="5"/>
      <c r="B72" s="5"/>
      <c r="C72" s="5"/>
      <c r="D72" s="0"/>
      <c r="E72" s="0"/>
      <c r="F72" s="0"/>
      <c r="G72" s="0"/>
      <c r="H72" s="0"/>
      <c r="I72" s="0"/>
      <c r="J72" s="0"/>
      <c r="K72" s="0"/>
      <c r="L72" s="0"/>
      <c r="M72" s="0"/>
      <c r="N72" s="0"/>
      <c r="O72" s="0"/>
      <c r="P72" s="0"/>
      <c r="Q72" s="0"/>
      <c r="R72" s="0"/>
      <c r="S72" s="0"/>
      <c r="T72" s="0"/>
      <c r="U72" s="0"/>
      <c r="V72" s="0"/>
      <c r="W72" s="0"/>
      <c r="X72" s="0"/>
      <c r="Y72" s="0"/>
      <c r="Z72" s="0"/>
      <c r="AA72" s="0"/>
      <c r="AB72" s="0"/>
      <c r="AC72" s="0"/>
      <c r="AD72" s="0"/>
      <c r="AE72" s="0"/>
      <c r="AF72" s="0"/>
      <c r="AG72" s="0"/>
    </row>
    <row r="73" customFormat="false" ht="12.75" hidden="false" customHeight="false" outlineLevel="1" collapsed="false">
      <c r="A73" s="26" t="s">
        <v>19</v>
      </c>
      <c r="B73" s="5"/>
      <c r="C73" s="5"/>
      <c r="D73" s="0"/>
      <c r="E73" s="0"/>
      <c r="F73" s="0"/>
      <c r="G73" s="0"/>
      <c r="H73" s="0"/>
      <c r="I73" s="0"/>
      <c r="J73" s="0"/>
      <c r="K73" s="0"/>
      <c r="L73" s="0"/>
      <c r="M73" s="0"/>
      <c r="N73" s="0"/>
      <c r="O73" s="0"/>
      <c r="P73" s="0"/>
      <c r="Q73" s="0"/>
      <c r="R73" s="0"/>
      <c r="S73" s="0"/>
      <c r="T73" s="0"/>
      <c r="U73" s="0"/>
      <c r="V73" s="0"/>
      <c r="W73" s="0"/>
      <c r="X73" s="0"/>
      <c r="Y73" s="0"/>
      <c r="Z73" s="0"/>
      <c r="AA73" s="0"/>
      <c r="AB73" s="0"/>
      <c r="AC73" s="0"/>
      <c r="AD73" s="0"/>
      <c r="AE73" s="0"/>
      <c r="AF73" s="0"/>
      <c r="AG73" s="0"/>
    </row>
    <row r="74" customFormat="false" ht="12.75" hidden="false" customHeight="false" outlineLevel="1" collapsed="false">
      <c r="A74" s="28" t="n">
        <v>36227</v>
      </c>
      <c r="B74" s="5"/>
      <c r="C74" s="5"/>
      <c r="D74" s="0"/>
      <c r="E74" s="0"/>
      <c r="F74" s="0"/>
      <c r="G74" s="0"/>
      <c r="H74" s="0"/>
      <c r="I74" s="0"/>
      <c r="J74" s="0"/>
      <c r="K74" s="0"/>
      <c r="L74" s="0"/>
      <c r="M74" s="0"/>
      <c r="N74" s="0"/>
      <c r="O74" s="0"/>
      <c r="P74" s="0"/>
      <c r="Q74" s="0"/>
      <c r="R74" s="0"/>
      <c r="S74" s="0"/>
      <c r="T74" s="0"/>
      <c r="U74" s="0"/>
      <c r="V74" s="0"/>
      <c r="W74" s="0"/>
      <c r="X74" s="0"/>
      <c r="Y74" s="0"/>
      <c r="Z74" s="0"/>
      <c r="AA74" s="0"/>
      <c r="AB74" s="0"/>
      <c r="AC74" s="0"/>
      <c r="AD74" s="0"/>
      <c r="AE74" s="0"/>
      <c r="AF74" s="0"/>
      <c r="AG74" s="0"/>
    </row>
    <row r="75" customFormat="false" ht="12.75" hidden="false" customHeight="false" outlineLevel="1" collapsed="false">
      <c r="A75" s="7" t="s">
        <v>2</v>
      </c>
      <c r="B75" s="8" t="n">
        <v>36789.0172998387</v>
      </c>
      <c r="C75" s="5" t="s">
        <v>14</v>
      </c>
      <c r="D75" s="0"/>
      <c r="E75" s="0"/>
      <c r="F75" s="0"/>
      <c r="G75" s="0"/>
      <c r="H75" s="0"/>
      <c r="I75" s="0"/>
      <c r="J75" s="0"/>
      <c r="K75" s="0"/>
      <c r="L75" s="0"/>
      <c r="M75" s="0"/>
      <c r="N75" s="0"/>
      <c r="O75" s="0"/>
      <c r="P75" s="0"/>
      <c r="Q75" s="0"/>
      <c r="R75" s="0"/>
      <c r="S75" s="0"/>
      <c r="T75" s="0"/>
      <c r="U75" s="0"/>
      <c r="V75" s="0"/>
      <c r="W75" s="0"/>
      <c r="X75" s="0"/>
      <c r="Y75" s="0"/>
      <c r="Z75" s="0"/>
      <c r="AA75" s="0"/>
      <c r="AB75" s="0"/>
      <c r="AC75" s="0"/>
      <c r="AD75" s="0"/>
      <c r="AE75" s="0"/>
      <c r="AF75" s="0"/>
      <c r="AG75" s="0"/>
    </row>
    <row r="76" customFormat="false" ht="12.75" hidden="false" customHeight="false" outlineLevel="1" collapsed="false">
      <c r="A76" s="9" t="s">
        <v>3</v>
      </c>
      <c r="B76" s="10" t="n">
        <v>71616.6856353528</v>
      </c>
      <c r="C76" s="5"/>
      <c r="D76" s="0"/>
      <c r="E76" s="0"/>
      <c r="F76" s="0"/>
      <c r="G76" s="0"/>
      <c r="H76" s="0"/>
      <c r="I76" s="0"/>
      <c r="J76" s="0"/>
      <c r="K76" s="0"/>
      <c r="L76" s="0"/>
      <c r="M76" s="0"/>
      <c r="N76" s="0"/>
      <c r="O76" s="0"/>
      <c r="P76" s="0"/>
      <c r="Q76" s="0"/>
      <c r="R76" s="0"/>
      <c r="S76" s="0"/>
      <c r="T76" s="0"/>
      <c r="U76" s="0"/>
      <c r="V76" s="0"/>
      <c r="W76" s="0"/>
      <c r="X76" s="0"/>
      <c r="Y76" s="0"/>
      <c r="Z76" s="0"/>
      <c r="AA76" s="0"/>
      <c r="AB76" s="0"/>
      <c r="AC76" s="0"/>
      <c r="AD76" s="0"/>
      <c r="AE76" s="0"/>
      <c r="AF76" s="0"/>
      <c r="AG76" s="0"/>
    </row>
    <row r="77" customFormat="false" ht="12.75" hidden="false" customHeight="false" outlineLevel="1" collapsed="false">
      <c r="A77" s="11" t="s">
        <v>4</v>
      </c>
      <c r="B77" s="12" t="s">
        <v>5</v>
      </c>
      <c r="C77" s="12" t="s">
        <v>6</v>
      </c>
      <c r="D77" s="13" t="n">
        <v>1999</v>
      </c>
      <c r="E77" s="14" t="n">
        <v>2000</v>
      </c>
      <c r="F77" s="14" t="n">
        <v>2001</v>
      </c>
      <c r="G77" s="14" t="n">
        <v>2002</v>
      </c>
      <c r="H77" s="14" t="n">
        <v>2003</v>
      </c>
      <c r="I77" s="14" t="n">
        <v>2004</v>
      </c>
      <c r="J77" s="14" t="n">
        <v>2005</v>
      </c>
      <c r="K77" s="14" t="n">
        <v>2006</v>
      </c>
      <c r="L77" s="14" t="n">
        <v>2007</v>
      </c>
      <c r="M77" s="14" t="n">
        <v>2008</v>
      </c>
      <c r="N77" s="14" t="n">
        <v>2009</v>
      </c>
      <c r="O77" s="15" t="n">
        <v>2010</v>
      </c>
      <c r="P77" s="16" t="n">
        <v>2011</v>
      </c>
      <c r="Q77" s="16" t="n">
        <v>2012</v>
      </c>
      <c r="R77" s="16" t="n">
        <v>2013</v>
      </c>
      <c r="S77" s="16" t="n">
        <v>2014</v>
      </c>
      <c r="T77" s="16" t="n">
        <v>2015</v>
      </c>
      <c r="U77" s="16" t="n">
        <v>2016</v>
      </c>
      <c r="V77" s="16" t="n">
        <v>2017</v>
      </c>
      <c r="W77" s="16" t="n">
        <v>2018</v>
      </c>
      <c r="X77" s="16" t="n">
        <v>2019</v>
      </c>
      <c r="Y77" s="16" t="n">
        <v>2020</v>
      </c>
      <c r="Z77" s="0"/>
      <c r="AA77" s="0"/>
      <c r="AB77" s="0"/>
      <c r="AC77" s="0"/>
      <c r="AD77" s="0"/>
      <c r="AE77" s="0"/>
      <c r="AF77" s="0"/>
      <c r="AG77" s="0"/>
    </row>
    <row r="78" customFormat="false" ht="12.75" hidden="false" customHeight="false" outlineLevel="1" collapsed="false">
      <c r="A78" s="11" t="s">
        <v>7</v>
      </c>
      <c r="B78" s="17" t="n">
        <f aca="false">NPV(0.1,D78:Y78)</f>
        <v>430162.922539337</v>
      </c>
      <c r="C78" s="17" t="n">
        <f aca="false">B78-B68</f>
        <v>0</v>
      </c>
      <c r="D78" s="18" t="n">
        <v>26456.1651721875</v>
      </c>
      <c r="E78" s="19" t="n">
        <v>36622.8167682054</v>
      </c>
      <c r="F78" s="19" t="n">
        <v>36899.7467266388</v>
      </c>
      <c r="G78" s="19" t="n">
        <v>37130.4608454278</v>
      </c>
      <c r="H78" s="19" t="n">
        <v>46551.6218507978</v>
      </c>
      <c r="I78" s="19" t="n">
        <v>54368.3363263156</v>
      </c>
      <c r="J78" s="19" t="n">
        <v>55774.1081752542</v>
      </c>
      <c r="K78" s="19" t="n">
        <v>56836.4340779057</v>
      </c>
      <c r="L78" s="19" t="n">
        <v>58014.036281412</v>
      </c>
      <c r="M78" s="19" t="n">
        <v>59306.2801784764</v>
      </c>
      <c r="N78" s="19" t="n">
        <v>60748.6390469201</v>
      </c>
      <c r="O78" s="20" t="n">
        <v>62343.6917451537</v>
      </c>
      <c r="P78" s="21" t="n">
        <v>64230.9099191597</v>
      </c>
      <c r="Q78" s="21" t="n">
        <v>66205.4173948106</v>
      </c>
      <c r="R78" s="21" t="n">
        <v>68260.1936842274</v>
      </c>
      <c r="S78" s="21" t="n">
        <v>70358.6179348906</v>
      </c>
      <c r="T78" s="21" t="n">
        <v>72482.4395694936</v>
      </c>
      <c r="U78" s="21" t="n">
        <v>74297.4767975085</v>
      </c>
      <c r="V78" s="21" t="n">
        <v>76073.9231579729</v>
      </c>
      <c r="W78" s="21" t="n">
        <v>77846.43841275</v>
      </c>
      <c r="X78" s="21" t="n">
        <v>0</v>
      </c>
      <c r="Y78" s="21" t="n">
        <v>0</v>
      </c>
      <c r="Z78" s="0"/>
      <c r="AA78" s="0"/>
      <c r="AB78" s="0"/>
      <c r="AC78" s="0"/>
      <c r="AD78" s="0"/>
      <c r="AE78" s="0"/>
      <c r="AF78" s="0"/>
      <c r="AG78" s="0"/>
    </row>
    <row r="79" customFormat="false" ht="12.75" hidden="false" customHeight="false" outlineLevel="1" collapsed="false">
      <c r="A79" s="22" t="s">
        <v>8</v>
      </c>
      <c r="B79" s="17" t="n">
        <f aca="false">NPV(0.1,D79:Y79)</f>
        <v>204644.249887146</v>
      </c>
      <c r="C79" s="17" t="n">
        <f aca="false">B79-B69</f>
        <v>-197.405018145568</v>
      </c>
      <c r="D79" s="18" t="n">
        <v>16718.0027090403</v>
      </c>
      <c r="E79" s="19" t="n">
        <v>20518.9879713187</v>
      </c>
      <c r="F79" s="19" t="n">
        <v>20852.7693276858</v>
      </c>
      <c r="G79" s="19" t="n">
        <v>21142.3759109831</v>
      </c>
      <c r="H79" s="19" t="n">
        <v>21504.1790402577</v>
      </c>
      <c r="I79" s="19" t="n">
        <v>21947.4538443091</v>
      </c>
      <c r="J79" s="19" t="n">
        <v>22472.279109544</v>
      </c>
      <c r="K79" s="19" t="n">
        <v>23109.4259520358</v>
      </c>
      <c r="L79" s="19" t="n">
        <v>23867.7107208197</v>
      </c>
      <c r="M79" s="19" t="n">
        <v>24747.2195079294</v>
      </c>
      <c r="N79" s="19" t="n">
        <v>25778.7309542345</v>
      </c>
      <c r="O79" s="20" t="n">
        <v>27755.5144852147</v>
      </c>
      <c r="P79" s="21" t="n">
        <v>29048.8506173102</v>
      </c>
      <c r="Q79" s="21" t="n">
        <v>30414.5868635318</v>
      </c>
      <c r="R79" s="21" t="n">
        <v>31862.5951839966</v>
      </c>
      <c r="S79" s="21" t="n">
        <v>33356.8408740354</v>
      </c>
      <c r="T79" s="21" t="n">
        <v>34847.0043653026</v>
      </c>
      <c r="U79" s="21" t="n">
        <v>36340.995735935</v>
      </c>
      <c r="V79" s="21" t="n">
        <v>37820.4465154262</v>
      </c>
      <c r="W79" s="21" t="n">
        <v>39419.6655730686</v>
      </c>
      <c r="X79" s="21" t="n">
        <v>0</v>
      </c>
      <c r="Y79" s="21" t="n">
        <v>0</v>
      </c>
      <c r="Z79" s="0"/>
      <c r="AA79" s="0"/>
      <c r="AB79" s="0"/>
      <c r="AC79" s="0"/>
      <c r="AD79" s="0"/>
      <c r="AE79" s="0"/>
      <c r="AF79" s="0"/>
      <c r="AG79" s="0"/>
    </row>
    <row r="80" customFormat="false" ht="12.75" hidden="false" customHeight="false" outlineLevel="1" collapsed="false">
      <c r="A80" s="22" t="s">
        <v>9</v>
      </c>
      <c r="B80" s="17" t="n">
        <f aca="false">NPV(0.1,D80:Y80)</f>
        <v>84184.1111262043</v>
      </c>
      <c r="C80" s="17" t="n">
        <f aca="false">B80-B70</f>
        <v>99.8499401493464</v>
      </c>
      <c r="D80" s="18" t="n">
        <v>706.616496647705</v>
      </c>
      <c r="E80" s="19" t="n">
        <v>1669.5475595893</v>
      </c>
      <c r="F80" s="19" t="n">
        <v>1772.35630664949</v>
      </c>
      <c r="G80" s="19" t="n">
        <v>1870.79163362829</v>
      </c>
      <c r="H80" s="19" t="n">
        <v>7474.617199604</v>
      </c>
      <c r="I80" s="19" t="n">
        <v>12284.5201243064</v>
      </c>
      <c r="J80" s="19" t="n">
        <v>13204.3919326012</v>
      </c>
      <c r="K80" s="19" t="n">
        <v>13771.0018893731</v>
      </c>
      <c r="L80" s="19" t="n">
        <v>14388.1545023135</v>
      </c>
      <c r="M80" s="19" t="n">
        <v>15037.8717525526</v>
      </c>
      <c r="N80" s="19" t="n">
        <v>15725.8406776132</v>
      </c>
      <c r="O80" s="20" t="n">
        <v>15944.2589535543</v>
      </c>
      <c r="P80" s="21" t="n">
        <v>16818.0320783346</v>
      </c>
      <c r="Q80" s="21" t="n">
        <v>17752.9516411312</v>
      </c>
      <c r="R80" s="21" t="n">
        <v>18593.2615859451</v>
      </c>
      <c r="S80" s="21" t="n">
        <v>19641.3657957863</v>
      </c>
      <c r="T80" s="21" t="n">
        <v>20058.810181713</v>
      </c>
      <c r="U80" s="21" t="n">
        <v>20266.1481660816</v>
      </c>
      <c r="V80" s="21" t="n">
        <v>20458.9141344336</v>
      </c>
      <c r="W80" s="21" t="n">
        <v>20546.8771365927</v>
      </c>
      <c r="X80" s="21" t="n">
        <v>0</v>
      </c>
      <c r="Y80" s="21" t="n">
        <v>0</v>
      </c>
      <c r="Z80" s="0"/>
      <c r="AA80" s="0"/>
      <c r="AB80" s="0"/>
      <c r="AC80" s="0"/>
      <c r="AD80" s="0"/>
      <c r="AE80" s="0"/>
      <c r="AF80" s="0"/>
      <c r="AG80" s="0"/>
    </row>
    <row r="81" customFormat="false" ht="12.75" hidden="false" customHeight="false" outlineLevel="1" collapsed="false">
      <c r="A81" s="22" t="s">
        <v>10</v>
      </c>
      <c r="B81" s="17" t="n">
        <f aca="false">NPV(0.1,D81:Y81)</f>
        <v>99221.3425309617</v>
      </c>
      <c r="C81" s="17" t="n">
        <f aca="false">B81-B71</f>
        <v>73.1486525652872</v>
      </c>
      <c r="D81" s="23" t="n">
        <v>3400.77724459543</v>
      </c>
      <c r="E81" s="24" t="n">
        <v>6183.04020509794</v>
      </c>
      <c r="F81" s="24" t="n">
        <v>5622.12011842583</v>
      </c>
      <c r="G81" s="24" t="n">
        <v>5591.8999420297</v>
      </c>
      <c r="H81" s="24" t="n">
        <v>15318.7851728277</v>
      </c>
      <c r="I81" s="24" t="n">
        <v>16997.4490944039</v>
      </c>
      <c r="J81" s="24" t="n">
        <v>13221.9180525168</v>
      </c>
      <c r="K81" s="24" t="n">
        <v>13114.2090997301</v>
      </c>
      <c r="L81" s="24" t="n">
        <v>12998.8259119554</v>
      </c>
      <c r="M81" s="24" t="n">
        <v>12870.8431273004</v>
      </c>
      <c r="N81" s="24" t="n">
        <v>12701.7116331774</v>
      </c>
      <c r="O81" s="25" t="n">
        <v>13112.6163287558</v>
      </c>
      <c r="P81" s="21" t="n">
        <v>12101.2396495171</v>
      </c>
      <c r="Q81" s="21" t="n">
        <v>11899.1401083136</v>
      </c>
      <c r="R81" s="21" t="n">
        <v>16907.0891659166</v>
      </c>
      <c r="S81" s="21" t="n">
        <v>23169.2459916774</v>
      </c>
      <c r="T81" s="21" t="n">
        <v>23116.8966123936</v>
      </c>
      <c r="U81" s="21" t="n">
        <v>23312.8613762703</v>
      </c>
      <c r="V81" s="21" t="n">
        <v>23510.578253608</v>
      </c>
      <c r="W81" s="21" t="n">
        <v>23701.5558757235</v>
      </c>
      <c r="X81" s="21" t="n">
        <v>0</v>
      </c>
      <c r="Y81" s="21" t="n">
        <v>0</v>
      </c>
      <c r="Z81" s="0"/>
      <c r="AA81" s="0"/>
      <c r="AB81" s="0"/>
      <c r="AC81" s="0"/>
      <c r="AD81" s="0"/>
      <c r="AE81" s="0"/>
      <c r="AF81" s="0"/>
      <c r="AG81" s="0"/>
    </row>
    <row r="82" customFormat="false" ht="12.75" hidden="false" customHeight="false" outlineLevel="1" collapsed="false">
      <c r="A82" s="5"/>
      <c r="B82" s="5"/>
      <c r="C82" s="5"/>
      <c r="D82" s="0"/>
      <c r="E82" s="0"/>
      <c r="F82" s="0"/>
      <c r="G82" s="0"/>
      <c r="H82" s="0"/>
      <c r="I82" s="0"/>
      <c r="J82" s="0"/>
      <c r="K82" s="0"/>
      <c r="L82" s="0"/>
      <c r="M82" s="0"/>
      <c r="N82" s="0"/>
      <c r="O82" s="0"/>
      <c r="P82" s="0"/>
      <c r="Q82" s="0"/>
      <c r="R82" s="0"/>
      <c r="S82" s="0"/>
      <c r="T82" s="0"/>
      <c r="U82" s="0"/>
      <c r="V82" s="0"/>
      <c r="W82" s="0"/>
      <c r="X82" s="0"/>
      <c r="Y82" s="0"/>
      <c r="Z82" s="0"/>
      <c r="AA82" s="0"/>
      <c r="AB82" s="0"/>
      <c r="AC82" s="0"/>
      <c r="AD82" s="0"/>
      <c r="AE82" s="0"/>
      <c r="AF82" s="0"/>
      <c r="AG82" s="0"/>
    </row>
    <row r="83" customFormat="false" ht="12.75" hidden="false" customHeight="false" outlineLevel="1" collapsed="false">
      <c r="A83" s="26" t="s">
        <v>20</v>
      </c>
      <c r="B83" s="5"/>
      <c r="C83" s="5"/>
      <c r="D83" s="0"/>
      <c r="E83" s="0"/>
      <c r="F83" s="0"/>
      <c r="G83" s="0"/>
      <c r="H83" s="0"/>
      <c r="I83" s="0"/>
      <c r="J83" s="0"/>
      <c r="K83" s="0"/>
      <c r="L83" s="0"/>
      <c r="M83" s="0"/>
      <c r="N83" s="0"/>
      <c r="O83" s="0"/>
      <c r="P83" s="0"/>
      <c r="Q83" s="0"/>
      <c r="R83" s="0"/>
      <c r="S83" s="0"/>
      <c r="T83" s="0"/>
      <c r="U83" s="0"/>
      <c r="V83" s="0"/>
      <c r="W83" s="0"/>
      <c r="X83" s="0"/>
      <c r="Y83" s="0"/>
      <c r="Z83" s="0"/>
      <c r="AA83" s="0"/>
      <c r="AB83" s="0"/>
      <c r="AC83" s="0"/>
      <c r="AD83" s="0"/>
      <c r="AE83" s="0"/>
      <c r="AF83" s="0"/>
      <c r="AG83" s="0"/>
    </row>
    <row r="84" customFormat="false" ht="12.75" hidden="false" customHeight="false" outlineLevel="1" collapsed="false">
      <c r="A84" s="28" t="n">
        <v>36231</v>
      </c>
      <c r="B84" s="5"/>
      <c r="C84" s="5"/>
      <c r="D84" s="0"/>
      <c r="E84" s="0"/>
      <c r="F84" s="0"/>
      <c r="G84" s="0"/>
      <c r="H84" s="0"/>
      <c r="I84" s="0"/>
      <c r="J84" s="0"/>
      <c r="K84" s="0"/>
      <c r="L84" s="0"/>
      <c r="M84" s="0"/>
      <c r="N84" s="0"/>
      <c r="O84" s="0"/>
      <c r="P84" s="0"/>
      <c r="Q84" s="0"/>
      <c r="R84" s="0"/>
      <c r="S84" s="0"/>
      <c r="T84" s="0"/>
      <c r="U84" s="0"/>
      <c r="V84" s="0"/>
      <c r="W84" s="0"/>
      <c r="X84" s="0"/>
      <c r="Y84" s="0"/>
      <c r="Z84" s="0"/>
      <c r="AA84" s="0"/>
      <c r="AB84" s="0"/>
      <c r="AC84" s="0"/>
      <c r="AD84" s="0"/>
      <c r="AE84" s="0"/>
      <c r="AF84" s="0"/>
      <c r="AG84" s="0"/>
    </row>
    <row r="85" customFormat="false" ht="12.75" hidden="false" customHeight="false" outlineLevel="1" collapsed="false">
      <c r="A85" s="7" t="s">
        <v>2</v>
      </c>
      <c r="B85" s="8" t="n">
        <v>35773.273394977</v>
      </c>
      <c r="C85" s="5" t="s">
        <v>14</v>
      </c>
      <c r="D85" s="0"/>
      <c r="E85" s="0"/>
      <c r="F85" s="0"/>
      <c r="G85" s="0"/>
      <c r="H85" s="0"/>
      <c r="I85" s="0"/>
      <c r="J85" s="0"/>
      <c r="K85" s="0"/>
      <c r="L85" s="0"/>
      <c r="M85" s="0"/>
      <c r="N85" s="0"/>
      <c r="O85" s="0"/>
      <c r="P85" s="0"/>
      <c r="Q85" s="0"/>
      <c r="R85" s="0"/>
      <c r="S85" s="0"/>
      <c r="T85" s="0"/>
      <c r="U85" s="0"/>
      <c r="V85" s="0"/>
      <c r="W85" s="0"/>
      <c r="X85" s="0"/>
      <c r="Y85" s="0"/>
      <c r="Z85" s="0"/>
      <c r="AA85" s="0"/>
      <c r="AB85" s="0"/>
      <c r="AC85" s="0"/>
      <c r="AD85" s="0"/>
      <c r="AE85" s="0"/>
      <c r="AF85" s="0"/>
      <c r="AG85" s="0"/>
    </row>
    <row r="86" customFormat="false" ht="12.75" hidden="false" customHeight="false" outlineLevel="1" collapsed="false">
      <c r="A86" s="9" t="s">
        <v>3</v>
      </c>
      <c r="B86" s="10" t="n">
        <v>71616.6856353528</v>
      </c>
      <c r="C86" s="5"/>
      <c r="D86" s="0"/>
      <c r="E86" s="0"/>
      <c r="F86" s="0"/>
      <c r="G86" s="0"/>
      <c r="H86" s="0"/>
      <c r="I86" s="0"/>
      <c r="J86" s="0"/>
      <c r="K86" s="0"/>
      <c r="L86" s="0"/>
      <c r="M86" s="0"/>
      <c r="N86" s="0"/>
      <c r="O86" s="0"/>
      <c r="P86" s="0"/>
      <c r="Q86" s="0"/>
      <c r="R86" s="0"/>
      <c r="S86" s="0"/>
      <c r="T86" s="0"/>
      <c r="U86" s="0"/>
      <c r="V86" s="0"/>
      <c r="W86" s="0"/>
      <c r="X86" s="0"/>
      <c r="Y86" s="0"/>
      <c r="Z86" s="0"/>
      <c r="AA86" s="0"/>
      <c r="AB86" s="0"/>
      <c r="AC86" s="0"/>
      <c r="AD86" s="0"/>
      <c r="AE86" s="0"/>
      <c r="AF86" s="0"/>
      <c r="AG86" s="0"/>
    </row>
    <row r="87" customFormat="false" ht="12.75" hidden="false" customHeight="false" outlineLevel="1" collapsed="false">
      <c r="A87" s="11" t="s">
        <v>4</v>
      </c>
      <c r="B87" s="12" t="s">
        <v>5</v>
      </c>
      <c r="C87" s="12" t="s">
        <v>6</v>
      </c>
      <c r="D87" s="13" t="n">
        <v>1999</v>
      </c>
      <c r="E87" s="14" t="n">
        <v>2000</v>
      </c>
      <c r="F87" s="14" t="n">
        <v>2001</v>
      </c>
      <c r="G87" s="14" t="n">
        <v>2002</v>
      </c>
      <c r="H87" s="14" t="n">
        <v>2003</v>
      </c>
      <c r="I87" s="14" t="n">
        <v>2004</v>
      </c>
      <c r="J87" s="14" t="n">
        <v>2005</v>
      </c>
      <c r="K87" s="14" t="n">
        <v>2006</v>
      </c>
      <c r="L87" s="14" t="n">
        <v>2007</v>
      </c>
      <c r="M87" s="14" t="n">
        <v>2008</v>
      </c>
      <c r="N87" s="14" t="n">
        <v>2009</v>
      </c>
      <c r="O87" s="15" t="n">
        <v>2010</v>
      </c>
      <c r="P87" s="16" t="n">
        <v>2011</v>
      </c>
      <c r="Q87" s="16" t="n">
        <v>2012</v>
      </c>
      <c r="R87" s="16" t="n">
        <v>2013</v>
      </c>
      <c r="S87" s="16" t="n">
        <v>2014</v>
      </c>
      <c r="T87" s="16" t="n">
        <v>2015</v>
      </c>
      <c r="U87" s="16" t="n">
        <v>2016</v>
      </c>
      <c r="V87" s="16" t="n">
        <v>2017</v>
      </c>
      <c r="W87" s="16" t="n">
        <v>2018</v>
      </c>
      <c r="X87" s="16" t="n">
        <v>2019</v>
      </c>
      <c r="Y87" s="16" t="n">
        <v>2020</v>
      </c>
      <c r="Z87" s="0"/>
      <c r="AA87" s="0"/>
      <c r="AB87" s="0"/>
      <c r="AC87" s="0"/>
      <c r="AD87" s="0"/>
      <c r="AE87" s="0"/>
      <c r="AF87" s="0"/>
      <c r="AG87" s="0"/>
    </row>
    <row r="88" customFormat="false" ht="12.75" hidden="false" customHeight="false" outlineLevel="1" collapsed="false">
      <c r="A88" s="11" t="s">
        <v>7</v>
      </c>
      <c r="B88" s="17" t="n">
        <f aca="false">NPV(0.1,D88:Y88)</f>
        <v>430162.922539337</v>
      </c>
      <c r="C88" s="17" t="n">
        <f aca="false">B88-B78</f>
        <v>0</v>
      </c>
      <c r="D88" s="18" t="n">
        <v>26456.1651721875</v>
      </c>
      <c r="E88" s="19" t="n">
        <v>36622.8167682054</v>
      </c>
      <c r="F88" s="19" t="n">
        <v>36899.7467266388</v>
      </c>
      <c r="G88" s="19" t="n">
        <v>37130.4608454278</v>
      </c>
      <c r="H88" s="19" t="n">
        <v>46551.6218507978</v>
      </c>
      <c r="I88" s="19" t="n">
        <v>54368.3363263156</v>
      </c>
      <c r="J88" s="19" t="n">
        <v>55774.1081752542</v>
      </c>
      <c r="K88" s="19" t="n">
        <v>56836.4340779057</v>
      </c>
      <c r="L88" s="19" t="n">
        <v>58014.036281412</v>
      </c>
      <c r="M88" s="19" t="n">
        <v>59306.2801784764</v>
      </c>
      <c r="N88" s="19" t="n">
        <v>60748.6390469201</v>
      </c>
      <c r="O88" s="20" t="n">
        <v>62343.6917451537</v>
      </c>
      <c r="P88" s="21" t="n">
        <v>64230.9099191597</v>
      </c>
      <c r="Q88" s="21" t="n">
        <v>66205.4173948106</v>
      </c>
      <c r="R88" s="21" t="n">
        <v>68260.1936842274</v>
      </c>
      <c r="S88" s="21" t="n">
        <v>70358.6179348906</v>
      </c>
      <c r="T88" s="21" t="n">
        <v>72482.4395694936</v>
      </c>
      <c r="U88" s="21" t="n">
        <v>74297.4767975085</v>
      </c>
      <c r="V88" s="21" t="n">
        <v>76073.9231579729</v>
      </c>
      <c r="W88" s="21" t="n">
        <v>77846.43841275</v>
      </c>
      <c r="X88" s="21" t="n">
        <v>0</v>
      </c>
      <c r="Y88" s="21" t="n">
        <v>0</v>
      </c>
      <c r="Z88" s="0"/>
      <c r="AA88" s="0"/>
      <c r="AB88" s="0"/>
      <c r="AC88" s="0"/>
      <c r="AD88" s="0"/>
      <c r="AE88" s="0"/>
      <c r="AF88" s="0"/>
      <c r="AG88" s="0"/>
    </row>
    <row r="89" customFormat="false" ht="12.75" hidden="false" customHeight="false" outlineLevel="1" collapsed="false">
      <c r="A89" s="22" t="s">
        <v>8</v>
      </c>
      <c r="B89" s="17" t="n">
        <f aca="false">NPV(0.1,D89:Y89)</f>
        <v>204644.249887146</v>
      </c>
      <c r="C89" s="17" t="n">
        <f aca="false">B89-B79</f>
        <v>0</v>
      </c>
      <c r="D89" s="18" t="n">
        <v>16718.0027090403</v>
      </c>
      <c r="E89" s="19" t="n">
        <v>20518.9879713187</v>
      </c>
      <c r="F89" s="19" t="n">
        <v>20852.7693276858</v>
      </c>
      <c r="G89" s="19" t="n">
        <v>21142.3759109831</v>
      </c>
      <c r="H89" s="19" t="n">
        <v>21504.1790402577</v>
      </c>
      <c r="I89" s="19" t="n">
        <v>21947.4538443091</v>
      </c>
      <c r="J89" s="19" t="n">
        <v>22472.279109544</v>
      </c>
      <c r="K89" s="19" t="n">
        <v>23109.4259520358</v>
      </c>
      <c r="L89" s="19" t="n">
        <v>23867.7107208197</v>
      </c>
      <c r="M89" s="19" t="n">
        <v>24747.2195079294</v>
      </c>
      <c r="N89" s="19" t="n">
        <v>25778.7309542345</v>
      </c>
      <c r="O89" s="20" t="n">
        <v>27755.5144852147</v>
      </c>
      <c r="P89" s="21" t="n">
        <v>29048.8506173102</v>
      </c>
      <c r="Q89" s="21" t="n">
        <v>30414.5868635318</v>
      </c>
      <c r="R89" s="21" t="n">
        <v>31862.5951839966</v>
      </c>
      <c r="S89" s="21" t="n">
        <v>33356.8408740354</v>
      </c>
      <c r="T89" s="21" t="n">
        <v>34847.0043653026</v>
      </c>
      <c r="U89" s="21" t="n">
        <v>36340.995735935</v>
      </c>
      <c r="V89" s="21" t="n">
        <v>37820.4465154262</v>
      </c>
      <c r="W89" s="21" t="n">
        <v>39419.6655730686</v>
      </c>
      <c r="X89" s="21" t="n">
        <v>0</v>
      </c>
      <c r="Y89" s="21" t="n">
        <v>0</v>
      </c>
      <c r="Z89" s="0"/>
      <c r="AA89" s="0"/>
      <c r="AB89" s="0"/>
      <c r="AC89" s="0"/>
      <c r="AD89" s="0"/>
      <c r="AE89" s="0"/>
      <c r="AF89" s="0"/>
      <c r="AG89" s="0"/>
    </row>
    <row r="90" customFormat="false" ht="12.75" hidden="false" customHeight="false" outlineLevel="1" collapsed="false">
      <c r="A90" s="22" t="s">
        <v>9</v>
      </c>
      <c r="B90" s="17" t="n">
        <f aca="false">NPV(0.1,D90:Y90)</f>
        <v>84184.1111262043</v>
      </c>
      <c r="C90" s="17" t="n">
        <f aca="false">B90-B80</f>
        <v>0</v>
      </c>
      <c r="D90" s="18" t="n">
        <v>706.616496647705</v>
      </c>
      <c r="E90" s="19" t="n">
        <v>1669.5475595893</v>
      </c>
      <c r="F90" s="19" t="n">
        <v>1772.35630664949</v>
      </c>
      <c r="G90" s="19" t="n">
        <v>1870.79163362829</v>
      </c>
      <c r="H90" s="19" t="n">
        <v>7474.617199604</v>
      </c>
      <c r="I90" s="19" t="n">
        <v>12284.5201243064</v>
      </c>
      <c r="J90" s="19" t="n">
        <v>13204.3919326012</v>
      </c>
      <c r="K90" s="19" t="n">
        <v>13771.0018893731</v>
      </c>
      <c r="L90" s="19" t="n">
        <v>14388.1545023135</v>
      </c>
      <c r="M90" s="19" t="n">
        <v>15037.8717525526</v>
      </c>
      <c r="N90" s="19" t="n">
        <v>15725.8406776132</v>
      </c>
      <c r="O90" s="20" t="n">
        <v>15944.2589535543</v>
      </c>
      <c r="P90" s="21" t="n">
        <v>16818.0320783346</v>
      </c>
      <c r="Q90" s="21" t="n">
        <v>17752.9516411312</v>
      </c>
      <c r="R90" s="21" t="n">
        <v>18593.2615859451</v>
      </c>
      <c r="S90" s="21" t="n">
        <v>19641.3657957863</v>
      </c>
      <c r="T90" s="21" t="n">
        <v>20058.810181713</v>
      </c>
      <c r="U90" s="21" t="n">
        <v>20266.1481660816</v>
      </c>
      <c r="V90" s="21" t="n">
        <v>20458.9141344336</v>
      </c>
      <c r="W90" s="21" t="n">
        <v>20546.8771365927</v>
      </c>
      <c r="X90" s="21" t="n">
        <v>0</v>
      </c>
      <c r="Y90" s="21" t="n">
        <v>0</v>
      </c>
      <c r="Z90" s="0"/>
      <c r="AA90" s="0"/>
      <c r="AB90" s="0"/>
      <c r="AC90" s="0"/>
      <c r="AD90" s="0"/>
      <c r="AE90" s="0"/>
      <c r="AF90" s="0"/>
      <c r="AG90" s="0"/>
    </row>
    <row r="91" customFormat="false" ht="12.75" hidden="false" customHeight="false" outlineLevel="1" collapsed="false">
      <c r="A91" s="22" t="s">
        <v>10</v>
      </c>
      <c r="B91" s="17" t="n">
        <f aca="false">NPV(0.1,D91:Y91)</f>
        <v>98204.9569828499</v>
      </c>
      <c r="C91" s="17" t="n">
        <f aca="false">B91-B81</f>
        <v>-1016.38554811181</v>
      </c>
      <c r="D91" s="23" t="n">
        <v>3002.82724459543</v>
      </c>
      <c r="E91" s="24" t="n">
        <v>5803.04630136425</v>
      </c>
      <c r="F91" s="24" t="n">
        <v>5259.35608033901</v>
      </c>
      <c r="G91" s="24" t="n">
        <v>5245.19254904258</v>
      </c>
      <c r="H91" s="24" t="n">
        <v>14988.3270018266</v>
      </c>
      <c r="I91" s="24" t="n">
        <v>18132.018344874</v>
      </c>
      <c r="J91" s="24" t="n">
        <v>13132.9180517502</v>
      </c>
      <c r="K91" s="24" t="n">
        <v>13030.1072154678</v>
      </c>
      <c r="L91" s="24" t="n">
        <v>12919.642425723</v>
      </c>
      <c r="M91" s="24" t="n">
        <v>12796.5938094921</v>
      </c>
      <c r="N91" s="24" t="n">
        <v>12632.4211965023</v>
      </c>
      <c r="O91" s="25" t="n">
        <v>13048.2963446035</v>
      </c>
      <c r="P91" s="21" t="n">
        <v>12042.5375919129</v>
      </c>
      <c r="Q91" s="21" t="n">
        <v>11845.4042813319</v>
      </c>
      <c r="R91" s="21" t="n">
        <v>16858.3313594672</v>
      </c>
      <c r="S91" s="21" t="n">
        <v>23129.7601664622</v>
      </c>
      <c r="T91" s="21" t="n">
        <v>23080.1155357335</v>
      </c>
      <c r="U91" s="21" t="n">
        <v>23278.4186914707</v>
      </c>
      <c r="V91" s="21" t="n">
        <v>23478.470589156</v>
      </c>
      <c r="W91" s="21" t="n">
        <v>23671.792809228</v>
      </c>
      <c r="X91" s="21" t="n">
        <v>0</v>
      </c>
      <c r="Y91" s="21" t="n">
        <v>0</v>
      </c>
      <c r="Z91" s="0"/>
      <c r="AA91" s="0"/>
      <c r="AB91" s="0"/>
      <c r="AC91" s="0"/>
      <c r="AD91" s="0"/>
      <c r="AE91" s="0"/>
      <c r="AF91" s="0"/>
      <c r="AG91" s="0"/>
    </row>
    <row r="92" customFormat="false" ht="12.75" hidden="false" customHeight="false" outlineLevel="1" collapsed="false">
      <c r="A92" s="5"/>
      <c r="B92" s="5"/>
      <c r="C92" s="5"/>
      <c r="D92" s="0"/>
      <c r="E92" s="0"/>
      <c r="F92" s="0"/>
      <c r="G92" s="0"/>
      <c r="H92" s="0"/>
      <c r="I92" s="0"/>
      <c r="J92" s="0"/>
      <c r="K92" s="0"/>
      <c r="L92" s="0"/>
      <c r="M92" s="0"/>
      <c r="N92" s="0"/>
      <c r="O92" s="0"/>
      <c r="P92" s="0"/>
      <c r="Q92" s="0"/>
      <c r="R92" s="0"/>
      <c r="S92" s="0"/>
      <c r="T92" s="0"/>
      <c r="U92" s="0"/>
      <c r="V92" s="0"/>
      <c r="W92" s="0"/>
      <c r="X92" s="0"/>
      <c r="Y92" s="0"/>
      <c r="Z92" s="0"/>
      <c r="AA92" s="0"/>
      <c r="AB92" s="0"/>
      <c r="AC92" s="0"/>
      <c r="AD92" s="0"/>
      <c r="AE92" s="0"/>
      <c r="AF92" s="0"/>
      <c r="AG92" s="0"/>
    </row>
    <row r="93" customFormat="false" ht="12.75" hidden="false" customHeight="false" outlineLevel="1" collapsed="false">
      <c r="A93" s="26" t="s">
        <v>21</v>
      </c>
      <c r="B93" s="5"/>
      <c r="C93" s="5"/>
      <c r="D93" s="0"/>
      <c r="E93" s="0"/>
      <c r="F93" s="0"/>
      <c r="G93" s="0"/>
      <c r="H93" s="0"/>
      <c r="I93" s="0"/>
      <c r="J93" s="0"/>
      <c r="K93" s="0"/>
      <c r="L93" s="0"/>
      <c r="M93" s="0"/>
      <c r="N93" s="0"/>
      <c r="O93" s="0"/>
      <c r="P93" s="0"/>
      <c r="Q93" s="0"/>
      <c r="R93" s="0"/>
      <c r="S93" s="0"/>
      <c r="T93" s="0"/>
      <c r="U93" s="0"/>
      <c r="V93" s="0"/>
      <c r="W93" s="0"/>
      <c r="X93" s="0"/>
      <c r="Y93" s="0"/>
      <c r="Z93" s="0"/>
      <c r="AA93" s="0"/>
      <c r="AB93" s="0"/>
      <c r="AC93" s="0"/>
      <c r="AD93" s="0"/>
      <c r="AE93" s="0"/>
      <c r="AF93" s="0"/>
      <c r="AG93" s="0"/>
    </row>
    <row r="94" customFormat="false" ht="12.75" hidden="false" customHeight="false" outlineLevel="1" collapsed="false">
      <c r="A94" s="28" t="n">
        <v>36231</v>
      </c>
      <c r="B94" s="5"/>
      <c r="C94" s="5"/>
      <c r="D94" s="0"/>
      <c r="E94" s="0"/>
      <c r="F94" s="0"/>
      <c r="G94" s="0"/>
      <c r="H94" s="0"/>
      <c r="I94" s="0"/>
      <c r="J94" s="0"/>
      <c r="K94" s="0"/>
      <c r="L94" s="0"/>
      <c r="M94" s="0"/>
      <c r="N94" s="0"/>
      <c r="O94" s="0"/>
      <c r="P94" s="0"/>
      <c r="Q94" s="0"/>
      <c r="R94" s="0"/>
      <c r="S94" s="0"/>
      <c r="T94" s="0"/>
      <c r="U94" s="0"/>
      <c r="V94" s="0"/>
      <c r="W94" s="0"/>
      <c r="X94" s="0"/>
      <c r="Y94" s="0"/>
      <c r="Z94" s="0"/>
      <c r="AA94" s="0"/>
      <c r="AB94" s="0"/>
      <c r="AC94" s="0"/>
      <c r="AD94" s="0"/>
      <c r="AE94" s="0"/>
      <c r="AF94" s="0"/>
      <c r="AG94" s="0"/>
    </row>
    <row r="95" customFormat="false" ht="12.75" hidden="false" customHeight="false" outlineLevel="1" collapsed="false">
      <c r="A95" s="7" t="s">
        <v>2</v>
      </c>
      <c r="B95" s="8" t="n">
        <v>35318.2524118978</v>
      </c>
      <c r="C95" s="5" t="s">
        <v>14</v>
      </c>
      <c r="D95" s="0"/>
      <c r="E95" s="0"/>
      <c r="F95" s="0"/>
      <c r="G95" s="0"/>
      <c r="H95" s="0"/>
      <c r="I95" s="0"/>
      <c r="J95" s="0"/>
      <c r="K95" s="0"/>
      <c r="L95" s="0"/>
      <c r="M95" s="0"/>
      <c r="N95" s="0"/>
      <c r="O95" s="0"/>
      <c r="P95" s="0"/>
      <c r="Q95" s="0"/>
      <c r="R95" s="0"/>
      <c r="S95" s="0"/>
      <c r="T95" s="0"/>
      <c r="U95" s="0"/>
      <c r="V95" s="0"/>
      <c r="W95" s="0"/>
      <c r="X95" s="0"/>
      <c r="Y95" s="0"/>
      <c r="Z95" s="0"/>
      <c r="AA95" s="0"/>
      <c r="AB95" s="0"/>
      <c r="AC95" s="0"/>
      <c r="AD95" s="0"/>
      <c r="AE95" s="0"/>
      <c r="AF95" s="0"/>
      <c r="AG95" s="0"/>
    </row>
    <row r="96" customFormat="false" ht="12.75" hidden="false" customHeight="false" outlineLevel="1" collapsed="false">
      <c r="A96" s="9" t="s">
        <v>3</v>
      </c>
      <c r="B96" s="10" t="n">
        <v>71616.6856353528</v>
      </c>
      <c r="C96" s="5"/>
      <c r="D96" s="0"/>
      <c r="E96" s="0"/>
      <c r="F96" s="0"/>
      <c r="G96" s="0"/>
      <c r="H96" s="0"/>
      <c r="I96" s="0"/>
      <c r="J96" s="0"/>
      <c r="K96" s="0"/>
      <c r="L96" s="0"/>
      <c r="M96" s="0"/>
      <c r="N96" s="0"/>
      <c r="O96" s="0"/>
      <c r="P96" s="0"/>
      <c r="Q96" s="0"/>
      <c r="R96" s="0"/>
      <c r="S96" s="0"/>
      <c r="T96" s="0"/>
      <c r="U96" s="0"/>
      <c r="V96" s="0"/>
      <c r="W96" s="0"/>
      <c r="X96" s="0"/>
      <c r="Y96" s="0"/>
      <c r="Z96" s="0"/>
      <c r="AA96" s="0"/>
      <c r="AB96" s="0"/>
      <c r="AC96" s="0"/>
      <c r="AD96" s="0"/>
      <c r="AE96" s="0"/>
      <c r="AF96" s="0"/>
      <c r="AG96" s="0"/>
    </row>
    <row r="97" customFormat="false" ht="12.75" hidden="false" customHeight="false" outlineLevel="0" collapsed="false">
      <c r="A97" s="11" t="s">
        <v>4</v>
      </c>
      <c r="B97" s="12" t="s">
        <v>5</v>
      </c>
      <c r="C97" s="12" t="s">
        <v>6</v>
      </c>
      <c r="D97" s="13" t="n">
        <v>1999</v>
      </c>
      <c r="E97" s="14" t="n">
        <v>2000</v>
      </c>
      <c r="F97" s="14" t="n">
        <v>2001</v>
      </c>
      <c r="G97" s="14" t="n">
        <v>2002</v>
      </c>
      <c r="H97" s="14" t="n">
        <v>2003</v>
      </c>
      <c r="I97" s="14" t="n">
        <v>2004</v>
      </c>
      <c r="J97" s="14" t="n">
        <v>2005</v>
      </c>
      <c r="K97" s="14" t="n">
        <v>2006</v>
      </c>
      <c r="L97" s="14" t="n">
        <v>2007</v>
      </c>
      <c r="M97" s="14" t="n">
        <v>2008</v>
      </c>
      <c r="N97" s="14" t="n">
        <v>2009</v>
      </c>
      <c r="O97" s="15" t="n">
        <v>2010</v>
      </c>
      <c r="P97" s="16" t="n">
        <v>2011</v>
      </c>
      <c r="Q97" s="16" t="n">
        <v>2012</v>
      </c>
      <c r="R97" s="16" t="n">
        <v>2013</v>
      </c>
      <c r="S97" s="16" t="n">
        <v>2014</v>
      </c>
      <c r="T97" s="16" t="n">
        <v>2015</v>
      </c>
      <c r="U97" s="16" t="n">
        <v>2016</v>
      </c>
      <c r="V97" s="16" t="n">
        <v>2017</v>
      </c>
      <c r="W97" s="16" t="n">
        <v>2018</v>
      </c>
      <c r="X97" s="16" t="n">
        <v>2019</v>
      </c>
      <c r="Y97" s="16" t="n">
        <v>2020</v>
      </c>
      <c r="Z97" s="0"/>
      <c r="AA97" s="0"/>
      <c r="AB97" s="0"/>
      <c r="AC97" s="0"/>
      <c r="AD97" s="0"/>
      <c r="AE97" s="0"/>
      <c r="AF97" s="0"/>
      <c r="AG97" s="0"/>
    </row>
    <row r="98" customFormat="false" ht="12.75" hidden="false" customHeight="false" outlineLevel="0" collapsed="false">
      <c r="A98" s="11" t="s">
        <v>7</v>
      </c>
      <c r="B98" s="17" t="n">
        <f aca="false">NPV(0.1,D98:Y98)</f>
        <v>430162.922539337</v>
      </c>
      <c r="C98" s="17" t="n">
        <f aca="false">B98-B88</f>
        <v>0</v>
      </c>
      <c r="D98" s="18" t="n">
        <v>26456.1651721875</v>
      </c>
      <c r="E98" s="19" t="n">
        <v>36622.8167682054</v>
      </c>
      <c r="F98" s="19" t="n">
        <v>36899.7467266388</v>
      </c>
      <c r="G98" s="19" t="n">
        <v>37130.4608454278</v>
      </c>
      <c r="H98" s="19" t="n">
        <v>46551.6218507978</v>
      </c>
      <c r="I98" s="19" t="n">
        <v>54368.3363263156</v>
      </c>
      <c r="J98" s="19" t="n">
        <v>55774.1081752542</v>
      </c>
      <c r="K98" s="19" t="n">
        <v>56836.4340779057</v>
      </c>
      <c r="L98" s="19" t="n">
        <v>58014.036281412</v>
      </c>
      <c r="M98" s="19" t="n">
        <v>59306.2801784764</v>
      </c>
      <c r="N98" s="19" t="n">
        <v>60748.6390469201</v>
      </c>
      <c r="O98" s="20" t="n">
        <v>62343.6917451537</v>
      </c>
      <c r="P98" s="21" t="n">
        <v>64230.9099191597</v>
      </c>
      <c r="Q98" s="21" t="n">
        <v>66205.4173948106</v>
      </c>
      <c r="R98" s="21" t="n">
        <v>68260.1936842274</v>
      </c>
      <c r="S98" s="21" t="n">
        <v>70358.6179348906</v>
      </c>
      <c r="T98" s="21" t="n">
        <v>72482.4395694936</v>
      </c>
      <c r="U98" s="21" t="n">
        <v>74297.4767975085</v>
      </c>
      <c r="V98" s="21" t="n">
        <v>76073.9231579729</v>
      </c>
      <c r="W98" s="21" t="n">
        <v>77846.43841275</v>
      </c>
      <c r="X98" s="21" t="n">
        <v>0</v>
      </c>
      <c r="Y98" s="21" t="n">
        <v>0</v>
      </c>
      <c r="Z98" s="0"/>
      <c r="AA98" s="0"/>
      <c r="AB98" s="0"/>
      <c r="AC98" s="0"/>
      <c r="AD98" s="0"/>
      <c r="AE98" s="0"/>
      <c r="AF98" s="0"/>
      <c r="AG98" s="0"/>
    </row>
    <row r="99" customFormat="false" ht="12.75" hidden="false" customHeight="false" outlineLevel="0" collapsed="false">
      <c r="A99" s="22" t="s">
        <v>8</v>
      </c>
      <c r="B99" s="17" t="n">
        <f aca="false">NPV(0.1,D99:Y99)</f>
        <v>204644.249887146</v>
      </c>
      <c r="C99" s="17" t="n">
        <f aca="false">B99-B89</f>
        <v>0</v>
      </c>
      <c r="D99" s="18" t="n">
        <v>16718.0027090403</v>
      </c>
      <c r="E99" s="19" t="n">
        <v>20518.9879713187</v>
      </c>
      <c r="F99" s="19" t="n">
        <v>20852.7693276858</v>
      </c>
      <c r="G99" s="19" t="n">
        <v>21142.3759109831</v>
      </c>
      <c r="H99" s="19" t="n">
        <v>21504.1790402577</v>
      </c>
      <c r="I99" s="19" t="n">
        <v>21947.4538443091</v>
      </c>
      <c r="J99" s="19" t="n">
        <v>22472.279109544</v>
      </c>
      <c r="K99" s="19" t="n">
        <v>23109.4259520358</v>
      </c>
      <c r="L99" s="19" t="n">
        <v>23867.7107208197</v>
      </c>
      <c r="M99" s="19" t="n">
        <v>24747.2195079294</v>
      </c>
      <c r="N99" s="19" t="n">
        <v>25778.7309542345</v>
      </c>
      <c r="O99" s="20" t="n">
        <v>27755.5144852147</v>
      </c>
      <c r="P99" s="21" t="n">
        <v>29048.8506173102</v>
      </c>
      <c r="Q99" s="21" t="n">
        <v>30414.5868635318</v>
      </c>
      <c r="R99" s="21" t="n">
        <v>31862.5951839966</v>
      </c>
      <c r="S99" s="21" t="n">
        <v>33356.8408740354</v>
      </c>
      <c r="T99" s="21" t="n">
        <v>34847.0043653026</v>
      </c>
      <c r="U99" s="21" t="n">
        <v>36340.995735935</v>
      </c>
      <c r="V99" s="21" t="n">
        <v>37820.4465154262</v>
      </c>
      <c r="W99" s="21" t="n">
        <v>39419.6655730686</v>
      </c>
      <c r="X99" s="21" t="n">
        <v>0</v>
      </c>
      <c r="Y99" s="21" t="n">
        <v>0</v>
      </c>
      <c r="Z99" s="0"/>
      <c r="AA99" s="0"/>
      <c r="AB99" s="0"/>
      <c r="AC99" s="0"/>
      <c r="AD99" s="0"/>
      <c r="AE99" s="0"/>
      <c r="AF99" s="0"/>
      <c r="AG99" s="0"/>
    </row>
    <row r="100" customFormat="false" ht="12.75" hidden="false" customHeight="false" outlineLevel="0" collapsed="false">
      <c r="A100" s="22" t="s">
        <v>9</v>
      </c>
      <c r="B100" s="17" t="n">
        <f aca="false">NPV(0.1,D100:Y100)</f>
        <v>84184.1111262043</v>
      </c>
      <c r="C100" s="17" t="n">
        <f aca="false">B100-B90</f>
        <v>0</v>
      </c>
      <c r="D100" s="18" t="n">
        <v>706.616496647705</v>
      </c>
      <c r="E100" s="19" t="n">
        <v>1669.5475595893</v>
      </c>
      <c r="F100" s="19" t="n">
        <v>1772.35630664949</v>
      </c>
      <c r="G100" s="19" t="n">
        <v>1870.79163362829</v>
      </c>
      <c r="H100" s="19" t="n">
        <v>7474.617199604</v>
      </c>
      <c r="I100" s="19" t="n">
        <v>12284.5201243064</v>
      </c>
      <c r="J100" s="19" t="n">
        <v>13204.3919326012</v>
      </c>
      <c r="K100" s="19" t="n">
        <v>13771.0018893731</v>
      </c>
      <c r="L100" s="19" t="n">
        <v>14388.1545023135</v>
      </c>
      <c r="M100" s="19" t="n">
        <v>15037.8717525526</v>
      </c>
      <c r="N100" s="19" t="n">
        <v>15725.8406776132</v>
      </c>
      <c r="O100" s="20" t="n">
        <v>15944.2589535543</v>
      </c>
      <c r="P100" s="21" t="n">
        <v>16818.0320783346</v>
      </c>
      <c r="Q100" s="21" t="n">
        <v>17752.9516411312</v>
      </c>
      <c r="R100" s="21" t="n">
        <v>18593.2615859451</v>
      </c>
      <c r="S100" s="21" t="n">
        <v>19641.3657957863</v>
      </c>
      <c r="T100" s="21" t="n">
        <v>20058.810181713</v>
      </c>
      <c r="U100" s="21" t="n">
        <v>20266.1481660816</v>
      </c>
      <c r="V100" s="21" t="n">
        <v>20458.9141344336</v>
      </c>
      <c r="W100" s="21" t="n">
        <v>20546.8771365927</v>
      </c>
      <c r="X100" s="21" t="n">
        <v>0</v>
      </c>
      <c r="Y100" s="21" t="n">
        <v>0</v>
      </c>
      <c r="Z100" s="0"/>
      <c r="AA100" s="0"/>
      <c r="AB100" s="0"/>
      <c r="AC100" s="0"/>
      <c r="AD100" s="0"/>
      <c r="AE100" s="0"/>
      <c r="AF100" s="0"/>
      <c r="AG100" s="0"/>
    </row>
    <row r="101" customFormat="false" ht="12.75" hidden="false" customHeight="false" outlineLevel="0" collapsed="false">
      <c r="A101" s="22" t="s">
        <v>10</v>
      </c>
      <c r="B101" s="17" t="n">
        <f aca="false">NPV(0.1,D101:Y101)</f>
        <v>97764.7849018195</v>
      </c>
      <c r="C101" s="17" t="n">
        <f aca="false">B101-B91</f>
        <v>-440.172081030381</v>
      </c>
      <c r="D101" s="23" t="n">
        <v>3002.82724459543</v>
      </c>
      <c r="E101" s="24" t="n">
        <v>5803.04630136425</v>
      </c>
      <c r="F101" s="24" t="n">
        <v>5259.35608033901</v>
      </c>
      <c r="G101" s="24" t="n">
        <v>5245.19254904258</v>
      </c>
      <c r="H101" s="24" t="n">
        <v>14988.3270018266</v>
      </c>
      <c r="I101" s="24" t="n">
        <v>16893.3220097858</v>
      </c>
      <c r="J101" s="24" t="n">
        <v>13129.9219549897</v>
      </c>
      <c r="K101" s="24" t="n">
        <v>13027.1038718982</v>
      </c>
      <c r="L101" s="24" t="n">
        <v>12916.6318178162</v>
      </c>
      <c r="M101" s="24" t="n">
        <v>12793.5759196775</v>
      </c>
      <c r="N101" s="24" t="n">
        <v>12629.3960071667</v>
      </c>
      <c r="O101" s="25" t="n">
        <v>13045.2638380912</v>
      </c>
      <c r="P101" s="21" t="n">
        <v>12039.4977505254</v>
      </c>
      <c r="Q101" s="21" t="n">
        <v>11842.357087328</v>
      </c>
      <c r="R101" s="21" t="n">
        <v>16855.2767950629</v>
      </c>
      <c r="S101" s="21" t="n">
        <v>24365.3945489184</v>
      </c>
      <c r="T101" s="21" t="n">
        <v>23080.042273764</v>
      </c>
      <c r="U101" s="21" t="n">
        <v>23278.3452522989</v>
      </c>
      <c r="V101" s="21" t="n">
        <v>23478.3969723532</v>
      </c>
      <c r="W101" s="21" t="n">
        <v>23671.7190143646</v>
      </c>
      <c r="X101" s="21" t="n">
        <v>0</v>
      </c>
      <c r="Y101" s="21" t="n">
        <v>0</v>
      </c>
      <c r="Z101" s="0"/>
      <c r="AA101" s="0"/>
      <c r="AB101" s="0"/>
      <c r="AC101" s="0"/>
      <c r="AD101" s="0"/>
      <c r="AE101" s="0"/>
      <c r="AF101" s="0"/>
      <c r="AG101" s="0"/>
    </row>
    <row r="102" customFormat="false" ht="12.75" hidden="false" customHeight="false" outlineLevel="0" collapsed="false">
      <c r="A102" s="5"/>
      <c r="B102" s="5"/>
      <c r="C102" s="5"/>
      <c r="D102" s="0"/>
      <c r="E102" s="0"/>
      <c r="F102" s="0"/>
      <c r="G102" s="0"/>
      <c r="H102" s="0"/>
      <c r="I102" s="0"/>
      <c r="J102" s="0"/>
      <c r="K102" s="0"/>
      <c r="L102" s="0"/>
      <c r="M102" s="0"/>
      <c r="N102" s="0"/>
      <c r="O102" s="0"/>
      <c r="P102" s="0"/>
      <c r="Q102" s="0"/>
      <c r="R102" s="0"/>
      <c r="S102" s="0"/>
      <c r="T102" s="0"/>
      <c r="U102" s="0"/>
      <c r="V102" s="0"/>
      <c r="W102" s="0"/>
      <c r="X102" s="0"/>
      <c r="Y102" s="0"/>
      <c r="Z102" s="0"/>
      <c r="AA102" s="0"/>
      <c r="AB102" s="0"/>
      <c r="AC102" s="0"/>
      <c r="AD102" s="0"/>
      <c r="AE102" s="0"/>
      <c r="AF102" s="0"/>
      <c r="AG102" s="0"/>
    </row>
    <row r="103" customFormat="false" ht="12.75" hidden="false" customHeight="false" outlineLevel="0" collapsed="false">
      <c r="A103" s="26" t="s">
        <v>22</v>
      </c>
      <c r="B103" s="5"/>
      <c r="C103" s="5"/>
      <c r="D103" s="0"/>
      <c r="E103" s="0"/>
      <c r="F103" s="0"/>
      <c r="G103" s="0"/>
      <c r="H103" s="0"/>
      <c r="I103" s="0"/>
      <c r="J103" s="0"/>
      <c r="K103" s="0"/>
      <c r="L103" s="0"/>
      <c r="M103" s="0"/>
      <c r="N103" s="0"/>
      <c r="O103" s="0"/>
      <c r="P103" s="0"/>
      <c r="Q103" s="0"/>
      <c r="R103" s="0"/>
      <c r="S103" s="0"/>
      <c r="T103" s="0"/>
      <c r="U103" s="0"/>
      <c r="V103" s="0"/>
      <c r="W103" s="0"/>
      <c r="X103" s="0"/>
      <c r="Y103" s="0"/>
      <c r="Z103" s="0"/>
      <c r="AA103" s="0"/>
      <c r="AB103" s="0"/>
      <c r="AC103" s="0"/>
      <c r="AD103" s="0"/>
      <c r="AE103" s="0"/>
      <c r="AF103" s="0"/>
      <c r="AG103" s="0"/>
    </row>
    <row r="104" customFormat="false" ht="12.75" hidden="false" customHeight="false" outlineLevel="0" collapsed="false">
      <c r="A104" s="28" t="n">
        <v>36234</v>
      </c>
      <c r="B104" s="5"/>
      <c r="C104" s="5"/>
      <c r="D104" s="0"/>
      <c r="E104" s="0"/>
      <c r="F104" s="0"/>
      <c r="G104" s="0"/>
      <c r="H104" s="0"/>
      <c r="I104" s="0"/>
      <c r="J104" s="0"/>
      <c r="K104" s="0"/>
      <c r="L104" s="0"/>
      <c r="M104" s="0"/>
      <c r="N104" s="0"/>
      <c r="O104" s="0"/>
      <c r="P104" s="0"/>
      <c r="Q104" s="0"/>
      <c r="R104" s="0"/>
      <c r="S104" s="0"/>
      <c r="T104" s="0"/>
      <c r="U104" s="0"/>
      <c r="V104" s="0"/>
      <c r="W104" s="0"/>
      <c r="X104" s="0"/>
      <c r="Y104" s="0"/>
      <c r="Z104" s="0"/>
      <c r="AA104" s="0"/>
      <c r="AB104" s="0"/>
      <c r="AC104" s="0"/>
      <c r="AD104" s="0"/>
      <c r="AE104" s="0"/>
      <c r="AF104" s="0"/>
      <c r="AG104" s="0"/>
    </row>
    <row r="105" customFormat="false" ht="12.75" hidden="false" customHeight="false" outlineLevel="0" collapsed="false">
      <c r="A105" s="7" t="s">
        <v>2</v>
      </c>
      <c r="B105" s="8" t="n">
        <v>35969.1737046787</v>
      </c>
      <c r="C105" s="5" t="s">
        <v>14</v>
      </c>
      <c r="D105" s="0"/>
      <c r="E105" s="0"/>
      <c r="F105" s="0"/>
      <c r="G105" s="0"/>
      <c r="H105" s="0"/>
      <c r="I105" s="0"/>
      <c r="J105" s="0"/>
      <c r="K105" s="0"/>
      <c r="L105" s="0"/>
      <c r="M105" s="0"/>
      <c r="N105" s="0"/>
      <c r="O105" s="0"/>
      <c r="P105" s="0"/>
      <c r="Q105" s="0"/>
      <c r="R105" s="0"/>
      <c r="S105" s="0"/>
      <c r="T105" s="0"/>
      <c r="U105" s="0"/>
      <c r="V105" s="0"/>
      <c r="W105" s="0"/>
      <c r="X105" s="0"/>
      <c r="Y105" s="0"/>
      <c r="Z105" s="0"/>
      <c r="AA105" s="0"/>
      <c r="AB105" s="0"/>
      <c r="AC105" s="0"/>
      <c r="AD105" s="0"/>
      <c r="AE105" s="0"/>
      <c r="AF105" s="0"/>
      <c r="AG105" s="0"/>
    </row>
    <row r="106" customFormat="false" ht="12.75" hidden="false" customHeight="false" outlineLevel="0" collapsed="false">
      <c r="A106" s="9" t="s">
        <v>3</v>
      </c>
      <c r="B106" s="10" t="n">
        <v>71616.6856353528</v>
      </c>
      <c r="C106" s="5"/>
      <c r="D106" s="0"/>
      <c r="E106" s="0"/>
      <c r="F106" s="0"/>
      <c r="G106" s="0"/>
      <c r="H106" s="0"/>
      <c r="I106" s="0"/>
      <c r="J106" s="0"/>
      <c r="K106" s="0"/>
      <c r="L106" s="0"/>
      <c r="M106" s="0"/>
      <c r="N106" s="0"/>
      <c r="O106" s="0"/>
      <c r="P106" s="0"/>
      <c r="Q106" s="0"/>
      <c r="R106" s="0"/>
      <c r="S106" s="0"/>
      <c r="T106" s="0"/>
      <c r="U106" s="0"/>
      <c r="V106" s="0"/>
      <c r="W106" s="0"/>
      <c r="X106" s="0"/>
      <c r="Y106" s="0"/>
      <c r="Z106" s="0"/>
      <c r="AA106" s="0"/>
      <c r="AB106" s="0"/>
      <c r="AC106" s="0"/>
      <c r="AD106" s="0"/>
      <c r="AE106" s="0"/>
      <c r="AF106" s="0"/>
      <c r="AG106" s="0"/>
    </row>
    <row r="107" customFormat="false" ht="12.75" hidden="false" customHeight="false" outlineLevel="0" collapsed="false">
      <c r="A107" s="11" t="s">
        <v>4</v>
      </c>
      <c r="B107" s="12" t="s">
        <v>5</v>
      </c>
      <c r="C107" s="12" t="s">
        <v>6</v>
      </c>
      <c r="D107" s="13" t="n">
        <v>1999</v>
      </c>
      <c r="E107" s="14" t="n">
        <v>2000</v>
      </c>
      <c r="F107" s="14" t="n">
        <v>2001</v>
      </c>
      <c r="G107" s="14" t="n">
        <v>2002</v>
      </c>
      <c r="H107" s="14" t="n">
        <v>2003</v>
      </c>
      <c r="I107" s="14" t="n">
        <v>2004</v>
      </c>
      <c r="J107" s="14" t="n">
        <v>2005</v>
      </c>
      <c r="K107" s="14" t="n">
        <v>2006</v>
      </c>
      <c r="L107" s="14" t="n">
        <v>2007</v>
      </c>
      <c r="M107" s="14" t="n">
        <v>2008</v>
      </c>
      <c r="N107" s="14" t="n">
        <v>2009</v>
      </c>
      <c r="O107" s="15" t="n">
        <v>2010</v>
      </c>
      <c r="P107" s="16" t="n">
        <v>2011</v>
      </c>
      <c r="Q107" s="16" t="n">
        <v>2012</v>
      </c>
      <c r="R107" s="16" t="n">
        <v>2013</v>
      </c>
      <c r="S107" s="16" t="n">
        <v>2014</v>
      </c>
      <c r="T107" s="16" t="n">
        <v>2015</v>
      </c>
      <c r="U107" s="16" t="n">
        <v>2016</v>
      </c>
      <c r="V107" s="16" t="n">
        <v>2017</v>
      </c>
      <c r="W107" s="16" t="n">
        <v>2018</v>
      </c>
      <c r="X107" s="16" t="n">
        <v>2019</v>
      </c>
      <c r="Y107" s="16" t="n">
        <v>2020</v>
      </c>
      <c r="Z107" s="0"/>
      <c r="AA107" s="0"/>
      <c r="AB107" s="0"/>
      <c r="AC107" s="0"/>
      <c r="AD107" s="0"/>
      <c r="AE107" s="0"/>
      <c r="AF107" s="0"/>
      <c r="AG107" s="0"/>
    </row>
    <row r="108" customFormat="false" ht="12.75" hidden="false" customHeight="false" outlineLevel="0" collapsed="false">
      <c r="A108" s="11" t="s">
        <v>7</v>
      </c>
      <c r="B108" s="17" t="n">
        <f aca="false">NPV(0.1,D108:Y108)</f>
        <v>430162.922539337</v>
      </c>
      <c r="C108" s="17" t="n">
        <f aca="false">B108-B98</f>
        <v>0</v>
      </c>
      <c r="D108" s="18" t="n">
        <v>26456.1651721875</v>
      </c>
      <c r="E108" s="19" t="n">
        <v>36622.8167682054</v>
      </c>
      <c r="F108" s="19" t="n">
        <v>36899.7467266388</v>
      </c>
      <c r="G108" s="19" t="n">
        <v>37130.4608454278</v>
      </c>
      <c r="H108" s="19" t="n">
        <v>46551.6218507978</v>
      </c>
      <c r="I108" s="19" t="n">
        <v>54368.3363263156</v>
      </c>
      <c r="J108" s="19" t="n">
        <v>55774.1081752542</v>
      </c>
      <c r="K108" s="19" t="n">
        <v>56836.4340779057</v>
      </c>
      <c r="L108" s="19" t="n">
        <v>58014.036281412</v>
      </c>
      <c r="M108" s="19" t="n">
        <v>59306.2801784764</v>
      </c>
      <c r="N108" s="19" t="n">
        <v>60748.6390469201</v>
      </c>
      <c r="O108" s="20" t="n">
        <v>62343.6917451537</v>
      </c>
      <c r="P108" s="21" t="n">
        <v>64230.9099191597</v>
      </c>
      <c r="Q108" s="21" t="n">
        <v>66205.4173948106</v>
      </c>
      <c r="R108" s="21" t="n">
        <v>68260.1936842274</v>
      </c>
      <c r="S108" s="21" t="n">
        <v>70358.6179348906</v>
      </c>
      <c r="T108" s="21" t="n">
        <v>72482.4395694936</v>
      </c>
      <c r="U108" s="21" t="n">
        <v>74297.4767975085</v>
      </c>
      <c r="V108" s="21" t="n">
        <v>76073.9231579729</v>
      </c>
      <c r="W108" s="21" t="n">
        <v>77846.43841275</v>
      </c>
      <c r="X108" s="21" t="n">
        <v>0</v>
      </c>
      <c r="Y108" s="21" t="n">
        <v>0</v>
      </c>
      <c r="Z108" s="0"/>
      <c r="AA108" s="0"/>
      <c r="AB108" s="0"/>
      <c r="AC108" s="0"/>
      <c r="AD108" s="0"/>
      <c r="AE108" s="0"/>
      <c r="AF108" s="0"/>
      <c r="AG108" s="0"/>
    </row>
    <row r="109" customFormat="false" ht="12.75" hidden="false" customHeight="false" outlineLevel="0" collapsed="false">
      <c r="A109" s="22" t="s">
        <v>8</v>
      </c>
      <c r="B109" s="17" t="n">
        <f aca="false">NPV(0.1,D109:Y109)</f>
        <v>204644.249887146</v>
      </c>
      <c r="C109" s="17" t="n">
        <f aca="false">B109-B99</f>
        <v>0</v>
      </c>
      <c r="D109" s="18" t="n">
        <v>16718.0027090403</v>
      </c>
      <c r="E109" s="19" t="n">
        <v>20518.9879713187</v>
      </c>
      <c r="F109" s="19" t="n">
        <v>20852.7693276858</v>
      </c>
      <c r="G109" s="19" t="n">
        <v>21142.3759109831</v>
      </c>
      <c r="H109" s="19" t="n">
        <v>21504.1790402577</v>
      </c>
      <c r="I109" s="19" t="n">
        <v>21947.4538443091</v>
      </c>
      <c r="J109" s="19" t="n">
        <v>22472.279109544</v>
      </c>
      <c r="K109" s="19" t="n">
        <v>23109.4259520358</v>
      </c>
      <c r="L109" s="19" t="n">
        <v>23867.7107208197</v>
      </c>
      <c r="M109" s="19" t="n">
        <v>24747.2195079294</v>
      </c>
      <c r="N109" s="19" t="n">
        <v>25778.7309542345</v>
      </c>
      <c r="O109" s="20" t="n">
        <v>27755.5144852147</v>
      </c>
      <c r="P109" s="21" t="n">
        <v>29048.8506173102</v>
      </c>
      <c r="Q109" s="21" t="n">
        <v>30414.5868635318</v>
      </c>
      <c r="R109" s="21" t="n">
        <v>31862.5951839966</v>
      </c>
      <c r="S109" s="21" t="n">
        <v>33356.8408740354</v>
      </c>
      <c r="T109" s="21" t="n">
        <v>34847.0043653026</v>
      </c>
      <c r="U109" s="21" t="n">
        <v>36340.995735935</v>
      </c>
      <c r="V109" s="21" t="n">
        <v>37820.4465154262</v>
      </c>
      <c r="W109" s="21" t="n">
        <v>39419.6655730686</v>
      </c>
      <c r="X109" s="21" t="n">
        <v>0</v>
      </c>
      <c r="Y109" s="21" t="n">
        <v>0</v>
      </c>
      <c r="Z109" s="0"/>
      <c r="AA109" s="0"/>
      <c r="AB109" s="0"/>
      <c r="AC109" s="0"/>
      <c r="AD109" s="0"/>
      <c r="AE109" s="0"/>
      <c r="AF109" s="0"/>
      <c r="AG109" s="0"/>
    </row>
    <row r="110" customFormat="false" ht="12.75" hidden="false" customHeight="false" outlineLevel="0" collapsed="false">
      <c r="A110" s="22" t="s">
        <v>9</v>
      </c>
      <c r="B110" s="17" t="n">
        <f aca="false">NPV(0.1,D110:Y110)</f>
        <v>84184.1111262043</v>
      </c>
      <c r="C110" s="17" t="n">
        <f aca="false">B110-B100</f>
        <v>0</v>
      </c>
      <c r="D110" s="18" t="n">
        <v>706.616496647705</v>
      </c>
      <c r="E110" s="19" t="n">
        <v>1669.5475595893</v>
      </c>
      <c r="F110" s="19" t="n">
        <v>1772.35630664949</v>
      </c>
      <c r="G110" s="19" t="n">
        <v>1870.79163362829</v>
      </c>
      <c r="H110" s="19" t="n">
        <v>7474.617199604</v>
      </c>
      <c r="I110" s="19" t="n">
        <v>12284.5201243064</v>
      </c>
      <c r="J110" s="19" t="n">
        <v>13204.3919326012</v>
      </c>
      <c r="K110" s="19" t="n">
        <v>13771.0018893731</v>
      </c>
      <c r="L110" s="19" t="n">
        <v>14388.1545023135</v>
      </c>
      <c r="M110" s="19" t="n">
        <v>15037.8717525526</v>
      </c>
      <c r="N110" s="19" t="n">
        <v>15725.8406776132</v>
      </c>
      <c r="O110" s="20" t="n">
        <v>15944.2589535543</v>
      </c>
      <c r="P110" s="21" t="n">
        <v>16818.0320783346</v>
      </c>
      <c r="Q110" s="21" t="n">
        <v>17752.9516411312</v>
      </c>
      <c r="R110" s="21" t="n">
        <v>18593.2615859451</v>
      </c>
      <c r="S110" s="21" t="n">
        <v>19641.3657957863</v>
      </c>
      <c r="T110" s="21" t="n">
        <v>20058.810181713</v>
      </c>
      <c r="U110" s="21" t="n">
        <v>20266.1481660816</v>
      </c>
      <c r="V110" s="21" t="n">
        <v>20458.9141344336</v>
      </c>
      <c r="W110" s="21" t="n">
        <v>20546.8771365927</v>
      </c>
      <c r="X110" s="21" t="n">
        <v>0</v>
      </c>
      <c r="Y110" s="21" t="n">
        <v>0</v>
      </c>
      <c r="Z110" s="0"/>
      <c r="AA110" s="0"/>
      <c r="AB110" s="0"/>
      <c r="AC110" s="0"/>
      <c r="AD110" s="0"/>
      <c r="AE110" s="0"/>
      <c r="AF110" s="0"/>
      <c r="AG110" s="0"/>
    </row>
    <row r="111" customFormat="false" ht="12.75" hidden="false" customHeight="false" outlineLevel="0" collapsed="false">
      <c r="A111" s="22" t="s">
        <v>10</v>
      </c>
      <c r="B111" s="17" t="n">
        <f aca="false">NPV(0.1,D111:Y111)</f>
        <v>98481.4131669795</v>
      </c>
      <c r="C111" s="17" t="n">
        <f aca="false">B111-B101</f>
        <v>716.628265159947</v>
      </c>
      <c r="D111" s="23" t="n">
        <v>3002.82724459543</v>
      </c>
      <c r="E111" s="24" t="n">
        <v>5803.04630136425</v>
      </c>
      <c r="F111" s="24" t="n">
        <v>5259.35608033901</v>
      </c>
      <c r="G111" s="24" t="n">
        <v>5245.19254904258</v>
      </c>
      <c r="H111" s="24" t="n">
        <v>14988.3270018266</v>
      </c>
      <c r="I111" s="24" t="n">
        <v>17636.4993547606</v>
      </c>
      <c r="J111" s="24" t="n">
        <v>13229.0393020984</v>
      </c>
      <c r="K111" s="24" t="n">
        <v>13120.8179253524</v>
      </c>
      <c r="L111" s="24" t="n">
        <v>13004.9206592201</v>
      </c>
      <c r="M111" s="24" t="n">
        <v>12876.4226060459</v>
      </c>
      <c r="N111" s="24" t="n">
        <v>12706.7737399539</v>
      </c>
      <c r="O111" s="25" t="n">
        <v>13117.1603081592</v>
      </c>
      <c r="P111" s="21" t="n">
        <v>12105.1996554457</v>
      </c>
      <c r="Q111" s="21" t="n">
        <v>11902.5833392229</v>
      </c>
      <c r="R111" s="21" t="n">
        <v>16910.0148467739</v>
      </c>
      <c r="S111" s="21" t="n">
        <v>24409.9113518169</v>
      </c>
      <c r="T111" s="21" t="n">
        <v>23120.494274318</v>
      </c>
      <c r="U111" s="21" t="n">
        <v>23316.2161225482</v>
      </c>
      <c r="V111" s="21" t="n">
        <v>23513.6906333079</v>
      </c>
      <c r="W111" s="21" t="n">
        <v>23704.4251124252</v>
      </c>
      <c r="X111" s="21" t="n">
        <v>0</v>
      </c>
      <c r="Y111" s="21" t="n">
        <v>0</v>
      </c>
      <c r="Z111" s="0"/>
      <c r="AA111" s="0"/>
      <c r="AB111" s="0"/>
      <c r="AC111" s="0"/>
      <c r="AD111" s="0"/>
      <c r="AE111" s="0"/>
      <c r="AF111" s="0"/>
      <c r="AG111" s="0"/>
    </row>
    <row r="112" customFormat="false" ht="12.75" hidden="false" customHeight="false" outlineLevel="0" collapsed="false">
      <c r="A112" s="5"/>
      <c r="B112" s="5"/>
      <c r="C112" s="5"/>
      <c r="D112" s="0"/>
      <c r="E112" s="0"/>
      <c r="F112" s="0"/>
      <c r="G112" s="0"/>
      <c r="H112" s="0"/>
      <c r="I112" s="0"/>
      <c r="J112" s="0"/>
      <c r="K112" s="0"/>
      <c r="L112" s="0"/>
      <c r="M112" s="0"/>
      <c r="N112" s="0"/>
      <c r="O112" s="0"/>
      <c r="P112" s="0"/>
      <c r="Q112" s="0"/>
      <c r="R112" s="0"/>
      <c r="S112" s="0"/>
      <c r="T112" s="0"/>
      <c r="U112" s="0"/>
      <c r="V112" s="0"/>
      <c r="W112" s="0"/>
      <c r="X112" s="0"/>
      <c r="Y112" s="0"/>
      <c r="Z112" s="0"/>
      <c r="AA112" s="0"/>
      <c r="AB112" s="0"/>
      <c r="AC112" s="0"/>
      <c r="AD112" s="0"/>
      <c r="AE112" s="0"/>
      <c r="AF112" s="0"/>
      <c r="AG112" s="0"/>
    </row>
    <row r="113" customFormat="false" ht="12.75" hidden="false" customHeight="false" outlineLevel="0" collapsed="false">
      <c r="A113" s="26" t="s">
        <v>23</v>
      </c>
      <c r="B113" s="5"/>
      <c r="C113" s="5"/>
      <c r="D113" s="0"/>
      <c r="E113" s="0"/>
      <c r="F113" s="0"/>
      <c r="G113" s="0"/>
      <c r="H113" s="0"/>
      <c r="I113" s="0"/>
      <c r="J113" s="0"/>
      <c r="K113" s="0"/>
      <c r="L113" s="0"/>
      <c r="M113" s="0"/>
      <c r="N113" s="0"/>
      <c r="O113" s="0"/>
      <c r="P113" s="0"/>
      <c r="Q113" s="0"/>
      <c r="R113" s="0"/>
      <c r="S113" s="0"/>
      <c r="T113" s="0"/>
      <c r="U113" s="0"/>
      <c r="V113" s="0"/>
      <c r="W113" s="0"/>
      <c r="X113" s="0"/>
      <c r="Y113" s="0"/>
      <c r="Z113" s="0"/>
      <c r="AA113" s="0"/>
      <c r="AB113" s="0"/>
      <c r="AC113" s="0"/>
      <c r="AD113" s="0"/>
      <c r="AE113" s="0"/>
      <c r="AF113" s="0"/>
      <c r="AG113" s="0"/>
    </row>
    <row r="114" customFormat="false" ht="10.5" hidden="false" customHeight="true" outlineLevel="0" collapsed="false">
      <c r="A114" s="28" t="n">
        <v>36234</v>
      </c>
      <c r="B114" s="5"/>
      <c r="C114" s="5"/>
      <c r="D114" s="0"/>
      <c r="E114" s="0"/>
      <c r="F114" s="0"/>
      <c r="G114" s="0"/>
      <c r="H114" s="0"/>
      <c r="I114" s="0"/>
      <c r="J114" s="0"/>
      <c r="K114" s="0"/>
      <c r="L114" s="0"/>
      <c r="M114" s="0"/>
      <c r="N114" s="0"/>
      <c r="O114" s="0"/>
      <c r="P114" s="0"/>
      <c r="Q114" s="0"/>
      <c r="R114" s="0"/>
      <c r="S114" s="0"/>
      <c r="T114" s="0"/>
      <c r="U114" s="0"/>
      <c r="V114" s="0"/>
      <c r="W114" s="0"/>
      <c r="X114" s="0"/>
      <c r="Y114" s="0"/>
      <c r="Z114" s="0"/>
      <c r="AA114" s="0"/>
      <c r="AB114" s="0"/>
      <c r="AC114" s="0"/>
      <c r="AD114" s="0"/>
      <c r="AE114" s="0"/>
      <c r="AF114" s="0"/>
      <c r="AG114" s="0"/>
    </row>
    <row r="115" customFormat="false" ht="10.5" hidden="false" customHeight="true" outlineLevel="0" collapsed="false">
      <c r="A115" s="7" t="s">
        <v>2</v>
      </c>
      <c r="B115" s="8" t="n">
        <v>35749.7450964931</v>
      </c>
      <c r="C115" s="5" t="s">
        <v>14</v>
      </c>
      <c r="D115" s="0"/>
      <c r="E115" s="0"/>
      <c r="F115" s="0"/>
      <c r="G115" s="0"/>
      <c r="H115" s="0"/>
      <c r="I115" s="0"/>
      <c r="J115" s="0"/>
      <c r="K115" s="0"/>
      <c r="L115" s="0"/>
      <c r="M115" s="0"/>
      <c r="N115" s="0"/>
      <c r="O115" s="0"/>
      <c r="P115" s="0"/>
      <c r="Q115" s="0"/>
      <c r="R115" s="0"/>
      <c r="S115" s="0"/>
      <c r="T115" s="0"/>
      <c r="U115" s="0"/>
      <c r="V115" s="0"/>
      <c r="W115" s="0"/>
      <c r="X115" s="0"/>
      <c r="Y115" s="0"/>
      <c r="Z115" s="0"/>
      <c r="AA115" s="0"/>
      <c r="AB115" s="0"/>
      <c r="AC115" s="0"/>
      <c r="AD115" s="0"/>
      <c r="AE115" s="0"/>
      <c r="AF115" s="0"/>
      <c r="AG115" s="0"/>
    </row>
    <row r="116" customFormat="false" ht="10.5" hidden="false" customHeight="true" outlineLevel="0" collapsed="false">
      <c r="A116" s="9" t="s">
        <v>3</v>
      </c>
      <c r="B116" s="10" t="n">
        <v>71320.9136264625</v>
      </c>
      <c r="C116" s="5"/>
      <c r="D116" s="0"/>
      <c r="E116" s="0"/>
      <c r="F116" s="0"/>
      <c r="G116" s="0"/>
      <c r="H116" s="0"/>
      <c r="I116" s="0"/>
      <c r="J116" s="0"/>
      <c r="K116" s="0"/>
      <c r="L116" s="0"/>
      <c r="M116" s="0"/>
      <c r="N116" s="0"/>
      <c r="O116" s="0"/>
      <c r="P116" s="0"/>
      <c r="Q116" s="0"/>
      <c r="R116" s="0"/>
      <c r="S116" s="0"/>
      <c r="T116" s="0"/>
      <c r="U116" s="0"/>
      <c r="V116" s="0"/>
      <c r="W116" s="0"/>
      <c r="X116" s="0"/>
      <c r="Y116" s="0"/>
      <c r="Z116" s="0"/>
      <c r="AA116" s="0"/>
      <c r="AB116" s="0"/>
      <c r="AC116" s="0"/>
      <c r="AD116" s="0"/>
      <c r="AE116" s="0"/>
      <c r="AF116" s="0"/>
      <c r="AG116" s="0"/>
    </row>
    <row r="117" customFormat="false" ht="12.75" hidden="false" customHeight="false" outlineLevel="1" collapsed="false">
      <c r="A117" s="11" t="s">
        <v>4</v>
      </c>
      <c r="B117" s="12" t="s">
        <v>5</v>
      </c>
      <c r="C117" s="12" t="s">
        <v>6</v>
      </c>
      <c r="D117" s="13" t="n">
        <v>1999</v>
      </c>
      <c r="E117" s="14" t="n">
        <v>2000</v>
      </c>
      <c r="F117" s="14" t="n">
        <v>2001</v>
      </c>
      <c r="G117" s="14" t="n">
        <v>2002</v>
      </c>
      <c r="H117" s="14" t="n">
        <v>2003</v>
      </c>
      <c r="I117" s="14" t="n">
        <v>2004</v>
      </c>
      <c r="J117" s="14" t="n">
        <v>2005</v>
      </c>
      <c r="K117" s="14" t="n">
        <v>2006</v>
      </c>
      <c r="L117" s="14" t="n">
        <v>2007</v>
      </c>
      <c r="M117" s="14" t="n">
        <v>2008</v>
      </c>
      <c r="N117" s="14" t="n">
        <v>2009</v>
      </c>
      <c r="O117" s="15" t="n">
        <v>2010</v>
      </c>
      <c r="P117" s="16" t="n">
        <v>2011</v>
      </c>
      <c r="Q117" s="16" t="n">
        <v>2012</v>
      </c>
      <c r="R117" s="16" t="n">
        <v>2013</v>
      </c>
      <c r="S117" s="16" t="n">
        <v>2014</v>
      </c>
      <c r="T117" s="16" t="n">
        <v>2015</v>
      </c>
      <c r="U117" s="16" t="n">
        <v>2016</v>
      </c>
      <c r="V117" s="16" t="n">
        <v>2017</v>
      </c>
      <c r="W117" s="16" t="n">
        <v>2018</v>
      </c>
      <c r="X117" s="16" t="n">
        <v>2019</v>
      </c>
      <c r="Y117" s="16" t="n">
        <v>2020</v>
      </c>
      <c r="Z117" s="0"/>
      <c r="AA117" s="0"/>
      <c r="AB117" s="0"/>
      <c r="AC117" s="0"/>
      <c r="AD117" s="0"/>
      <c r="AE117" s="0"/>
      <c r="AF117" s="0"/>
      <c r="AG117" s="0"/>
    </row>
    <row r="118" customFormat="false" ht="12.75" hidden="false" customHeight="false" outlineLevel="1" collapsed="false">
      <c r="A118" s="11" t="s">
        <v>7</v>
      </c>
      <c r="B118" s="17" t="n">
        <f aca="false">NPV(0.1,D118:Y118)</f>
        <v>430162.922539337</v>
      </c>
      <c r="C118" s="17" t="n">
        <f aca="false">B118-B108</f>
        <v>0</v>
      </c>
      <c r="D118" s="18" t="n">
        <v>26456.1651721875</v>
      </c>
      <c r="E118" s="19" t="n">
        <v>36622.8167682054</v>
      </c>
      <c r="F118" s="19" t="n">
        <v>36899.7467266388</v>
      </c>
      <c r="G118" s="19" t="n">
        <v>37130.4608454278</v>
      </c>
      <c r="H118" s="19" t="n">
        <v>46551.6218507978</v>
      </c>
      <c r="I118" s="19" t="n">
        <v>54368.3363263156</v>
      </c>
      <c r="J118" s="19" t="n">
        <v>55774.1081752542</v>
      </c>
      <c r="K118" s="19" t="n">
        <v>56836.4340779057</v>
      </c>
      <c r="L118" s="19" t="n">
        <v>58014.036281412</v>
      </c>
      <c r="M118" s="19" t="n">
        <v>59306.2801784764</v>
      </c>
      <c r="N118" s="19" t="n">
        <v>60748.6390469201</v>
      </c>
      <c r="O118" s="20" t="n">
        <v>62343.6917451537</v>
      </c>
      <c r="P118" s="21" t="n">
        <v>64230.9099191597</v>
      </c>
      <c r="Q118" s="21" t="n">
        <v>66205.4173948106</v>
      </c>
      <c r="R118" s="21" t="n">
        <v>68260.1936842274</v>
      </c>
      <c r="S118" s="21" t="n">
        <v>70358.6179348906</v>
      </c>
      <c r="T118" s="21" t="n">
        <v>72482.4395694936</v>
      </c>
      <c r="U118" s="21" t="n">
        <v>74297.4767975085</v>
      </c>
      <c r="V118" s="21" t="n">
        <v>76073.9231579729</v>
      </c>
      <c r="W118" s="21" t="n">
        <v>77846.43841275</v>
      </c>
      <c r="X118" s="21" t="n">
        <v>0</v>
      </c>
      <c r="Y118" s="21" t="n">
        <v>0</v>
      </c>
      <c r="Z118" s="0"/>
      <c r="AA118" s="0"/>
      <c r="AB118" s="0"/>
      <c r="AC118" s="0"/>
      <c r="AD118" s="0"/>
      <c r="AE118" s="0"/>
      <c r="AF118" s="0"/>
      <c r="AG118" s="0"/>
    </row>
    <row r="119" customFormat="false" ht="12.75" hidden="false" customHeight="false" outlineLevel="1" collapsed="false">
      <c r="A119" s="22" t="s">
        <v>8</v>
      </c>
      <c r="B119" s="17" t="n">
        <f aca="false">NPV(0.1,D119:Y119)</f>
        <v>204946.400425124</v>
      </c>
      <c r="C119" s="17" t="n">
        <f aca="false">B119-B109</f>
        <v>302.150537977926</v>
      </c>
      <c r="D119" s="18" t="n">
        <v>16735.5027090403</v>
      </c>
      <c r="E119" s="19" t="n">
        <v>20549.8879713187</v>
      </c>
      <c r="F119" s="19" t="n">
        <v>20884.5963276858</v>
      </c>
      <c r="G119" s="19" t="n">
        <v>21175.1577209831</v>
      </c>
      <c r="H119" s="19" t="n">
        <v>21537.9443045577</v>
      </c>
      <c r="I119" s="19" t="n">
        <v>21982.2320665381</v>
      </c>
      <c r="J119" s="19" t="n">
        <v>22508.1006784399</v>
      </c>
      <c r="K119" s="19" t="n">
        <v>23146.3221679985</v>
      </c>
      <c r="L119" s="19" t="n">
        <v>23905.7138232613</v>
      </c>
      <c r="M119" s="19" t="n">
        <v>24786.3627034443</v>
      </c>
      <c r="N119" s="19" t="n">
        <v>25819.0484456148</v>
      </c>
      <c r="O119" s="20" t="n">
        <v>27797.0415013364</v>
      </c>
      <c r="P119" s="21" t="n">
        <v>29091.6234439156</v>
      </c>
      <c r="Q119" s="21" t="n">
        <v>30458.6428749353</v>
      </c>
      <c r="R119" s="21" t="n">
        <v>31907.9728757423</v>
      </c>
      <c r="S119" s="21" t="n">
        <v>33403.5798965334</v>
      </c>
      <c r="T119" s="21" t="n">
        <v>34895.1455584756</v>
      </c>
      <c r="U119" s="21" t="n">
        <v>36390.5811649032</v>
      </c>
      <c r="V119" s="21" t="n">
        <v>37871.5195072634</v>
      </c>
      <c r="W119" s="21" t="n">
        <v>39472.270754661</v>
      </c>
      <c r="X119" s="21" t="n">
        <v>0</v>
      </c>
      <c r="Y119" s="21" t="n">
        <v>0</v>
      </c>
      <c r="Z119" s="0"/>
      <c r="AA119" s="0"/>
      <c r="AB119" s="0"/>
      <c r="AC119" s="0"/>
      <c r="AD119" s="0"/>
      <c r="AE119" s="0"/>
      <c r="AF119" s="0"/>
      <c r="AG119" s="0"/>
    </row>
    <row r="120" customFormat="false" ht="12.75" hidden="false" customHeight="false" outlineLevel="1" collapsed="false">
      <c r="A120" s="22" t="s">
        <v>9</v>
      </c>
      <c r="B120" s="17" t="n">
        <f aca="false">NPV(0.1,D120:Y120)</f>
        <v>84031.2795851594</v>
      </c>
      <c r="C120" s="17" t="n">
        <f aca="false">B120-B110</f>
        <v>-152.831541044914</v>
      </c>
      <c r="D120" s="18" t="n">
        <v>699.76356997811</v>
      </c>
      <c r="E120" s="19" t="n">
        <v>1657.0049340736</v>
      </c>
      <c r="F120" s="19" t="n">
        <v>1758.7843059032</v>
      </c>
      <c r="G120" s="19" t="n">
        <v>1856.10809597729</v>
      </c>
      <c r="H120" s="19" t="n">
        <v>7458.90296257041</v>
      </c>
      <c r="I120" s="19" t="n">
        <v>12267.9469461228</v>
      </c>
      <c r="J120" s="19" t="n">
        <v>13186.9023570031</v>
      </c>
      <c r="K120" s="19" t="n">
        <v>13752.5342013653</v>
      </c>
      <c r="L120" s="19" t="n">
        <v>14368.6423976055</v>
      </c>
      <c r="M120" s="19" t="n">
        <v>15017.2439808516</v>
      </c>
      <c r="N120" s="19" t="n">
        <v>15704.0206576943</v>
      </c>
      <c r="O120" s="20" t="n">
        <v>15921.1643578586</v>
      </c>
      <c r="P120" s="21" t="n">
        <v>16793.5743846674</v>
      </c>
      <c r="Q120" s="21" t="n">
        <v>17727.0356488383</v>
      </c>
      <c r="R120" s="21" t="n">
        <v>18566.0711049855</v>
      </c>
      <c r="S120" s="21" t="n">
        <v>19612.5044493938</v>
      </c>
      <c r="T120" s="21" t="n">
        <v>20029.0829949287</v>
      </c>
      <c r="U120" s="21" t="n">
        <v>20235.5291636938</v>
      </c>
      <c r="V120" s="21" t="n">
        <v>20427.3765619741</v>
      </c>
      <c r="W120" s="21" t="n">
        <v>20514.3934369594</v>
      </c>
      <c r="X120" s="21" t="n">
        <v>0</v>
      </c>
      <c r="Y120" s="21" t="n">
        <v>0</v>
      </c>
      <c r="Z120" s="0"/>
      <c r="AA120" s="0"/>
      <c r="AB120" s="0"/>
      <c r="AC120" s="0"/>
      <c r="AD120" s="0"/>
      <c r="AE120" s="0"/>
      <c r="AF120" s="0"/>
      <c r="AG120" s="0"/>
    </row>
    <row r="121" customFormat="false" ht="12.75" hidden="false" customHeight="false" outlineLevel="1" collapsed="false">
      <c r="A121" s="22" t="s">
        <v>10</v>
      </c>
      <c r="B121" s="17" t="n">
        <f aca="false">NPV(0.1,D121:Y121)</f>
        <v>98387.8782858561</v>
      </c>
      <c r="C121" s="17" t="n">
        <f aca="false">B121-B111</f>
        <v>-93.5348811233416</v>
      </c>
      <c r="D121" s="23" t="n">
        <v>2996.72353626209</v>
      </c>
      <c r="E121" s="24" t="n">
        <v>5792.29793903854</v>
      </c>
      <c r="F121" s="24" t="n">
        <v>5248.27933256089</v>
      </c>
      <c r="G121" s="24" t="n">
        <v>5233.77650327544</v>
      </c>
      <c r="H121" s="24" t="n">
        <v>14967.5562656133</v>
      </c>
      <c r="I121" s="24" t="n">
        <v>17664.6645891374</v>
      </c>
      <c r="J121" s="24" t="n">
        <v>13217.9322564498</v>
      </c>
      <c r="K121" s="24" t="n">
        <v>13109.6719911098</v>
      </c>
      <c r="L121" s="24" t="n">
        <v>12993.7575638528</v>
      </c>
      <c r="M121" s="24" t="n">
        <v>12865.2665604316</v>
      </c>
      <c r="N121" s="24" t="n">
        <v>12695.6516594081</v>
      </c>
      <c r="O121" s="25" t="n">
        <v>13106.1020518172</v>
      </c>
      <c r="P121" s="21" t="n">
        <v>12094.2382854861</v>
      </c>
      <c r="Q121" s="21" t="n">
        <v>11891.7554015406</v>
      </c>
      <c r="R121" s="21" t="n">
        <v>16889.3468860897</v>
      </c>
      <c r="S121" s="21" t="n">
        <v>24381.0500972266</v>
      </c>
      <c r="T121" s="21" t="n">
        <v>23090.7671794776</v>
      </c>
      <c r="U121" s="21" t="n">
        <v>23285.5972122462</v>
      </c>
      <c r="V121" s="21" t="n">
        <v>23482.1531530765</v>
      </c>
      <c r="W121" s="21" t="n">
        <v>23671.9415051624</v>
      </c>
      <c r="X121" s="21" t="n">
        <v>0</v>
      </c>
      <c r="Y121" s="21" t="n">
        <v>0</v>
      </c>
      <c r="Z121" s="0"/>
      <c r="AA121" s="0"/>
      <c r="AB121" s="0"/>
      <c r="AC121" s="0"/>
      <c r="AD121" s="0"/>
      <c r="AE121" s="0"/>
      <c r="AF121" s="0"/>
      <c r="AG121" s="0"/>
    </row>
    <row r="122" customFormat="false" ht="12.75" hidden="false" customHeight="false" outlineLevel="1" collapsed="false">
      <c r="A122" s="5"/>
      <c r="B122" s="5"/>
      <c r="C122" s="5"/>
      <c r="D122" s="0"/>
      <c r="E122" s="0"/>
      <c r="F122" s="0"/>
      <c r="G122" s="0"/>
      <c r="H122" s="0"/>
      <c r="I122" s="0"/>
      <c r="J122" s="0"/>
      <c r="K122" s="0"/>
      <c r="L122" s="0"/>
      <c r="M122" s="0"/>
      <c r="N122" s="0"/>
      <c r="O122" s="0"/>
      <c r="P122" s="0"/>
      <c r="Q122" s="0"/>
      <c r="R122" s="0"/>
      <c r="S122" s="0"/>
      <c r="T122" s="0"/>
      <c r="U122" s="0"/>
      <c r="V122" s="0"/>
      <c r="W122" s="0"/>
      <c r="X122" s="0"/>
      <c r="Y122" s="0"/>
      <c r="Z122" s="0"/>
      <c r="AA122" s="0"/>
      <c r="AB122" s="0"/>
      <c r="AC122" s="0"/>
      <c r="AD122" s="0"/>
      <c r="AE122" s="0"/>
      <c r="AF122" s="0"/>
      <c r="AG122" s="0"/>
    </row>
    <row r="123" customFormat="false" ht="12.75" hidden="false" customHeight="false" outlineLevel="1" collapsed="false">
      <c r="A123" s="26" t="s">
        <v>24</v>
      </c>
      <c r="B123" s="5"/>
      <c r="C123" s="5"/>
      <c r="D123" s="0"/>
      <c r="E123" s="0"/>
      <c r="F123" s="0"/>
      <c r="G123" s="0"/>
      <c r="H123" s="0"/>
      <c r="I123" s="0"/>
      <c r="J123" s="0"/>
      <c r="K123" s="0"/>
      <c r="L123" s="0"/>
      <c r="M123" s="0"/>
      <c r="N123" s="0"/>
      <c r="O123" s="0"/>
      <c r="P123" s="0"/>
      <c r="Q123" s="0"/>
      <c r="R123" s="0"/>
      <c r="S123" s="0"/>
      <c r="T123" s="0"/>
      <c r="U123" s="0"/>
      <c r="V123" s="0"/>
      <c r="W123" s="0"/>
      <c r="X123" s="0"/>
      <c r="Y123" s="0"/>
      <c r="Z123" s="0"/>
      <c r="AA123" s="0"/>
      <c r="AB123" s="0"/>
      <c r="AC123" s="0"/>
      <c r="AD123" s="0"/>
      <c r="AE123" s="0"/>
      <c r="AF123" s="0"/>
      <c r="AG123" s="0"/>
    </row>
    <row r="124" customFormat="false" ht="12.75" hidden="false" customHeight="false" outlineLevel="1" collapsed="false">
      <c r="A124" s="28" t="n">
        <v>36235</v>
      </c>
      <c r="B124" s="5"/>
      <c r="C124" s="5"/>
      <c r="D124" s="0"/>
      <c r="E124" s="0"/>
      <c r="F124" s="0"/>
      <c r="G124" s="0"/>
      <c r="H124" s="0"/>
      <c r="I124" s="0"/>
      <c r="J124" s="0"/>
      <c r="K124" s="0"/>
      <c r="L124" s="0"/>
      <c r="M124" s="0"/>
      <c r="N124" s="0"/>
      <c r="O124" s="0"/>
      <c r="P124" s="0"/>
      <c r="Q124" s="0"/>
      <c r="R124" s="0"/>
      <c r="S124" s="0"/>
      <c r="T124" s="0"/>
      <c r="U124" s="0"/>
      <c r="V124" s="0"/>
      <c r="W124" s="0"/>
      <c r="X124" s="0"/>
      <c r="Y124" s="0"/>
      <c r="Z124" s="0"/>
      <c r="AA124" s="0"/>
      <c r="AB124" s="0"/>
      <c r="AC124" s="0"/>
      <c r="AD124" s="0"/>
      <c r="AE124" s="0"/>
      <c r="AF124" s="0"/>
      <c r="AG124" s="0"/>
    </row>
    <row r="125" customFormat="false" ht="12.75" hidden="false" customHeight="false" outlineLevel="1" collapsed="false">
      <c r="A125" s="7" t="s">
        <v>2</v>
      </c>
      <c r="B125" s="8" t="n">
        <v>35379.0520847232</v>
      </c>
      <c r="C125" s="5" t="s">
        <v>14</v>
      </c>
      <c r="D125" s="0"/>
      <c r="E125" s="0"/>
      <c r="F125" s="0"/>
      <c r="G125" s="0"/>
      <c r="H125" s="0"/>
      <c r="I125" s="0"/>
      <c r="J125" s="0"/>
      <c r="K125" s="0"/>
      <c r="L125" s="0"/>
      <c r="M125" s="0"/>
      <c r="N125" s="0"/>
      <c r="O125" s="0"/>
      <c r="P125" s="0"/>
      <c r="Q125" s="0"/>
      <c r="R125" s="0"/>
      <c r="S125" s="0"/>
      <c r="T125" s="0"/>
      <c r="U125" s="0"/>
      <c r="V125" s="0"/>
      <c r="W125" s="0"/>
      <c r="X125" s="0"/>
      <c r="Y125" s="0"/>
      <c r="Z125" s="0"/>
      <c r="AA125" s="0"/>
      <c r="AB125" s="0"/>
      <c r="AC125" s="0"/>
      <c r="AD125" s="0"/>
      <c r="AE125" s="0"/>
      <c r="AF125" s="0"/>
      <c r="AG125" s="0"/>
    </row>
    <row r="126" customFormat="false" ht="12.75" hidden="false" customHeight="false" outlineLevel="1" collapsed="false">
      <c r="A126" s="9" t="s">
        <v>3</v>
      </c>
      <c r="B126" s="10" t="n">
        <v>70886.5275088354</v>
      </c>
      <c r="C126" s="5"/>
      <c r="D126" s="0"/>
      <c r="E126" s="0"/>
      <c r="F126" s="0"/>
      <c r="G126" s="0"/>
      <c r="H126" s="0"/>
      <c r="I126" s="0"/>
      <c r="J126" s="0"/>
      <c r="K126" s="0"/>
      <c r="L126" s="0"/>
      <c r="M126" s="0"/>
      <c r="N126" s="0"/>
      <c r="O126" s="0"/>
      <c r="P126" s="0"/>
      <c r="Q126" s="0"/>
      <c r="R126" s="0"/>
      <c r="S126" s="0"/>
      <c r="T126" s="0"/>
      <c r="U126" s="0"/>
      <c r="V126" s="0"/>
      <c r="W126" s="0"/>
      <c r="X126" s="0"/>
      <c r="Y126" s="0"/>
      <c r="Z126" s="0"/>
      <c r="AA126" s="0"/>
      <c r="AB126" s="0"/>
      <c r="AC126" s="0"/>
      <c r="AD126" s="0"/>
      <c r="AE126" s="0"/>
      <c r="AF126" s="0"/>
      <c r="AG126" s="0"/>
    </row>
    <row r="127" customFormat="false" ht="12.75" hidden="false" customHeight="false" outlineLevel="1" collapsed="false">
      <c r="A127" s="11" t="s">
        <v>4</v>
      </c>
      <c r="B127" s="12" t="s">
        <v>5</v>
      </c>
      <c r="C127" s="12" t="s">
        <v>6</v>
      </c>
      <c r="D127" s="13" t="n">
        <v>1999</v>
      </c>
      <c r="E127" s="14" t="n">
        <v>2000</v>
      </c>
      <c r="F127" s="14" t="n">
        <v>2001</v>
      </c>
      <c r="G127" s="14" t="n">
        <v>2002</v>
      </c>
      <c r="H127" s="14" t="n">
        <v>2003</v>
      </c>
      <c r="I127" s="14" t="n">
        <v>2004</v>
      </c>
      <c r="J127" s="14" t="n">
        <v>2005</v>
      </c>
      <c r="K127" s="14" t="n">
        <v>2006</v>
      </c>
      <c r="L127" s="14" t="n">
        <v>2007</v>
      </c>
      <c r="M127" s="14" t="n">
        <v>2008</v>
      </c>
      <c r="N127" s="14" t="n">
        <v>2009</v>
      </c>
      <c r="O127" s="15" t="n">
        <v>2010</v>
      </c>
      <c r="P127" s="16" t="n">
        <v>2011</v>
      </c>
      <c r="Q127" s="16" t="n">
        <v>2012</v>
      </c>
      <c r="R127" s="16" t="n">
        <v>2013</v>
      </c>
      <c r="S127" s="16" t="n">
        <v>2014</v>
      </c>
      <c r="T127" s="16" t="n">
        <v>2015</v>
      </c>
      <c r="U127" s="16" t="n">
        <v>2016</v>
      </c>
      <c r="V127" s="16" t="n">
        <v>2017</v>
      </c>
      <c r="W127" s="16" t="n">
        <v>2018</v>
      </c>
      <c r="X127" s="16" t="n">
        <v>2019</v>
      </c>
      <c r="Y127" s="16" t="n">
        <v>2020</v>
      </c>
      <c r="Z127" s="0"/>
      <c r="AA127" s="0"/>
      <c r="AB127" s="0"/>
      <c r="AC127" s="0"/>
      <c r="AD127" s="0"/>
      <c r="AE127" s="0"/>
      <c r="AF127" s="0"/>
      <c r="AG127" s="0"/>
    </row>
    <row r="128" customFormat="false" ht="12.75" hidden="false" customHeight="false" outlineLevel="1" collapsed="false">
      <c r="A128" s="11" t="s">
        <v>7</v>
      </c>
      <c r="B128" s="17" t="n">
        <f aca="false">NPV(0.1,D128:Y128)</f>
        <v>430162.922539337</v>
      </c>
      <c r="C128" s="17" t="n">
        <f aca="false">B128-B118</f>
        <v>0</v>
      </c>
      <c r="D128" s="18" t="n">
        <v>26456.1651721875</v>
      </c>
      <c r="E128" s="19" t="n">
        <v>36622.8167682054</v>
      </c>
      <c r="F128" s="19" t="n">
        <v>36899.7467266388</v>
      </c>
      <c r="G128" s="19" t="n">
        <v>37130.4608454278</v>
      </c>
      <c r="H128" s="19" t="n">
        <v>46551.6218507978</v>
      </c>
      <c r="I128" s="19" t="n">
        <v>54368.3363263156</v>
      </c>
      <c r="J128" s="19" t="n">
        <v>55774.1081752542</v>
      </c>
      <c r="K128" s="19" t="n">
        <v>56836.4340779057</v>
      </c>
      <c r="L128" s="19" t="n">
        <v>58014.036281412</v>
      </c>
      <c r="M128" s="19" t="n">
        <v>59306.2801784764</v>
      </c>
      <c r="N128" s="19" t="n">
        <v>60748.6390469201</v>
      </c>
      <c r="O128" s="20" t="n">
        <v>62343.6917451537</v>
      </c>
      <c r="P128" s="21" t="n">
        <v>64230.9099191597</v>
      </c>
      <c r="Q128" s="21" t="n">
        <v>66205.4173948106</v>
      </c>
      <c r="R128" s="21" t="n">
        <v>68260.1936842274</v>
      </c>
      <c r="S128" s="21" t="n">
        <v>70358.6179348906</v>
      </c>
      <c r="T128" s="21" t="n">
        <v>72482.4395694936</v>
      </c>
      <c r="U128" s="21" t="n">
        <v>74297.4767975085</v>
      </c>
      <c r="V128" s="21" t="n">
        <v>76073.9231579729</v>
      </c>
      <c r="W128" s="21" t="n">
        <v>77846.43841275</v>
      </c>
      <c r="X128" s="21" t="n">
        <v>0</v>
      </c>
      <c r="Y128" s="21" t="n">
        <v>0</v>
      </c>
      <c r="Z128" s="0"/>
      <c r="AA128" s="0"/>
      <c r="AB128" s="0"/>
      <c r="AC128" s="0"/>
      <c r="AD128" s="0"/>
      <c r="AE128" s="0"/>
      <c r="AF128" s="0"/>
      <c r="AG128" s="0"/>
    </row>
    <row r="129" customFormat="false" ht="12.75" hidden="false" customHeight="false" outlineLevel="1" collapsed="false">
      <c r="A129" s="22" t="s">
        <v>8</v>
      </c>
      <c r="B129" s="17" t="n">
        <f aca="false">NPV(0.1,D129:Y129)</f>
        <v>204946.400425124</v>
      </c>
      <c r="C129" s="17" t="n">
        <f aca="false">B129-B119</f>
        <v>0</v>
      </c>
      <c r="D129" s="18" t="n">
        <v>16735.5027090403</v>
      </c>
      <c r="E129" s="19" t="n">
        <v>20549.8879713187</v>
      </c>
      <c r="F129" s="19" t="n">
        <v>20884.5963276858</v>
      </c>
      <c r="G129" s="19" t="n">
        <v>21175.1577209831</v>
      </c>
      <c r="H129" s="19" t="n">
        <v>21537.9443045577</v>
      </c>
      <c r="I129" s="19" t="n">
        <v>21982.2320665381</v>
      </c>
      <c r="J129" s="19" t="n">
        <v>22508.1006784399</v>
      </c>
      <c r="K129" s="19" t="n">
        <v>23146.3221679985</v>
      </c>
      <c r="L129" s="19" t="n">
        <v>23905.7138232613</v>
      </c>
      <c r="M129" s="19" t="n">
        <v>24786.3627034443</v>
      </c>
      <c r="N129" s="19" t="n">
        <v>25819.0484456148</v>
      </c>
      <c r="O129" s="20" t="n">
        <v>27797.0415013364</v>
      </c>
      <c r="P129" s="21" t="n">
        <v>29091.6234439156</v>
      </c>
      <c r="Q129" s="21" t="n">
        <v>30458.6428749353</v>
      </c>
      <c r="R129" s="21" t="n">
        <v>31907.9728757423</v>
      </c>
      <c r="S129" s="21" t="n">
        <v>33403.5798965334</v>
      </c>
      <c r="T129" s="21" t="n">
        <v>34895.1455584756</v>
      </c>
      <c r="U129" s="21" t="n">
        <v>36390.5811649032</v>
      </c>
      <c r="V129" s="21" t="n">
        <v>37871.5195072634</v>
      </c>
      <c r="W129" s="21" t="n">
        <v>39472.270754661</v>
      </c>
      <c r="X129" s="21" t="n">
        <v>0</v>
      </c>
      <c r="Y129" s="21" t="n">
        <v>0</v>
      </c>
      <c r="Z129" s="0"/>
      <c r="AA129" s="0"/>
      <c r="AB129" s="0"/>
      <c r="AC129" s="0"/>
      <c r="AD129" s="0"/>
      <c r="AE129" s="0"/>
      <c r="AF129" s="0"/>
      <c r="AG129" s="0"/>
    </row>
    <row r="130" customFormat="false" ht="12.75" hidden="false" customHeight="false" outlineLevel="1" collapsed="false">
      <c r="A130" s="22" t="s">
        <v>9</v>
      </c>
      <c r="B130" s="17" t="n">
        <f aca="false">NPV(0.1,D130:Y130)</f>
        <v>83954.0121548557</v>
      </c>
      <c r="C130" s="17" t="n">
        <f aca="false">B130-B120</f>
        <v>-77.2674303036765</v>
      </c>
      <c r="D130" s="18" t="n">
        <v>694.248566106392</v>
      </c>
      <c r="E130" s="19" t="n">
        <v>1647.55064172208</v>
      </c>
      <c r="F130" s="19" t="n">
        <v>1749.33001355168</v>
      </c>
      <c r="G130" s="19" t="n">
        <v>1846.65380362577</v>
      </c>
      <c r="H130" s="19" t="n">
        <v>7449.44867021889</v>
      </c>
      <c r="I130" s="19" t="n">
        <v>12258.4926537713</v>
      </c>
      <c r="J130" s="19" t="n">
        <v>13177.4480646515</v>
      </c>
      <c r="K130" s="19" t="n">
        <v>13743.0799090138</v>
      </c>
      <c r="L130" s="19" t="n">
        <v>14359.188105254</v>
      </c>
      <c r="M130" s="19" t="n">
        <v>15007.7896885001</v>
      </c>
      <c r="N130" s="19" t="n">
        <v>15694.5663653428</v>
      </c>
      <c r="O130" s="20" t="n">
        <v>15911.710065507</v>
      </c>
      <c r="P130" s="21" t="n">
        <v>16784.1200923159</v>
      </c>
      <c r="Q130" s="21" t="n">
        <v>17717.5813564868</v>
      </c>
      <c r="R130" s="21" t="n">
        <v>18556.616812634</v>
      </c>
      <c r="S130" s="21" t="n">
        <v>19602.7938568062</v>
      </c>
      <c r="T130" s="21" t="n">
        <v>20019.1893307439</v>
      </c>
      <c r="U130" s="21" t="n">
        <v>20225.635499509</v>
      </c>
      <c r="V130" s="21" t="n">
        <v>20417.4828977893</v>
      </c>
      <c r="W130" s="21" t="n">
        <v>20504.4997727746</v>
      </c>
      <c r="X130" s="21" t="n">
        <v>0</v>
      </c>
      <c r="Y130" s="21" t="n">
        <v>0</v>
      </c>
      <c r="Z130" s="0"/>
      <c r="AA130" s="0"/>
      <c r="AB130" s="0"/>
      <c r="AC130" s="0"/>
      <c r="AD130" s="0"/>
      <c r="AE130" s="0"/>
      <c r="AF130" s="0"/>
      <c r="AG130" s="0"/>
    </row>
    <row r="131" customFormat="false" ht="12.75" hidden="false" customHeight="false" outlineLevel="1" collapsed="false">
      <c r="A131" s="22" t="s">
        <v>10</v>
      </c>
      <c r="B131" s="17" t="n">
        <f aca="false">NPV(0.1,D131:Y131)</f>
        <v>98458.2080219736</v>
      </c>
      <c r="C131" s="17" t="n">
        <f aca="false">B131-B121</f>
        <v>70.3297361175064</v>
      </c>
      <c r="D131" s="23" t="n">
        <v>2996.72353626209</v>
      </c>
      <c r="E131" s="24" t="n">
        <v>5791.22576125415</v>
      </c>
      <c r="F131" s="24" t="n">
        <v>5247.22811006292</v>
      </c>
      <c r="G131" s="24" t="n">
        <v>5232.7462884521</v>
      </c>
      <c r="H131" s="24" t="n">
        <v>14966.5471109838</v>
      </c>
      <c r="I131" s="24" t="n">
        <v>17738.8774022791</v>
      </c>
      <c r="J131" s="24" t="n">
        <v>13227.2230118786</v>
      </c>
      <c r="K131" s="24" t="n">
        <v>13119.0087077174</v>
      </c>
      <c r="L131" s="24" t="n">
        <v>13003.1062655692</v>
      </c>
      <c r="M131" s="24" t="n">
        <v>12874.6613127813</v>
      </c>
      <c r="N131" s="24" t="n">
        <v>12705.0584864594</v>
      </c>
      <c r="O131" s="25" t="n">
        <v>13115.5550192328</v>
      </c>
      <c r="P131" s="21" t="n">
        <v>12103.7034174727</v>
      </c>
      <c r="Q131" s="21" t="n">
        <v>11901.2667638998</v>
      </c>
      <c r="R131" s="21" t="n">
        <v>16898.870503167</v>
      </c>
      <c r="S131" s="21" t="n">
        <v>24385.7398365081</v>
      </c>
      <c r="T131" s="21" t="n">
        <v>23090.5706140779</v>
      </c>
      <c r="U131" s="21" t="n">
        <v>23285.4156167428</v>
      </c>
      <c r="V131" s="21" t="n">
        <v>23481.9865505791</v>
      </c>
      <c r="W131" s="21" t="n">
        <v>23671.7899188165</v>
      </c>
      <c r="X131" s="21" t="n">
        <v>0</v>
      </c>
      <c r="Y131" s="21" t="n">
        <v>0</v>
      </c>
      <c r="Z131" s="0"/>
      <c r="AA131" s="0"/>
      <c r="AB131" s="0"/>
      <c r="AC131" s="0"/>
      <c r="AD131" s="0"/>
      <c r="AE131" s="0"/>
      <c r="AF131" s="0"/>
      <c r="AG131" s="0"/>
    </row>
    <row r="132" customFormat="false" ht="12.75" hidden="false" customHeight="false" outlineLevel="1" collapsed="false">
      <c r="A132" s="5"/>
      <c r="B132" s="5"/>
      <c r="C132" s="5"/>
      <c r="D132" s="0"/>
      <c r="E132" s="0"/>
      <c r="F132" s="0"/>
      <c r="G132" s="0"/>
      <c r="H132" s="0"/>
      <c r="I132" s="0"/>
      <c r="J132" s="0"/>
      <c r="K132" s="0"/>
      <c r="L132" s="0"/>
      <c r="M132" s="0"/>
      <c r="N132" s="0"/>
      <c r="O132" s="0"/>
      <c r="P132" s="0"/>
      <c r="Q132" s="0"/>
      <c r="R132" s="0"/>
      <c r="S132" s="0"/>
      <c r="T132" s="0"/>
      <c r="U132" s="0"/>
      <c r="V132" s="0"/>
      <c r="W132" s="0"/>
      <c r="X132" s="0"/>
      <c r="Y132" s="0"/>
      <c r="Z132" s="0"/>
      <c r="AA132" s="0"/>
      <c r="AB132" s="0"/>
      <c r="AC132" s="0"/>
      <c r="AD132" s="0"/>
      <c r="AE132" s="0"/>
      <c r="AF132" s="0"/>
      <c r="AG132" s="0"/>
    </row>
    <row r="133" customFormat="false" ht="12.75" hidden="false" customHeight="false" outlineLevel="1" collapsed="false">
      <c r="A133" s="26" t="s">
        <v>25</v>
      </c>
      <c r="B133" s="5"/>
      <c r="C133" s="5"/>
      <c r="D133" s="0"/>
      <c r="E133" s="0"/>
      <c r="F133" s="0"/>
      <c r="G133" s="0"/>
      <c r="H133" s="0"/>
      <c r="I133" s="0"/>
      <c r="J133" s="0"/>
      <c r="K133" s="0"/>
      <c r="L133" s="0"/>
      <c r="M133" s="0"/>
      <c r="N133" s="0"/>
      <c r="O133" s="0"/>
      <c r="P133" s="0"/>
      <c r="Q133" s="0"/>
      <c r="R133" s="0"/>
      <c r="S133" s="0"/>
      <c r="T133" s="0"/>
      <c r="U133" s="0"/>
      <c r="V133" s="0"/>
      <c r="W133" s="0"/>
      <c r="X133" s="0"/>
      <c r="Y133" s="0"/>
      <c r="Z133" s="0"/>
      <c r="AA133" s="0"/>
      <c r="AB133" s="0"/>
      <c r="AC133" s="0"/>
      <c r="AD133" s="0"/>
      <c r="AE133" s="0"/>
      <c r="AF133" s="0"/>
      <c r="AG133" s="0"/>
    </row>
    <row r="134" customFormat="false" ht="12.75" hidden="false" customHeight="false" outlineLevel="1" collapsed="false">
      <c r="A134" s="28" t="n">
        <v>36238</v>
      </c>
      <c r="B134" s="5"/>
      <c r="C134" s="5"/>
      <c r="D134" s="0"/>
      <c r="E134" s="0"/>
      <c r="F134" s="0"/>
      <c r="G134" s="0"/>
      <c r="H134" s="0"/>
      <c r="I134" s="0"/>
      <c r="J134" s="0"/>
      <c r="K134" s="0"/>
      <c r="L134" s="0"/>
      <c r="M134" s="0"/>
      <c r="N134" s="0"/>
      <c r="O134" s="0"/>
      <c r="P134" s="0"/>
      <c r="Q134" s="0"/>
      <c r="R134" s="0"/>
      <c r="S134" s="0"/>
      <c r="T134" s="0"/>
      <c r="U134" s="0"/>
      <c r="V134" s="0"/>
      <c r="W134" s="0"/>
      <c r="X134" s="0"/>
      <c r="Y134" s="0"/>
      <c r="Z134" s="0"/>
      <c r="AA134" s="0"/>
      <c r="AB134" s="0"/>
      <c r="AC134" s="0"/>
      <c r="AD134" s="0"/>
      <c r="AE134" s="0"/>
      <c r="AF134" s="0"/>
      <c r="AG134" s="0"/>
    </row>
    <row r="135" customFormat="false" ht="12.75" hidden="false" customHeight="false" outlineLevel="1" collapsed="false">
      <c r="A135" s="7" t="s">
        <v>2</v>
      </c>
      <c r="B135" s="8" t="n">
        <v>29519.5244605021</v>
      </c>
      <c r="C135" s="5" t="s">
        <v>14</v>
      </c>
      <c r="D135" s="0"/>
      <c r="E135" s="0"/>
      <c r="F135" s="0"/>
      <c r="G135" s="0"/>
      <c r="H135" s="0"/>
      <c r="I135" s="0"/>
      <c r="J135" s="0"/>
      <c r="K135" s="0"/>
      <c r="L135" s="0"/>
      <c r="M135" s="0"/>
      <c r="N135" s="0"/>
      <c r="O135" s="0"/>
      <c r="P135" s="0"/>
      <c r="Q135" s="0"/>
      <c r="R135" s="0"/>
      <c r="S135" s="0"/>
      <c r="T135" s="0"/>
      <c r="U135" s="0"/>
      <c r="V135" s="0"/>
      <c r="W135" s="0"/>
      <c r="X135" s="0"/>
      <c r="Y135" s="0"/>
      <c r="Z135" s="0"/>
      <c r="AA135" s="0"/>
      <c r="AB135" s="0"/>
      <c r="AC135" s="0"/>
      <c r="AD135" s="0"/>
      <c r="AE135" s="0"/>
      <c r="AF135" s="0"/>
      <c r="AG135" s="0"/>
    </row>
    <row r="136" customFormat="false" ht="12.75" hidden="false" customHeight="false" outlineLevel="1" collapsed="false">
      <c r="A136" s="9" t="s">
        <v>3</v>
      </c>
      <c r="B136" s="10" t="n">
        <v>63015.5996435495</v>
      </c>
      <c r="C136" s="5"/>
      <c r="D136" s="0"/>
      <c r="E136" s="0"/>
      <c r="F136" s="0"/>
      <c r="G136" s="0"/>
      <c r="H136" s="0"/>
      <c r="I136" s="0"/>
      <c r="J136" s="0"/>
      <c r="K136" s="0"/>
      <c r="L136" s="0"/>
      <c r="M136" s="0"/>
      <c r="N136" s="0"/>
      <c r="O136" s="0"/>
      <c r="P136" s="0"/>
      <c r="Q136" s="0"/>
      <c r="R136" s="0"/>
      <c r="S136" s="0"/>
      <c r="T136" s="0"/>
      <c r="U136" s="0"/>
      <c r="V136" s="0"/>
      <c r="W136" s="0"/>
      <c r="X136" s="0"/>
      <c r="Y136" s="0"/>
      <c r="Z136" s="0"/>
      <c r="AA136" s="0"/>
      <c r="AB136" s="0"/>
      <c r="AC136" s="0"/>
      <c r="AD136" s="0"/>
      <c r="AE136" s="0"/>
      <c r="AF136" s="0"/>
      <c r="AG136" s="0"/>
    </row>
    <row r="137" customFormat="false" ht="12.75" hidden="false" customHeight="false" outlineLevel="1" collapsed="false">
      <c r="A137" s="11" t="s">
        <v>4</v>
      </c>
      <c r="B137" s="12" t="s">
        <v>5</v>
      </c>
      <c r="C137" s="12" t="s">
        <v>6</v>
      </c>
      <c r="D137" s="13" t="n">
        <v>1999</v>
      </c>
      <c r="E137" s="14" t="n">
        <v>2000</v>
      </c>
      <c r="F137" s="14" t="n">
        <v>2001</v>
      </c>
      <c r="G137" s="14" t="n">
        <v>2002</v>
      </c>
      <c r="H137" s="14" t="n">
        <v>2003</v>
      </c>
      <c r="I137" s="14" t="n">
        <v>2004</v>
      </c>
      <c r="J137" s="14" t="n">
        <v>2005</v>
      </c>
      <c r="K137" s="14" t="n">
        <v>2006</v>
      </c>
      <c r="L137" s="14" t="n">
        <v>2007</v>
      </c>
      <c r="M137" s="14" t="n">
        <v>2008</v>
      </c>
      <c r="N137" s="14" t="n">
        <v>2009</v>
      </c>
      <c r="O137" s="15" t="n">
        <v>2010</v>
      </c>
      <c r="P137" s="16" t="n">
        <v>2011</v>
      </c>
      <c r="Q137" s="16" t="n">
        <v>2012</v>
      </c>
      <c r="R137" s="16" t="n">
        <v>2013</v>
      </c>
      <c r="S137" s="16" t="n">
        <v>2014</v>
      </c>
      <c r="T137" s="16" t="n">
        <v>2015</v>
      </c>
      <c r="U137" s="16" t="n">
        <v>2016</v>
      </c>
      <c r="V137" s="16" t="n">
        <v>2017</v>
      </c>
      <c r="W137" s="16" t="n">
        <v>2018</v>
      </c>
      <c r="X137" s="16" t="n">
        <v>2019</v>
      </c>
      <c r="Y137" s="16" t="n">
        <v>2020</v>
      </c>
      <c r="Z137" s="0"/>
      <c r="AA137" s="0"/>
      <c r="AB137" s="0"/>
      <c r="AC137" s="0"/>
      <c r="AD137" s="0"/>
      <c r="AE137" s="0"/>
      <c r="AF137" s="0"/>
      <c r="AG137" s="0"/>
    </row>
    <row r="138" customFormat="false" ht="12.75" hidden="false" customHeight="false" outlineLevel="1" collapsed="false">
      <c r="A138" s="11" t="s">
        <v>7</v>
      </c>
      <c r="B138" s="17" t="n">
        <f aca="false">NPV(0.1,D138:Y138)</f>
        <v>430162.922539337</v>
      </c>
      <c r="C138" s="17" t="n">
        <f aca="false">B138-B128</f>
        <v>0</v>
      </c>
      <c r="D138" s="18" t="n">
        <v>26456.1651721875</v>
      </c>
      <c r="E138" s="19" t="n">
        <v>36622.8167682054</v>
      </c>
      <c r="F138" s="19" t="n">
        <v>36899.7467266388</v>
      </c>
      <c r="G138" s="19" t="n">
        <v>37130.4608454278</v>
      </c>
      <c r="H138" s="19" t="n">
        <v>46551.6218507978</v>
      </c>
      <c r="I138" s="19" t="n">
        <v>54368.3363263156</v>
      </c>
      <c r="J138" s="19" t="n">
        <v>55774.1081752542</v>
      </c>
      <c r="K138" s="19" t="n">
        <v>56836.4340779057</v>
      </c>
      <c r="L138" s="19" t="n">
        <v>58014.036281412</v>
      </c>
      <c r="M138" s="19" t="n">
        <v>59306.2801784764</v>
      </c>
      <c r="N138" s="19" t="n">
        <v>60748.6390469201</v>
      </c>
      <c r="O138" s="20" t="n">
        <v>62343.6917451537</v>
      </c>
      <c r="P138" s="21" t="n">
        <v>64230.9099191597</v>
      </c>
      <c r="Q138" s="21" t="n">
        <v>66205.4173948106</v>
      </c>
      <c r="R138" s="21" t="n">
        <v>68260.1936842274</v>
      </c>
      <c r="S138" s="21" t="n">
        <v>70358.6179348906</v>
      </c>
      <c r="T138" s="21" t="n">
        <v>72482.4395694936</v>
      </c>
      <c r="U138" s="21" t="n">
        <v>74297.4767975085</v>
      </c>
      <c r="V138" s="21" t="n">
        <v>76073.9231579729</v>
      </c>
      <c r="W138" s="21" t="n">
        <v>77846.43841275</v>
      </c>
      <c r="X138" s="21" t="n">
        <v>0</v>
      </c>
      <c r="Y138" s="21" t="n">
        <v>0</v>
      </c>
      <c r="Z138" s="0"/>
      <c r="AA138" s="0"/>
      <c r="AB138" s="0"/>
      <c r="AC138" s="0"/>
      <c r="AD138" s="0"/>
      <c r="AE138" s="0"/>
      <c r="AF138" s="0"/>
      <c r="AG138" s="0"/>
    </row>
    <row r="139" customFormat="false" ht="12.75" hidden="false" customHeight="false" outlineLevel="1" collapsed="false">
      <c r="A139" s="22" t="s">
        <v>8</v>
      </c>
      <c r="B139" s="17" t="n">
        <f aca="false">NPV(0.1,D139:Y139)</f>
        <v>212579.98928274</v>
      </c>
      <c r="C139" s="17" t="n">
        <f aca="false">B139-B129</f>
        <v>7633.58885761592</v>
      </c>
      <c r="D139" s="18" t="n">
        <v>17186.8182105208</v>
      </c>
      <c r="E139" s="19" t="n">
        <v>21329.6507296649</v>
      </c>
      <c r="F139" s="19" t="n">
        <v>21687.7114481244</v>
      </c>
      <c r="G139" s="19" t="n">
        <v>22002.3171019594</v>
      </c>
      <c r="H139" s="19" t="n">
        <v>22389.8793249866</v>
      </c>
      <c r="I139" s="19" t="n">
        <v>22859.6971776595</v>
      </c>
      <c r="J139" s="19" t="n">
        <v>23411.8725887419</v>
      </c>
      <c r="K139" s="19" t="n">
        <v>24077.2062597954</v>
      </c>
      <c r="L139" s="19" t="n">
        <v>24864.5396142056</v>
      </c>
      <c r="M139" s="19" t="n">
        <v>25773.9840322844</v>
      </c>
      <c r="N139" s="19" t="n">
        <v>26836.3499506887</v>
      </c>
      <c r="O139" s="20" t="n">
        <v>28844.9341458564</v>
      </c>
      <c r="P139" s="21" t="n">
        <v>30171.0447674122</v>
      </c>
      <c r="Q139" s="21" t="n">
        <v>31570.5462928259</v>
      </c>
      <c r="R139" s="21" t="n">
        <v>33053.3389530128</v>
      </c>
      <c r="S139" s="21" t="n">
        <v>34583.4124899698</v>
      </c>
      <c r="T139" s="21" t="n">
        <v>36110.4756145763</v>
      </c>
      <c r="U139" s="21" t="n">
        <v>37642.4690805818</v>
      </c>
      <c r="V139" s="21" t="n">
        <v>39161.0518731362</v>
      </c>
      <c r="W139" s="21" t="n">
        <v>40800.5725957241</v>
      </c>
      <c r="X139" s="21" t="n">
        <v>0</v>
      </c>
      <c r="Y139" s="21" t="n">
        <v>0</v>
      </c>
      <c r="Z139" s="0"/>
      <c r="AA139" s="0"/>
      <c r="AB139" s="0"/>
      <c r="AC139" s="0"/>
      <c r="AD139" s="0"/>
      <c r="AE139" s="0"/>
      <c r="AF139" s="0"/>
      <c r="AG139" s="0"/>
    </row>
    <row r="140" customFormat="false" ht="12.75" hidden="false" customHeight="false" outlineLevel="1" collapsed="false">
      <c r="A140" s="22" t="s">
        <v>9</v>
      </c>
      <c r="B140" s="17" t="n">
        <f aca="false">NPV(0.1,D140:Y140)</f>
        <v>79925.4559611622</v>
      </c>
      <c r="C140" s="17" t="n">
        <f aca="false">B140-B130</f>
        <v>-4028.55619369351</v>
      </c>
      <c r="D140" s="18" t="n">
        <v>510.830642910898</v>
      </c>
      <c r="E140" s="19" t="n">
        <v>1315.57793184482</v>
      </c>
      <c r="F140" s="19" t="n">
        <v>1396.4580187978</v>
      </c>
      <c r="G140" s="19" t="n">
        <v>1452.57621131845</v>
      </c>
      <c r="H140" s="19" t="n">
        <v>7034.87714930422</v>
      </c>
      <c r="I140" s="19" t="n">
        <v>11828.3549872986</v>
      </c>
      <c r="J140" s="19" t="n">
        <v>12730.4107062571</v>
      </c>
      <c r="K140" s="19" t="n">
        <v>13246.4557453522</v>
      </c>
      <c r="L140" s="19" t="n">
        <v>13842.6603369539</v>
      </c>
      <c r="M140" s="19" t="n">
        <v>14469.6695888759</v>
      </c>
      <c r="N140" s="19" t="n">
        <v>15133.0272164249</v>
      </c>
      <c r="O140" s="20" t="n">
        <v>15289.6103694797</v>
      </c>
      <c r="P140" s="21" t="n">
        <v>16134.4885401219</v>
      </c>
      <c r="Q140" s="21" t="n">
        <v>17038.1068574603</v>
      </c>
      <c r="R140" s="21" t="n">
        <v>17852.6270562408</v>
      </c>
      <c r="S140" s="21" t="n">
        <v>18824.1801296109</v>
      </c>
      <c r="T140" s="21" t="n">
        <v>19227.8650838852</v>
      </c>
      <c r="U140" s="21" t="n">
        <v>19421.2194173969</v>
      </c>
      <c r="V140" s="21" t="n">
        <v>19599.5822253663</v>
      </c>
      <c r="W140" s="21" t="n">
        <v>19628.1631632294</v>
      </c>
      <c r="X140" s="21" t="n">
        <v>0</v>
      </c>
      <c r="Y140" s="21" t="n">
        <v>0</v>
      </c>
      <c r="Z140" s="0"/>
      <c r="AA140" s="0"/>
      <c r="AB140" s="0"/>
      <c r="AC140" s="0"/>
      <c r="AD140" s="0"/>
      <c r="AE140" s="0"/>
      <c r="AF140" s="0"/>
      <c r="AG140" s="0"/>
    </row>
    <row r="141" customFormat="false" ht="12.75" hidden="false" customHeight="false" outlineLevel="1" collapsed="false">
      <c r="A141" s="22" t="s">
        <v>10</v>
      </c>
      <c r="B141" s="17" t="n">
        <f aca="false">NPV(0.1,D141:Y141)</f>
        <v>96057.1491291675</v>
      </c>
      <c r="C141" s="17" t="n">
        <f aca="false">B141-B131</f>
        <v>-2401.05889280616</v>
      </c>
      <c r="D141" s="23" t="n">
        <v>2836.26377989661</v>
      </c>
      <c r="E141" s="24" t="n">
        <v>5515.15639220376</v>
      </c>
      <c r="F141" s="24" t="n">
        <v>4973.93760257486</v>
      </c>
      <c r="G141" s="24" t="n">
        <v>4932.70139527647</v>
      </c>
      <c r="H141" s="24" t="n">
        <v>14423.1514180632</v>
      </c>
      <c r="I141" s="24" t="n">
        <v>18497.5467283284</v>
      </c>
      <c r="J141" s="24" t="n">
        <v>12954.7267930351</v>
      </c>
      <c r="K141" s="24" t="n">
        <v>12822.6103245584</v>
      </c>
      <c r="L141" s="24" t="n">
        <v>12714.8962939153</v>
      </c>
      <c r="M141" s="24" t="n">
        <v>12595.5615707592</v>
      </c>
      <c r="N141" s="24" t="n">
        <v>12436.0725414915</v>
      </c>
      <c r="O141" s="25" t="n">
        <v>12822.6093056346</v>
      </c>
      <c r="P141" s="21" t="n">
        <v>11823.1515535153</v>
      </c>
      <c r="Q141" s="21" t="n">
        <v>11634.40048788</v>
      </c>
      <c r="R141" s="21" t="n">
        <v>16373.2501578373</v>
      </c>
      <c r="S141" s="21" t="n">
        <v>23607.128843409</v>
      </c>
      <c r="T141" s="21" t="n">
        <v>22299.2491055361</v>
      </c>
      <c r="U141" s="21" t="n">
        <v>22481.002277175</v>
      </c>
      <c r="V141" s="21" t="n">
        <v>22664.0886249341</v>
      </c>
      <c r="W141" s="21" t="n">
        <v>22795.4560602896</v>
      </c>
      <c r="X141" s="21" t="n">
        <v>0</v>
      </c>
      <c r="Y141" s="21" t="n">
        <v>0</v>
      </c>
      <c r="Z141" s="0"/>
      <c r="AA141" s="0"/>
      <c r="AB141" s="0"/>
      <c r="AC141" s="0"/>
      <c r="AD141" s="0"/>
      <c r="AE141" s="0"/>
      <c r="AF141" s="0"/>
      <c r="AG141" s="0"/>
    </row>
    <row r="142" customFormat="false" ht="12.75" hidden="false" customHeight="false" outlineLevel="1" collapsed="false">
      <c r="A142" s="5"/>
      <c r="B142" s="5"/>
      <c r="C142" s="5"/>
      <c r="D142" s="0"/>
      <c r="E142" s="0"/>
      <c r="F142" s="0"/>
      <c r="G142" s="0"/>
      <c r="H142" s="0"/>
      <c r="I142" s="0"/>
      <c r="J142" s="0"/>
      <c r="K142" s="0"/>
      <c r="L142" s="0"/>
      <c r="M142" s="0"/>
      <c r="N142" s="0"/>
      <c r="O142" s="0"/>
      <c r="P142" s="0"/>
      <c r="Q142" s="0"/>
      <c r="R142" s="0"/>
      <c r="S142" s="0"/>
      <c r="T142" s="0"/>
      <c r="U142" s="0"/>
      <c r="V142" s="0"/>
      <c r="W142" s="0"/>
      <c r="X142" s="0"/>
      <c r="Y142" s="0"/>
      <c r="Z142" s="0"/>
      <c r="AA142" s="0"/>
      <c r="AB142" s="0"/>
      <c r="AC142" s="0"/>
      <c r="AD142" s="0"/>
      <c r="AE142" s="0"/>
      <c r="AF142" s="0"/>
      <c r="AG142" s="0"/>
    </row>
    <row r="143" customFormat="false" ht="12.75" hidden="false" customHeight="false" outlineLevel="0" collapsed="false">
      <c r="A143" s="26" t="s">
        <v>26</v>
      </c>
      <c r="B143" s="5"/>
      <c r="C143" s="5"/>
      <c r="D143" s="0"/>
      <c r="E143" s="0"/>
      <c r="F143" s="0"/>
      <c r="G143" s="0"/>
      <c r="H143" s="0"/>
      <c r="I143" s="0"/>
      <c r="J143" s="0"/>
      <c r="K143" s="0"/>
      <c r="L143" s="0"/>
      <c r="M143" s="0"/>
      <c r="N143" s="0"/>
      <c r="O143" s="0"/>
      <c r="P143" s="0"/>
      <c r="Q143" s="0"/>
      <c r="R143" s="0"/>
      <c r="S143" s="0"/>
      <c r="T143" s="0"/>
      <c r="U143" s="0"/>
      <c r="V143" s="0"/>
      <c r="W143" s="0"/>
      <c r="X143" s="0"/>
      <c r="Y143" s="0"/>
      <c r="Z143" s="0"/>
      <c r="AA143" s="0"/>
      <c r="AB143" s="0"/>
      <c r="AC143" s="0"/>
      <c r="AD143" s="0"/>
      <c r="AE143" s="0"/>
      <c r="AF143" s="0"/>
      <c r="AG143" s="0"/>
    </row>
    <row r="144" customFormat="false" ht="12.75" hidden="false" customHeight="false" outlineLevel="0" collapsed="false">
      <c r="A144" s="28" t="n">
        <v>36241</v>
      </c>
      <c r="B144" s="5"/>
      <c r="C144" s="5"/>
      <c r="D144" s="0"/>
      <c r="E144" s="0"/>
      <c r="F144" s="0"/>
      <c r="G144" s="0"/>
      <c r="H144" s="0"/>
      <c r="I144" s="0"/>
      <c r="J144" s="0"/>
      <c r="K144" s="0"/>
      <c r="L144" s="0"/>
      <c r="M144" s="0"/>
      <c r="N144" s="0"/>
      <c r="O144" s="0"/>
      <c r="P144" s="0"/>
      <c r="Q144" s="0"/>
      <c r="R144" s="0"/>
      <c r="S144" s="0"/>
      <c r="T144" s="0"/>
      <c r="U144" s="0"/>
      <c r="V144" s="0"/>
      <c r="W144" s="0"/>
      <c r="X144" s="0"/>
      <c r="Y144" s="0"/>
      <c r="Z144" s="0"/>
      <c r="AA144" s="0"/>
      <c r="AB144" s="0"/>
      <c r="AC144" s="0"/>
      <c r="AD144" s="0"/>
      <c r="AE144" s="0"/>
      <c r="AF144" s="0"/>
      <c r="AG144" s="0"/>
    </row>
    <row r="145" customFormat="false" ht="12.75" hidden="false" customHeight="false" outlineLevel="0" collapsed="false">
      <c r="A145" s="7" t="s">
        <v>2</v>
      </c>
      <c r="B145" s="8" t="n">
        <v>31726.391017244</v>
      </c>
      <c r="C145" s="5" t="s">
        <v>14</v>
      </c>
      <c r="D145" s="0"/>
      <c r="E145" s="0"/>
      <c r="F145" s="0"/>
      <c r="G145" s="0"/>
      <c r="H145" s="0"/>
      <c r="I145" s="0"/>
      <c r="J145" s="0"/>
      <c r="K145" s="0"/>
      <c r="L145" s="0"/>
      <c r="M145" s="0"/>
      <c r="N145" s="0"/>
      <c r="O145" s="0"/>
      <c r="P145" s="0"/>
      <c r="Q145" s="0"/>
      <c r="R145" s="0"/>
      <c r="S145" s="0"/>
      <c r="T145" s="0"/>
      <c r="U145" s="0"/>
      <c r="V145" s="0"/>
      <c r="W145" s="0"/>
      <c r="X145" s="0"/>
      <c r="Y145" s="0"/>
      <c r="Z145" s="0"/>
      <c r="AA145" s="0"/>
      <c r="AB145" s="0"/>
      <c r="AC145" s="0"/>
      <c r="AD145" s="0"/>
      <c r="AE145" s="0"/>
      <c r="AF145" s="0"/>
      <c r="AG145" s="0"/>
    </row>
    <row r="146" customFormat="false" ht="12.75" hidden="false" customHeight="false" outlineLevel="0" collapsed="false">
      <c r="A146" s="9" t="s">
        <v>3</v>
      </c>
      <c r="B146" s="10" t="n">
        <v>66616.3290723087</v>
      </c>
      <c r="C146" s="5"/>
      <c r="D146" s="0"/>
      <c r="E146" s="0"/>
      <c r="F146" s="0"/>
      <c r="G146" s="0"/>
      <c r="H146" s="0"/>
      <c r="I146" s="0"/>
      <c r="J146" s="0"/>
      <c r="K146" s="0"/>
      <c r="L146" s="0"/>
      <c r="M146" s="0"/>
      <c r="N146" s="0"/>
      <c r="O146" s="0"/>
      <c r="P146" s="0"/>
      <c r="Q146" s="0"/>
      <c r="R146" s="0"/>
      <c r="S146" s="0"/>
      <c r="T146" s="0"/>
      <c r="U146" s="0"/>
      <c r="V146" s="0"/>
      <c r="W146" s="0"/>
      <c r="X146" s="0"/>
      <c r="Y146" s="0"/>
      <c r="Z146" s="0"/>
      <c r="AA146" s="0"/>
      <c r="AB146" s="0"/>
      <c r="AC146" s="0"/>
      <c r="AD146" s="0"/>
      <c r="AE146" s="0"/>
      <c r="AF146" s="0"/>
      <c r="AG146" s="0"/>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c r="DQ146" s="29"/>
      <c r="DR146" s="29"/>
      <c r="DS146" s="29"/>
      <c r="DT146" s="29"/>
      <c r="DU146" s="29"/>
      <c r="DV146" s="29"/>
      <c r="DW146" s="29"/>
      <c r="DX146" s="29"/>
      <c r="DY146" s="29"/>
      <c r="DZ146" s="29"/>
      <c r="EA146" s="29"/>
      <c r="EB146" s="29"/>
      <c r="EC146" s="29"/>
      <c r="ED146" s="29"/>
      <c r="EE146" s="29"/>
      <c r="EF146" s="29"/>
      <c r="EG146" s="29"/>
      <c r="EH146" s="29"/>
      <c r="EI146" s="29"/>
      <c r="EJ146" s="29"/>
      <c r="EK146" s="29"/>
      <c r="EL146" s="29"/>
      <c r="EM146" s="29"/>
      <c r="EN146" s="29"/>
      <c r="EO146" s="29"/>
      <c r="EP146" s="29"/>
      <c r="EQ146" s="29"/>
      <c r="ER146" s="29"/>
      <c r="ES146" s="29"/>
      <c r="ET146" s="29"/>
      <c r="EU146" s="29"/>
      <c r="EV146" s="29"/>
      <c r="EW146" s="29"/>
      <c r="EX146" s="29"/>
      <c r="EY146" s="29"/>
      <c r="EZ146" s="29"/>
      <c r="FA146" s="29"/>
      <c r="FB146" s="29"/>
      <c r="FC146" s="29"/>
      <c r="FD146" s="29"/>
      <c r="FE146" s="29"/>
      <c r="FF146" s="29"/>
      <c r="FG146" s="29"/>
      <c r="FH146" s="29"/>
      <c r="FI146" s="29"/>
      <c r="FJ146" s="29"/>
      <c r="FK146" s="29"/>
      <c r="FL146" s="29"/>
      <c r="FM146" s="29"/>
      <c r="FN146" s="29"/>
      <c r="FO146" s="29"/>
      <c r="FP146" s="29"/>
      <c r="FQ146" s="29"/>
      <c r="FR146" s="29"/>
      <c r="FS146" s="29"/>
      <c r="FT146" s="29"/>
      <c r="FU146" s="29"/>
      <c r="FV146" s="29"/>
      <c r="FW146" s="29"/>
      <c r="FX146" s="29"/>
      <c r="FY146" s="29"/>
      <c r="FZ146" s="29"/>
      <c r="GA146" s="29"/>
      <c r="GB146" s="29"/>
      <c r="GC146" s="29"/>
      <c r="GD146" s="29"/>
      <c r="GE146" s="29"/>
      <c r="GF146" s="29"/>
      <c r="GG146" s="29"/>
      <c r="GH146" s="29"/>
      <c r="GI146" s="29"/>
      <c r="GJ146" s="29"/>
      <c r="GK146" s="29"/>
      <c r="GL146" s="29"/>
      <c r="GM146" s="29"/>
      <c r="GN146" s="29"/>
      <c r="GO146" s="29"/>
      <c r="GP146" s="29"/>
      <c r="GQ146" s="29"/>
      <c r="GR146" s="29"/>
      <c r="GS146" s="29"/>
      <c r="GT146" s="29"/>
      <c r="GU146" s="29"/>
      <c r="GV146" s="29"/>
      <c r="GW146" s="29"/>
      <c r="GX146" s="29"/>
      <c r="GY146" s="29"/>
      <c r="GZ146" s="29"/>
      <c r="HA146" s="29"/>
      <c r="HB146" s="29"/>
      <c r="HC146" s="29"/>
      <c r="HD146" s="29"/>
      <c r="HE146" s="29"/>
      <c r="HF146" s="29"/>
      <c r="HG146" s="29"/>
      <c r="HH146" s="29"/>
      <c r="HI146" s="29"/>
      <c r="HJ146" s="29"/>
      <c r="HK146" s="29"/>
      <c r="HL146" s="29"/>
      <c r="HM146" s="29"/>
      <c r="HN146" s="29"/>
      <c r="HO146" s="29"/>
      <c r="HP146" s="29"/>
      <c r="HQ146" s="29"/>
      <c r="HR146" s="29"/>
      <c r="HS146" s="29"/>
      <c r="HT146" s="29"/>
      <c r="HU146" s="29"/>
      <c r="HV146" s="29"/>
      <c r="HW146" s="29"/>
      <c r="HX146" s="29"/>
      <c r="HY146" s="29"/>
      <c r="HZ146" s="29"/>
      <c r="IA146" s="29"/>
      <c r="IB146" s="29"/>
      <c r="IC146" s="29"/>
      <c r="ID146" s="29"/>
      <c r="IE146" s="29"/>
      <c r="IF146" s="29"/>
      <c r="IG146" s="29"/>
      <c r="IH146" s="29"/>
      <c r="II146" s="29"/>
      <c r="IJ146" s="29"/>
      <c r="IK146" s="29"/>
      <c r="IL146" s="29"/>
      <c r="IM146" s="29"/>
      <c r="IN146" s="29"/>
      <c r="IO146" s="29"/>
      <c r="IP146" s="29"/>
      <c r="IQ146" s="29"/>
      <c r="IR146" s="29"/>
      <c r="IS146" s="29"/>
      <c r="IT146" s="29"/>
      <c r="IU146" s="29"/>
      <c r="IV146" s="29"/>
      <c r="IW146" s="29"/>
    </row>
    <row r="147" customFormat="false" ht="12.75" hidden="false" customHeight="false" outlineLevel="1" collapsed="false">
      <c r="A147" s="11" t="s">
        <v>4</v>
      </c>
      <c r="B147" s="12" t="s">
        <v>5</v>
      </c>
      <c r="C147" s="12" t="s">
        <v>6</v>
      </c>
      <c r="D147" s="13" t="n">
        <v>1999</v>
      </c>
      <c r="E147" s="14" t="n">
        <v>2000</v>
      </c>
      <c r="F147" s="14" t="n">
        <v>2001</v>
      </c>
      <c r="G147" s="14" t="n">
        <v>2002</v>
      </c>
      <c r="H147" s="14" t="n">
        <v>2003</v>
      </c>
      <c r="I147" s="14" t="n">
        <v>2004</v>
      </c>
      <c r="J147" s="14" t="n">
        <v>2005</v>
      </c>
      <c r="K147" s="14" t="n">
        <v>2006</v>
      </c>
      <c r="L147" s="14" t="n">
        <v>2007</v>
      </c>
      <c r="M147" s="14" t="n">
        <v>2008</v>
      </c>
      <c r="N147" s="14" t="n">
        <v>2009</v>
      </c>
      <c r="O147" s="15" t="n">
        <v>2010</v>
      </c>
      <c r="P147" s="16" t="n">
        <v>2011</v>
      </c>
      <c r="Q147" s="16" t="n">
        <v>2012</v>
      </c>
      <c r="R147" s="16" t="n">
        <v>2013</v>
      </c>
      <c r="S147" s="16" t="n">
        <v>2014</v>
      </c>
      <c r="T147" s="16" t="n">
        <v>2015</v>
      </c>
      <c r="U147" s="16" t="n">
        <v>2016</v>
      </c>
      <c r="V147" s="16" t="n">
        <v>2017</v>
      </c>
      <c r="W147" s="16" t="n">
        <v>2018</v>
      </c>
      <c r="X147" s="16" t="n">
        <v>2019</v>
      </c>
      <c r="Y147" s="0"/>
      <c r="Z147" s="0"/>
      <c r="AA147" s="0"/>
      <c r="AB147" s="0"/>
      <c r="AC147" s="0"/>
      <c r="AD147" s="0"/>
      <c r="AE147" s="0"/>
      <c r="AF147" s="0"/>
      <c r="AG147" s="0"/>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c r="CA147" s="29"/>
      <c r="CB147" s="29"/>
      <c r="CC147" s="29"/>
      <c r="CD147" s="29"/>
      <c r="CE147" s="29"/>
      <c r="CF147" s="29"/>
      <c r="CG147" s="29"/>
      <c r="CH147" s="29"/>
      <c r="CI147" s="29"/>
      <c r="CJ147" s="29"/>
      <c r="CK147" s="29"/>
      <c r="CL147" s="29"/>
      <c r="CM147" s="29"/>
      <c r="CN147" s="29"/>
      <c r="CO147" s="29"/>
      <c r="CP147" s="29"/>
      <c r="CQ147" s="29"/>
      <c r="CR147" s="29"/>
      <c r="CS147" s="29"/>
      <c r="CT147" s="29"/>
      <c r="CU147" s="29"/>
      <c r="CV147" s="29"/>
      <c r="CW147" s="29"/>
      <c r="CX147" s="29"/>
      <c r="CY147" s="29"/>
      <c r="CZ147" s="29"/>
      <c r="DA147" s="29"/>
      <c r="DB147" s="29"/>
      <c r="DC147" s="29"/>
      <c r="DD147" s="29"/>
      <c r="DE147" s="29"/>
      <c r="DF147" s="29"/>
      <c r="DG147" s="29"/>
      <c r="DH147" s="29"/>
      <c r="DI147" s="29"/>
      <c r="DJ147" s="29"/>
      <c r="DK147" s="29"/>
      <c r="DL147" s="29"/>
      <c r="DM147" s="29"/>
      <c r="DN147" s="29"/>
      <c r="DO147" s="29"/>
      <c r="DP147" s="29"/>
      <c r="DQ147" s="29"/>
      <c r="DR147" s="29"/>
      <c r="DS147" s="29"/>
      <c r="DT147" s="29"/>
      <c r="DU147" s="29"/>
      <c r="DV147" s="29"/>
      <c r="DW147" s="29"/>
      <c r="DX147" s="29"/>
      <c r="DY147" s="29"/>
      <c r="DZ147" s="29"/>
      <c r="EA147" s="29"/>
      <c r="EB147" s="29"/>
      <c r="EC147" s="29"/>
      <c r="ED147" s="29"/>
      <c r="EE147" s="29"/>
      <c r="EF147" s="29"/>
      <c r="EG147" s="29"/>
      <c r="EH147" s="29"/>
      <c r="EI147" s="29"/>
      <c r="EJ147" s="29"/>
      <c r="EK147" s="29"/>
      <c r="EL147" s="29"/>
      <c r="EM147" s="29"/>
      <c r="EN147" s="29"/>
      <c r="EO147" s="29"/>
      <c r="EP147" s="29"/>
      <c r="EQ147" s="29"/>
      <c r="ER147" s="29"/>
      <c r="ES147" s="29"/>
      <c r="ET147" s="29"/>
      <c r="EU147" s="29"/>
      <c r="EV147" s="29"/>
      <c r="EW147" s="29"/>
      <c r="EX147" s="29"/>
      <c r="EY147" s="29"/>
      <c r="EZ147" s="29"/>
      <c r="FA147" s="29"/>
      <c r="FB147" s="29"/>
      <c r="FC147" s="29"/>
      <c r="FD147" s="29"/>
      <c r="FE147" s="29"/>
      <c r="FF147" s="29"/>
      <c r="FG147" s="29"/>
      <c r="FH147" s="29"/>
      <c r="FI147" s="29"/>
      <c r="FJ147" s="29"/>
      <c r="FK147" s="29"/>
      <c r="FL147" s="29"/>
      <c r="FM147" s="29"/>
      <c r="FN147" s="29"/>
      <c r="FO147" s="29"/>
      <c r="FP147" s="29"/>
      <c r="FQ147" s="29"/>
      <c r="FR147" s="29"/>
      <c r="FS147" s="29"/>
      <c r="FT147" s="29"/>
      <c r="FU147" s="29"/>
      <c r="FV147" s="29"/>
      <c r="FW147" s="29"/>
      <c r="FX147" s="29"/>
      <c r="FY147" s="29"/>
      <c r="FZ147" s="29"/>
      <c r="GA147" s="29"/>
      <c r="GB147" s="29"/>
      <c r="GC147" s="29"/>
      <c r="GD147" s="29"/>
      <c r="GE147" s="29"/>
      <c r="GF147" s="29"/>
      <c r="GG147" s="29"/>
      <c r="GH147" s="29"/>
      <c r="GI147" s="29"/>
      <c r="GJ147" s="29"/>
      <c r="GK147" s="29"/>
      <c r="GL147" s="29"/>
      <c r="GM147" s="29"/>
      <c r="GN147" s="29"/>
      <c r="GO147" s="29"/>
      <c r="GP147" s="29"/>
      <c r="GQ147" s="29"/>
      <c r="GR147" s="29"/>
      <c r="GS147" s="29"/>
      <c r="GT147" s="29"/>
      <c r="GU147" s="29"/>
      <c r="GV147" s="29"/>
      <c r="GW147" s="29"/>
      <c r="GX147" s="29"/>
      <c r="GY147" s="29"/>
      <c r="GZ147" s="29"/>
      <c r="HA147" s="29"/>
      <c r="HB147" s="29"/>
      <c r="HC147" s="29"/>
      <c r="HD147" s="29"/>
      <c r="HE147" s="29"/>
      <c r="HF147" s="29"/>
      <c r="HG147" s="29"/>
      <c r="HH147" s="29"/>
      <c r="HI147" s="29"/>
      <c r="HJ147" s="29"/>
      <c r="HK147" s="29"/>
      <c r="HL147" s="29"/>
      <c r="HM147" s="29"/>
      <c r="HN147" s="29"/>
      <c r="HO147" s="29"/>
      <c r="HP147" s="29"/>
      <c r="HQ147" s="29"/>
      <c r="HR147" s="29"/>
      <c r="HS147" s="29"/>
      <c r="HT147" s="29"/>
      <c r="HU147" s="29"/>
      <c r="HV147" s="29"/>
      <c r="HW147" s="29"/>
      <c r="HX147" s="29"/>
      <c r="HY147" s="29"/>
      <c r="HZ147" s="29"/>
      <c r="IA147" s="29"/>
      <c r="IB147" s="29"/>
      <c r="IC147" s="29"/>
      <c r="ID147" s="29"/>
      <c r="IE147" s="29"/>
      <c r="IF147" s="29"/>
      <c r="IG147" s="29"/>
      <c r="IH147" s="29"/>
      <c r="II147" s="29"/>
      <c r="IJ147" s="29"/>
      <c r="IK147" s="29"/>
      <c r="IL147" s="29"/>
      <c r="IM147" s="29"/>
      <c r="IN147" s="29"/>
      <c r="IO147" s="29"/>
      <c r="IP147" s="29"/>
      <c r="IQ147" s="29"/>
      <c r="IR147" s="29"/>
      <c r="IS147" s="29"/>
      <c r="IT147" s="29"/>
      <c r="IU147" s="29"/>
      <c r="IV147" s="29"/>
      <c r="IW147" s="29"/>
    </row>
    <row r="148" customFormat="false" ht="12.75" hidden="false" customHeight="false" outlineLevel="1" collapsed="false">
      <c r="A148" s="11" t="s">
        <v>7</v>
      </c>
      <c r="B148" s="17" t="n">
        <f aca="false">NPV(0.1,D148:Y148)</f>
        <v>440714.407089297</v>
      </c>
      <c r="C148" s="17" t="n">
        <f aca="false">B148-B138</f>
        <v>10551.4845499602</v>
      </c>
      <c r="D148" s="18" t="n">
        <v>26456.1651721875</v>
      </c>
      <c r="E148" s="19" t="n">
        <v>36622.8167682054</v>
      </c>
      <c r="F148" s="19" t="n">
        <v>36899.7467266388</v>
      </c>
      <c r="G148" s="19" t="n">
        <v>37130.4608454278</v>
      </c>
      <c r="H148" s="19" t="n">
        <v>46551.6218507978</v>
      </c>
      <c r="I148" s="19" t="n">
        <v>54368.3363263156</v>
      </c>
      <c r="J148" s="19" t="n">
        <v>55774.1081752542</v>
      </c>
      <c r="K148" s="19" t="n">
        <v>56836.4340779057</v>
      </c>
      <c r="L148" s="19" t="n">
        <v>58014.036281412</v>
      </c>
      <c r="M148" s="19" t="n">
        <v>59306.2801784764</v>
      </c>
      <c r="N148" s="19" t="n">
        <v>60748.6390469201</v>
      </c>
      <c r="O148" s="20" t="n">
        <v>62343.6917451537</v>
      </c>
      <c r="P148" s="21" t="n">
        <v>64230.9099191597</v>
      </c>
      <c r="Q148" s="21" t="n">
        <v>66205.4173948106</v>
      </c>
      <c r="R148" s="21" t="n">
        <v>68260.1936842274</v>
      </c>
      <c r="S148" s="21" t="n">
        <v>70358.6179348906</v>
      </c>
      <c r="T148" s="21" t="n">
        <v>72482.4395694936</v>
      </c>
      <c r="U148" s="21" t="n">
        <v>74297.4767975085</v>
      </c>
      <c r="V148" s="21" t="n">
        <v>76073.9231579729</v>
      </c>
      <c r="W148" s="21" t="n">
        <v>77846.43841275</v>
      </c>
      <c r="X148" s="21" t="n">
        <v>78083.6229526837</v>
      </c>
      <c r="Y148" s="0"/>
      <c r="Z148" s="0"/>
      <c r="AA148" s="0"/>
      <c r="AB148" s="0"/>
      <c r="AC148" s="0"/>
      <c r="AD148" s="0"/>
      <c r="AE148" s="0"/>
      <c r="AF148" s="0"/>
      <c r="AG148" s="0"/>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V148" s="29"/>
      <c r="BW148" s="29"/>
      <c r="BX148" s="29"/>
      <c r="BY148" s="29"/>
      <c r="BZ148" s="29"/>
      <c r="CA148" s="29"/>
      <c r="CB148" s="29"/>
      <c r="CC148" s="29"/>
      <c r="CD148" s="29"/>
      <c r="CE148" s="29"/>
      <c r="CF148" s="29"/>
      <c r="CG148" s="29"/>
      <c r="CH148" s="29"/>
      <c r="CI148" s="29"/>
      <c r="CJ148" s="29"/>
      <c r="CK148" s="29"/>
      <c r="CL148" s="29"/>
      <c r="CM148" s="29"/>
      <c r="CN148" s="29"/>
      <c r="CO148" s="29"/>
      <c r="CP148" s="29"/>
      <c r="CQ148" s="29"/>
      <c r="CR148" s="29"/>
      <c r="CS148" s="29"/>
      <c r="CT148" s="29"/>
      <c r="CU148" s="29"/>
      <c r="CV148" s="29"/>
      <c r="CW148" s="29"/>
      <c r="CX148" s="29"/>
      <c r="CY148" s="29"/>
      <c r="CZ148" s="29"/>
      <c r="DA148" s="29"/>
      <c r="DB148" s="29"/>
      <c r="DC148" s="29"/>
      <c r="DD148" s="29"/>
      <c r="DE148" s="29"/>
      <c r="DF148" s="29"/>
      <c r="DG148" s="29"/>
      <c r="DH148" s="29"/>
      <c r="DI148" s="29"/>
      <c r="DJ148" s="29"/>
      <c r="DK148" s="29"/>
      <c r="DL148" s="29"/>
      <c r="DM148" s="29"/>
      <c r="DN148" s="29"/>
      <c r="DO148" s="29"/>
      <c r="DP148" s="29"/>
      <c r="DQ148" s="29"/>
      <c r="DR148" s="29"/>
      <c r="DS148" s="29"/>
      <c r="DT148" s="29"/>
      <c r="DU148" s="29"/>
      <c r="DV148" s="29"/>
      <c r="DW148" s="29"/>
      <c r="DX148" s="29"/>
      <c r="DY148" s="29"/>
      <c r="DZ148" s="29"/>
      <c r="EA148" s="29"/>
      <c r="EB148" s="29"/>
      <c r="EC148" s="29"/>
      <c r="ED148" s="29"/>
      <c r="EE148" s="29"/>
      <c r="EF148" s="29"/>
      <c r="EG148" s="29"/>
      <c r="EH148" s="29"/>
      <c r="EI148" s="29"/>
      <c r="EJ148" s="29"/>
      <c r="EK148" s="29"/>
      <c r="EL148" s="29"/>
      <c r="EM148" s="29"/>
      <c r="EN148" s="29"/>
      <c r="EO148" s="29"/>
      <c r="EP148" s="29"/>
      <c r="EQ148" s="29"/>
      <c r="ER148" s="29"/>
      <c r="ES148" s="29"/>
      <c r="ET148" s="29"/>
      <c r="EU148" s="29"/>
      <c r="EV148" s="29"/>
      <c r="EW148" s="29"/>
      <c r="EX148" s="29"/>
      <c r="EY148" s="29"/>
      <c r="EZ148" s="29"/>
      <c r="FA148" s="29"/>
      <c r="FB148" s="29"/>
      <c r="FC148" s="29"/>
      <c r="FD148" s="29"/>
      <c r="FE148" s="29"/>
      <c r="FF148" s="29"/>
      <c r="FG148" s="29"/>
      <c r="FH148" s="29"/>
      <c r="FI148" s="29"/>
      <c r="FJ148" s="29"/>
      <c r="FK148" s="29"/>
      <c r="FL148" s="29"/>
      <c r="FM148" s="29"/>
      <c r="FN148" s="29"/>
      <c r="FO148" s="29"/>
      <c r="FP148" s="29"/>
      <c r="FQ148" s="29"/>
      <c r="FR148" s="29"/>
      <c r="FS148" s="29"/>
      <c r="FT148" s="29"/>
      <c r="FU148" s="29"/>
      <c r="FV148" s="29"/>
      <c r="FW148" s="29"/>
      <c r="FX148" s="29"/>
      <c r="FY148" s="29"/>
      <c r="FZ148" s="29"/>
      <c r="GA148" s="29"/>
      <c r="GB148" s="29"/>
      <c r="GC148" s="29"/>
      <c r="GD148" s="29"/>
      <c r="GE148" s="29"/>
      <c r="GF148" s="29"/>
      <c r="GG148" s="29"/>
      <c r="GH148" s="29"/>
      <c r="GI148" s="29"/>
      <c r="GJ148" s="29"/>
      <c r="GK148" s="29"/>
      <c r="GL148" s="29"/>
      <c r="GM148" s="29"/>
      <c r="GN148" s="29"/>
      <c r="GO148" s="29"/>
      <c r="GP148" s="29"/>
      <c r="GQ148" s="29"/>
      <c r="GR148" s="29"/>
      <c r="GS148" s="29"/>
      <c r="GT148" s="29"/>
      <c r="GU148" s="29"/>
      <c r="GV148" s="29"/>
      <c r="GW148" s="29"/>
      <c r="GX148" s="29"/>
      <c r="GY148" s="29"/>
      <c r="GZ148" s="29"/>
      <c r="HA148" s="29"/>
      <c r="HB148" s="29"/>
      <c r="HC148" s="29"/>
      <c r="HD148" s="29"/>
      <c r="HE148" s="29"/>
      <c r="HF148" s="29"/>
      <c r="HG148" s="29"/>
      <c r="HH148" s="29"/>
      <c r="HI148" s="29"/>
      <c r="HJ148" s="29"/>
      <c r="HK148" s="29"/>
      <c r="HL148" s="29"/>
      <c r="HM148" s="29"/>
      <c r="HN148" s="29"/>
      <c r="HO148" s="29"/>
      <c r="HP148" s="29"/>
      <c r="HQ148" s="29"/>
      <c r="HR148" s="29"/>
      <c r="HS148" s="29"/>
      <c r="HT148" s="29"/>
      <c r="HU148" s="29"/>
      <c r="HV148" s="29"/>
      <c r="HW148" s="29"/>
      <c r="HX148" s="29"/>
      <c r="HY148" s="29"/>
      <c r="HZ148" s="29"/>
      <c r="IA148" s="29"/>
      <c r="IB148" s="29"/>
      <c r="IC148" s="29"/>
      <c r="ID148" s="29"/>
      <c r="IE148" s="29"/>
      <c r="IF148" s="29"/>
      <c r="IG148" s="29"/>
      <c r="IH148" s="29"/>
      <c r="II148" s="29"/>
      <c r="IJ148" s="29"/>
      <c r="IK148" s="29"/>
      <c r="IL148" s="29"/>
      <c r="IM148" s="29"/>
      <c r="IN148" s="29"/>
      <c r="IO148" s="29"/>
      <c r="IP148" s="29"/>
      <c r="IQ148" s="29"/>
      <c r="IR148" s="29"/>
      <c r="IS148" s="29"/>
      <c r="IT148" s="29"/>
      <c r="IU148" s="29"/>
      <c r="IV148" s="29"/>
      <c r="IW148" s="29"/>
    </row>
    <row r="149" customFormat="false" ht="12.75" hidden="false" customHeight="false" outlineLevel="1" collapsed="false">
      <c r="A149" s="22" t="s">
        <v>8</v>
      </c>
      <c r="B149" s="17" t="n">
        <f aca="false">NPV(0.1,D149:Y149)</f>
        <v>218073.784816362</v>
      </c>
      <c r="C149" s="17" t="n">
        <f aca="false">B149-B139</f>
        <v>5493.79553362235</v>
      </c>
      <c r="D149" s="18" t="n">
        <v>17186.8182105208</v>
      </c>
      <c r="E149" s="19" t="n">
        <v>21329.6507296649</v>
      </c>
      <c r="F149" s="19" t="n">
        <v>21687.7114481244</v>
      </c>
      <c r="G149" s="19" t="n">
        <v>22002.3171019594</v>
      </c>
      <c r="H149" s="19" t="n">
        <v>22389.8793249866</v>
      </c>
      <c r="I149" s="19" t="n">
        <v>22859.6971776595</v>
      </c>
      <c r="J149" s="19" t="n">
        <v>23411.8725887419</v>
      </c>
      <c r="K149" s="19" t="n">
        <v>24077.2062597954</v>
      </c>
      <c r="L149" s="19" t="n">
        <v>24864.5396142056</v>
      </c>
      <c r="M149" s="19" t="n">
        <v>25773.9840322844</v>
      </c>
      <c r="N149" s="19" t="n">
        <v>26836.3499506887</v>
      </c>
      <c r="O149" s="20" t="n">
        <v>28844.9341458564</v>
      </c>
      <c r="P149" s="21" t="n">
        <v>30171.0447674122</v>
      </c>
      <c r="Q149" s="21" t="n">
        <v>31570.5462928259</v>
      </c>
      <c r="R149" s="21" t="n">
        <v>33053.3389530128</v>
      </c>
      <c r="S149" s="21" t="n">
        <v>34583.4124899698</v>
      </c>
      <c r="T149" s="21" t="n">
        <v>36110.4756145763</v>
      </c>
      <c r="U149" s="21" t="n">
        <v>37642.4690805818</v>
      </c>
      <c r="V149" s="21" t="n">
        <v>39161.0518731362</v>
      </c>
      <c r="W149" s="21" t="n">
        <v>40800.5725957241</v>
      </c>
      <c r="X149" s="21" t="n">
        <v>40655.4600914546</v>
      </c>
      <c r="Y149" s="0"/>
      <c r="Z149" s="0"/>
      <c r="AA149" s="0"/>
      <c r="AB149" s="0"/>
      <c r="AC149" s="0"/>
      <c r="AD149" s="0"/>
      <c r="AE149" s="0"/>
      <c r="AF149" s="0"/>
      <c r="AG149" s="0"/>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c r="BY149" s="29"/>
      <c r="BZ149" s="29"/>
      <c r="CA149" s="29"/>
      <c r="CB149" s="29"/>
      <c r="CC149" s="29"/>
      <c r="CD149" s="29"/>
      <c r="CE149" s="29"/>
      <c r="CF149" s="29"/>
      <c r="CG149" s="29"/>
      <c r="CH149" s="29"/>
      <c r="CI149" s="29"/>
      <c r="CJ149" s="29"/>
      <c r="CK149" s="29"/>
      <c r="CL149" s="29"/>
      <c r="CM149" s="29"/>
      <c r="CN149" s="29"/>
      <c r="CO149" s="29"/>
      <c r="CP149" s="29"/>
      <c r="CQ149" s="29"/>
      <c r="CR149" s="29"/>
      <c r="CS149" s="29"/>
      <c r="CT149" s="29"/>
      <c r="CU149" s="29"/>
      <c r="CV149" s="29"/>
      <c r="CW149" s="29"/>
      <c r="CX149" s="29"/>
      <c r="CY149" s="29"/>
      <c r="CZ149" s="29"/>
      <c r="DA149" s="29"/>
      <c r="DB149" s="29"/>
      <c r="DC149" s="29"/>
      <c r="DD149" s="29"/>
      <c r="DE149" s="29"/>
      <c r="DF149" s="29"/>
      <c r="DG149" s="29"/>
      <c r="DH149" s="29"/>
      <c r="DI149" s="29"/>
      <c r="DJ149" s="29"/>
      <c r="DK149" s="29"/>
      <c r="DL149" s="29"/>
      <c r="DM149" s="29"/>
      <c r="DN149" s="29"/>
      <c r="DO149" s="29"/>
      <c r="DP149" s="29"/>
      <c r="DQ149" s="29"/>
      <c r="DR149" s="29"/>
      <c r="DS149" s="29"/>
      <c r="DT149" s="29"/>
      <c r="DU149" s="29"/>
      <c r="DV149" s="29"/>
      <c r="DW149" s="29"/>
      <c r="DX149" s="29"/>
      <c r="DY149" s="29"/>
      <c r="DZ149" s="29"/>
      <c r="EA149" s="29"/>
      <c r="EB149" s="29"/>
      <c r="EC149" s="29"/>
      <c r="ED149" s="29"/>
      <c r="EE149" s="29"/>
      <c r="EF149" s="29"/>
      <c r="EG149" s="29"/>
      <c r="EH149" s="29"/>
      <c r="EI149" s="29"/>
      <c r="EJ149" s="29"/>
      <c r="EK149" s="29"/>
      <c r="EL149" s="29"/>
      <c r="EM149" s="29"/>
      <c r="EN149" s="29"/>
      <c r="EO149" s="29"/>
      <c r="EP149" s="29"/>
      <c r="EQ149" s="29"/>
      <c r="ER149" s="29"/>
      <c r="ES149" s="29"/>
      <c r="ET149" s="29"/>
      <c r="EU149" s="29"/>
      <c r="EV149" s="29"/>
      <c r="EW149" s="29"/>
      <c r="EX149" s="29"/>
      <c r="EY149" s="29"/>
      <c r="EZ149" s="29"/>
      <c r="FA149" s="29"/>
      <c r="FB149" s="29"/>
      <c r="FC149" s="29"/>
      <c r="FD149" s="29"/>
      <c r="FE149" s="29"/>
      <c r="FF149" s="29"/>
      <c r="FG149" s="29"/>
      <c r="FH149" s="29"/>
      <c r="FI149" s="29"/>
      <c r="FJ149" s="29"/>
      <c r="FK149" s="29"/>
      <c r="FL149" s="29"/>
      <c r="FM149" s="29"/>
      <c r="FN149" s="29"/>
      <c r="FO149" s="29"/>
      <c r="FP149" s="29"/>
      <c r="FQ149" s="29"/>
      <c r="FR149" s="29"/>
      <c r="FS149" s="29"/>
      <c r="FT149" s="29"/>
      <c r="FU149" s="29"/>
      <c r="FV149" s="29"/>
      <c r="FW149" s="29"/>
      <c r="FX149" s="29"/>
      <c r="FY149" s="29"/>
      <c r="FZ149" s="29"/>
      <c r="GA149" s="29"/>
      <c r="GB149" s="29"/>
      <c r="GC149" s="29"/>
      <c r="GD149" s="29"/>
      <c r="GE149" s="29"/>
      <c r="GF149" s="29"/>
      <c r="GG149" s="29"/>
      <c r="GH149" s="29"/>
      <c r="GI149" s="29"/>
      <c r="GJ149" s="29"/>
      <c r="GK149" s="29"/>
      <c r="GL149" s="29"/>
      <c r="GM149" s="29"/>
      <c r="GN149" s="29"/>
      <c r="GO149" s="29"/>
      <c r="GP149" s="29"/>
      <c r="GQ149" s="29"/>
      <c r="GR149" s="29"/>
      <c r="GS149" s="29"/>
      <c r="GT149" s="29"/>
      <c r="GU149" s="29"/>
      <c r="GV149" s="29"/>
      <c r="GW149" s="29"/>
      <c r="GX149" s="29"/>
      <c r="GY149" s="29"/>
      <c r="GZ149" s="29"/>
      <c r="HA149" s="29"/>
      <c r="HB149" s="29"/>
      <c r="HC149" s="29"/>
      <c r="HD149" s="29"/>
      <c r="HE149" s="29"/>
      <c r="HF149" s="29"/>
      <c r="HG149" s="29"/>
      <c r="HH149" s="29"/>
      <c r="HI149" s="29"/>
      <c r="HJ149" s="29"/>
      <c r="HK149" s="29"/>
      <c r="HL149" s="29"/>
      <c r="HM149" s="29"/>
      <c r="HN149" s="29"/>
      <c r="HO149" s="29"/>
      <c r="HP149" s="29"/>
      <c r="HQ149" s="29"/>
      <c r="HR149" s="29"/>
      <c r="HS149" s="29"/>
      <c r="HT149" s="29"/>
      <c r="HU149" s="29"/>
      <c r="HV149" s="29"/>
      <c r="HW149" s="29"/>
      <c r="HX149" s="29"/>
      <c r="HY149" s="29"/>
      <c r="HZ149" s="29"/>
      <c r="IA149" s="29"/>
      <c r="IB149" s="29"/>
      <c r="IC149" s="29"/>
      <c r="ID149" s="29"/>
      <c r="IE149" s="29"/>
      <c r="IF149" s="29"/>
      <c r="IG149" s="29"/>
      <c r="IH149" s="29"/>
      <c r="II149" s="29"/>
      <c r="IJ149" s="29"/>
      <c r="IK149" s="29"/>
      <c r="IL149" s="29"/>
      <c r="IM149" s="29"/>
      <c r="IN149" s="29"/>
      <c r="IO149" s="29"/>
      <c r="IP149" s="29"/>
      <c r="IQ149" s="29"/>
      <c r="IR149" s="29"/>
      <c r="IS149" s="29"/>
      <c r="IT149" s="29"/>
      <c r="IU149" s="29"/>
      <c r="IV149" s="29"/>
      <c r="IW149" s="29"/>
    </row>
    <row r="150" customFormat="false" ht="12.75" hidden="false" customHeight="false" outlineLevel="1" collapsed="false">
      <c r="A150" s="22" t="s">
        <v>9</v>
      </c>
      <c r="B150" s="17" t="n">
        <f aca="false">NPV(0.1,D150:Y150)</f>
        <v>82612.4636885667</v>
      </c>
      <c r="C150" s="17" t="n">
        <f aca="false">B150-B140</f>
        <v>2687.00772740449</v>
      </c>
      <c r="D150" s="18" t="n">
        <v>510.830642910898</v>
      </c>
      <c r="E150" s="19" t="n">
        <v>1315.57793184482</v>
      </c>
      <c r="F150" s="19" t="n">
        <v>1396.4580187978</v>
      </c>
      <c r="G150" s="19" t="n">
        <v>1452.57621131845</v>
      </c>
      <c r="H150" s="19" t="n">
        <v>7034.87714930422</v>
      </c>
      <c r="I150" s="19" t="n">
        <v>11828.3549872986</v>
      </c>
      <c r="J150" s="19" t="n">
        <v>12730.4107062571</v>
      </c>
      <c r="K150" s="19" t="n">
        <v>13246.4557453522</v>
      </c>
      <c r="L150" s="19" t="n">
        <v>13842.6603369539</v>
      </c>
      <c r="M150" s="19" t="n">
        <v>14469.6695888759</v>
      </c>
      <c r="N150" s="19" t="n">
        <v>15133.0272164249</v>
      </c>
      <c r="O150" s="20" t="n">
        <v>15289.6103694797</v>
      </c>
      <c r="P150" s="21" t="n">
        <v>16134.4885401219</v>
      </c>
      <c r="Q150" s="21" t="n">
        <v>17038.1068574603</v>
      </c>
      <c r="R150" s="21" t="n">
        <v>17852.6270562408</v>
      </c>
      <c r="S150" s="21" t="n">
        <v>18824.1801296109</v>
      </c>
      <c r="T150" s="21" t="n">
        <v>19227.8650838852</v>
      </c>
      <c r="U150" s="21" t="n">
        <v>19421.2194173969</v>
      </c>
      <c r="V150" s="21" t="n">
        <v>19599.5822253663</v>
      </c>
      <c r="W150" s="21" t="n">
        <v>19628.1631632294</v>
      </c>
      <c r="X150" s="21" t="n">
        <v>19884.5287849463</v>
      </c>
      <c r="Y150" s="0"/>
      <c r="Z150" s="0"/>
      <c r="AA150" s="0"/>
      <c r="AB150" s="0"/>
      <c r="AC150" s="0"/>
      <c r="AD150" s="0"/>
      <c r="AE150" s="0"/>
      <c r="AF150" s="0"/>
      <c r="AG150" s="0"/>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c r="BY150" s="29"/>
      <c r="BZ150" s="29"/>
      <c r="CA150" s="29"/>
      <c r="CB150" s="29"/>
      <c r="CC150" s="29"/>
      <c r="CD150" s="29"/>
      <c r="CE150" s="29"/>
      <c r="CF150" s="29"/>
      <c r="CG150" s="29"/>
      <c r="CH150" s="29"/>
      <c r="CI150" s="29"/>
      <c r="CJ150" s="29"/>
      <c r="CK150" s="29"/>
      <c r="CL150" s="29"/>
      <c r="CM150" s="29"/>
      <c r="CN150" s="29"/>
      <c r="CO150" s="29"/>
      <c r="CP150" s="29"/>
      <c r="CQ150" s="29"/>
      <c r="CR150" s="29"/>
      <c r="CS150" s="29"/>
      <c r="CT150" s="29"/>
      <c r="CU150" s="29"/>
      <c r="CV150" s="29"/>
      <c r="CW150" s="29"/>
      <c r="CX150" s="29"/>
      <c r="CY150" s="29"/>
      <c r="CZ150" s="29"/>
      <c r="DA150" s="29"/>
      <c r="DB150" s="29"/>
      <c r="DC150" s="29"/>
      <c r="DD150" s="29"/>
      <c r="DE150" s="29"/>
      <c r="DF150" s="29"/>
      <c r="DG150" s="29"/>
      <c r="DH150" s="29"/>
      <c r="DI150" s="29"/>
      <c r="DJ150" s="29"/>
      <c r="DK150" s="29"/>
      <c r="DL150" s="29"/>
      <c r="DM150" s="29"/>
      <c r="DN150" s="29"/>
      <c r="DO150" s="29"/>
      <c r="DP150" s="29"/>
      <c r="DQ150" s="29"/>
      <c r="DR150" s="29"/>
      <c r="DS150" s="29"/>
      <c r="DT150" s="29"/>
      <c r="DU150" s="29"/>
      <c r="DV150" s="29"/>
      <c r="DW150" s="29"/>
      <c r="DX150" s="29"/>
      <c r="DY150" s="29"/>
      <c r="DZ150" s="29"/>
      <c r="EA150" s="29"/>
      <c r="EB150" s="29"/>
      <c r="EC150" s="29"/>
      <c r="ED150" s="29"/>
      <c r="EE150" s="29"/>
      <c r="EF150" s="29"/>
      <c r="EG150" s="29"/>
      <c r="EH150" s="29"/>
      <c r="EI150" s="29"/>
      <c r="EJ150" s="29"/>
      <c r="EK150" s="29"/>
      <c r="EL150" s="29"/>
      <c r="EM150" s="29"/>
      <c r="EN150" s="29"/>
      <c r="EO150" s="29"/>
      <c r="EP150" s="29"/>
      <c r="EQ150" s="29"/>
      <c r="ER150" s="29"/>
      <c r="ES150" s="29"/>
      <c r="ET150" s="29"/>
      <c r="EU150" s="29"/>
      <c r="EV150" s="29"/>
      <c r="EW150" s="29"/>
      <c r="EX150" s="29"/>
      <c r="EY150" s="29"/>
      <c r="EZ150" s="29"/>
      <c r="FA150" s="29"/>
      <c r="FB150" s="29"/>
      <c r="FC150" s="29"/>
      <c r="FD150" s="29"/>
      <c r="FE150" s="29"/>
      <c r="FF150" s="29"/>
      <c r="FG150" s="29"/>
      <c r="FH150" s="29"/>
      <c r="FI150" s="29"/>
      <c r="FJ150" s="29"/>
      <c r="FK150" s="29"/>
      <c r="FL150" s="29"/>
      <c r="FM150" s="29"/>
      <c r="FN150" s="29"/>
      <c r="FO150" s="29"/>
      <c r="FP150" s="29"/>
      <c r="FQ150" s="29"/>
      <c r="FR150" s="29"/>
      <c r="FS150" s="29"/>
      <c r="FT150" s="29"/>
      <c r="FU150" s="29"/>
      <c r="FV150" s="29"/>
      <c r="FW150" s="29"/>
      <c r="FX150" s="29"/>
      <c r="FY150" s="29"/>
      <c r="FZ150" s="29"/>
      <c r="GA150" s="29"/>
      <c r="GB150" s="29"/>
      <c r="GC150" s="29"/>
      <c r="GD150" s="29"/>
      <c r="GE150" s="29"/>
      <c r="GF150" s="29"/>
      <c r="GG150" s="29"/>
      <c r="GH150" s="29"/>
      <c r="GI150" s="29"/>
      <c r="GJ150" s="29"/>
      <c r="GK150" s="29"/>
      <c r="GL150" s="29"/>
      <c r="GM150" s="29"/>
      <c r="GN150" s="29"/>
      <c r="GO150" s="29"/>
      <c r="GP150" s="29"/>
      <c r="GQ150" s="29"/>
      <c r="GR150" s="29"/>
      <c r="GS150" s="29"/>
      <c r="GT150" s="29"/>
      <c r="GU150" s="29"/>
      <c r="GV150" s="29"/>
      <c r="GW150" s="29"/>
      <c r="GX150" s="29"/>
      <c r="GY150" s="29"/>
      <c r="GZ150" s="29"/>
      <c r="HA150" s="29"/>
      <c r="HB150" s="29"/>
      <c r="HC150" s="29"/>
      <c r="HD150" s="29"/>
      <c r="HE150" s="29"/>
      <c r="HF150" s="29"/>
      <c r="HG150" s="29"/>
      <c r="HH150" s="29"/>
      <c r="HI150" s="29"/>
      <c r="HJ150" s="29"/>
      <c r="HK150" s="29"/>
      <c r="HL150" s="29"/>
      <c r="HM150" s="29"/>
      <c r="HN150" s="29"/>
      <c r="HO150" s="29"/>
      <c r="HP150" s="29"/>
      <c r="HQ150" s="29"/>
      <c r="HR150" s="29"/>
      <c r="HS150" s="29"/>
      <c r="HT150" s="29"/>
      <c r="HU150" s="29"/>
      <c r="HV150" s="29"/>
      <c r="HW150" s="29"/>
      <c r="HX150" s="29"/>
      <c r="HY150" s="29"/>
      <c r="HZ150" s="29"/>
      <c r="IA150" s="29"/>
      <c r="IB150" s="29"/>
      <c r="IC150" s="29"/>
      <c r="ID150" s="29"/>
      <c r="IE150" s="29"/>
      <c r="IF150" s="29"/>
      <c r="IG150" s="29"/>
      <c r="IH150" s="29"/>
      <c r="II150" s="29"/>
      <c r="IJ150" s="29"/>
      <c r="IK150" s="29"/>
      <c r="IL150" s="29"/>
      <c r="IM150" s="29"/>
      <c r="IN150" s="29"/>
      <c r="IO150" s="29"/>
      <c r="IP150" s="29"/>
      <c r="IQ150" s="29"/>
      <c r="IR150" s="29"/>
      <c r="IS150" s="29"/>
      <c r="IT150" s="29"/>
      <c r="IU150" s="29"/>
      <c r="IV150" s="29"/>
      <c r="IW150" s="29"/>
    </row>
    <row r="151" customFormat="false" ht="12.75" hidden="false" customHeight="false" outlineLevel="1" collapsed="false">
      <c r="A151" s="22" t="s">
        <v>10</v>
      </c>
      <c r="B151" s="17" t="n">
        <f aca="false">NPV(0.1,D151:Y151)</f>
        <v>99135.2731081869</v>
      </c>
      <c r="C151" s="17" t="n">
        <f aca="false">B151-B141</f>
        <v>3078.12397901944</v>
      </c>
      <c r="D151" s="23" t="n">
        <v>2836.26377989661</v>
      </c>
      <c r="E151" s="24" t="n">
        <v>5515.15639220376</v>
      </c>
      <c r="F151" s="24" t="n">
        <v>4973.93760257486</v>
      </c>
      <c r="G151" s="24" t="n">
        <v>4932.70139527647</v>
      </c>
      <c r="H151" s="24" t="n">
        <v>14423.1514180632</v>
      </c>
      <c r="I151" s="24" t="n">
        <v>18497.5467283284</v>
      </c>
      <c r="J151" s="24" t="n">
        <v>12954.7267930351</v>
      </c>
      <c r="K151" s="24" t="n">
        <v>12822.6103245584</v>
      </c>
      <c r="L151" s="24" t="n">
        <v>12714.8962939153</v>
      </c>
      <c r="M151" s="24" t="n">
        <v>12595.5615707592</v>
      </c>
      <c r="N151" s="24" t="n">
        <v>12436.0725414915</v>
      </c>
      <c r="O151" s="25" t="n">
        <v>12822.6093056346</v>
      </c>
      <c r="P151" s="21" t="n">
        <v>11823.1515535153</v>
      </c>
      <c r="Q151" s="21" t="n">
        <v>11634.40048788</v>
      </c>
      <c r="R151" s="21" t="n">
        <v>16373.2501578373</v>
      </c>
      <c r="S151" s="21" t="n">
        <v>23607.128843409</v>
      </c>
      <c r="T151" s="21" t="n">
        <v>22299.2491055361</v>
      </c>
      <c r="U151" s="21" t="n">
        <v>22481.002277175</v>
      </c>
      <c r="V151" s="21" t="n">
        <v>22664.0886249341</v>
      </c>
      <c r="W151" s="21" t="n">
        <v>22795.4560602896</v>
      </c>
      <c r="X151" s="21" t="n">
        <v>22778.8868041584</v>
      </c>
      <c r="Y151" s="0"/>
      <c r="Z151" s="0"/>
      <c r="AA151" s="0"/>
      <c r="AB151" s="0"/>
      <c r="AC151" s="0"/>
      <c r="AD151" s="0"/>
      <c r="AE151" s="0"/>
      <c r="AF151" s="0"/>
      <c r="AG151" s="0"/>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c r="BT151" s="29"/>
      <c r="BU151" s="29"/>
      <c r="BV151" s="29"/>
      <c r="BW151" s="29"/>
      <c r="BX151" s="29"/>
      <c r="BY151" s="29"/>
      <c r="BZ151" s="29"/>
      <c r="CA151" s="29"/>
      <c r="CB151" s="29"/>
      <c r="CC151" s="29"/>
      <c r="CD151" s="29"/>
      <c r="CE151" s="29"/>
      <c r="CF151" s="29"/>
      <c r="CG151" s="29"/>
      <c r="CH151" s="29"/>
      <c r="CI151" s="29"/>
      <c r="CJ151" s="29"/>
      <c r="CK151" s="29"/>
      <c r="CL151" s="29"/>
      <c r="CM151" s="29"/>
      <c r="CN151" s="29"/>
      <c r="CO151" s="29"/>
      <c r="CP151" s="29"/>
      <c r="CQ151" s="29"/>
      <c r="CR151" s="29"/>
      <c r="CS151" s="29"/>
      <c r="CT151" s="29"/>
      <c r="CU151" s="29"/>
      <c r="CV151" s="29"/>
      <c r="CW151" s="29"/>
      <c r="CX151" s="29"/>
      <c r="CY151" s="29"/>
      <c r="CZ151" s="29"/>
      <c r="DA151" s="29"/>
      <c r="DB151" s="29"/>
      <c r="DC151" s="29"/>
      <c r="DD151" s="29"/>
      <c r="DE151" s="29"/>
      <c r="DF151" s="29"/>
      <c r="DG151" s="29"/>
      <c r="DH151" s="29"/>
      <c r="DI151" s="29"/>
      <c r="DJ151" s="29"/>
      <c r="DK151" s="29"/>
      <c r="DL151" s="29"/>
      <c r="DM151" s="29"/>
      <c r="DN151" s="29"/>
      <c r="DO151" s="29"/>
      <c r="DP151" s="29"/>
      <c r="DQ151" s="29"/>
      <c r="DR151" s="29"/>
      <c r="DS151" s="29"/>
      <c r="DT151" s="29"/>
      <c r="DU151" s="29"/>
      <c r="DV151" s="29"/>
      <c r="DW151" s="29"/>
      <c r="DX151" s="29"/>
      <c r="DY151" s="29"/>
      <c r="DZ151" s="29"/>
      <c r="EA151" s="29"/>
      <c r="EB151" s="29"/>
      <c r="EC151" s="29"/>
      <c r="ED151" s="29"/>
      <c r="EE151" s="29"/>
      <c r="EF151" s="29"/>
      <c r="EG151" s="29"/>
      <c r="EH151" s="29"/>
      <c r="EI151" s="29"/>
      <c r="EJ151" s="29"/>
      <c r="EK151" s="29"/>
      <c r="EL151" s="29"/>
      <c r="EM151" s="29"/>
      <c r="EN151" s="29"/>
      <c r="EO151" s="29"/>
      <c r="EP151" s="29"/>
      <c r="EQ151" s="29"/>
      <c r="ER151" s="29"/>
      <c r="ES151" s="29"/>
      <c r="ET151" s="29"/>
      <c r="EU151" s="29"/>
      <c r="EV151" s="29"/>
      <c r="EW151" s="29"/>
      <c r="EX151" s="29"/>
      <c r="EY151" s="29"/>
      <c r="EZ151" s="29"/>
      <c r="FA151" s="29"/>
      <c r="FB151" s="29"/>
      <c r="FC151" s="29"/>
      <c r="FD151" s="29"/>
      <c r="FE151" s="29"/>
      <c r="FF151" s="29"/>
      <c r="FG151" s="29"/>
      <c r="FH151" s="29"/>
      <c r="FI151" s="29"/>
      <c r="FJ151" s="29"/>
      <c r="FK151" s="29"/>
      <c r="FL151" s="29"/>
      <c r="FM151" s="29"/>
      <c r="FN151" s="29"/>
      <c r="FO151" s="29"/>
      <c r="FP151" s="29"/>
      <c r="FQ151" s="29"/>
      <c r="FR151" s="29"/>
      <c r="FS151" s="29"/>
      <c r="FT151" s="29"/>
      <c r="FU151" s="29"/>
      <c r="FV151" s="29"/>
      <c r="FW151" s="29"/>
      <c r="FX151" s="29"/>
      <c r="FY151" s="29"/>
      <c r="FZ151" s="29"/>
      <c r="GA151" s="29"/>
      <c r="GB151" s="29"/>
      <c r="GC151" s="29"/>
      <c r="GD151" s="29"/>
      <c r="GE151" s="29"/>
      <c r="GF151" s="29"/>
      <c r="GG151" s="29"/>
      <c r="GH151" s="29"/>
      <c r="GI151" s="29"/>
      <c r="GJ151" s="29"/>
      <c r="GK151" s="29"/>
      <c r="GL151" s="29"/>
      <c r="GM151" s="29"/>
      <c r="GN151" s="29"/>
      <c r="GO151" s="29"/>
      <c r="GP151" s="29"/>
      <c r="GQ151" s="29"/>
      <c r="GR151" s="29"/>
      <c r="GS151" s="29"/>
      <c r="GT151" s="29"/>
      <c r="GU151" s="29"/>
      <c r="GV151" s="29"/>
      <c r="GW151" s="29"/>
      <c r="GX151" s="29"/>
      <c r="GY151" s="29"/>
      <c r="GZ151" s="29"/>
      <c r="HA151" s="29"/>
      <c r="HB151" s="29"/>
      <c r="HC151" s="29"/>
      <c r="HD151" s="29"/>
      <c r="HE151" s="29"/>
      <c r="HF151" s="29"/>
      <c r="HG151" s="29"/>
      <c r="HH151" s="29"/>
      <c r="HI151" s="29"/>
      <c r="HJ151" s="29"/>
      <c r="HK151" s="29"/>
      <c r="HL151" s="29"/>
      <c r="HM151" s="29"/>
      <c r="HN151" s="29"/>
      <c r="HO151" s="29"/>
      <c r="HP151" s="29"/>
      <c r="HQ151" s="29"/>
      <c r="HR151" s="29"/>
      <c r="HS151" s="29"/>
      <c r="HT151" s="29"/>
      <c r="HU151" s="29"/>
      <c r="HV151" s="29"/>
      <c r="HW151" s="29"/>
      <c r="HX151" s="29"/>
      <c r="HY151" s="29"/>
      <c r="HZ151" s="29"/>
      <c r="IA151" s="29"/>
      <c r="IB151" s="29"/>
      <c r="IC151" s="29"/>
      <c r="ID151" s="29"/>
      <c r="IE151" s="29"/>
      <c r="IF151" s="29"/>
      <c r="IG151" s="29"/>
      <c r="IH151" s="29"/>
      <c r="II151" s="29"/>
      <c r="IJ151" s="29"/>
      <c r="IK151" s="29"/>
      <c r="IL151" s="29"/>
      <c r="IM151" s="29"/>
      <c r="IN151" s="29"/>
      <c r="IO151" s="29"/>
      <c r="IP151" s="29"/>
      <c r="IQ151" s="29"/>
      <c r="IR151" s="29"/>
      <c r="IS151" s="29"/>
      <c r="IT151" s="29"/>
      <c r="IU151" s="29"/>
      <c r="IV151" s="29"/>
      <c r="IW151" s="29"/>
    </row>
    <row r="152" customFormat="false" ht="12.75" hidden="false" customHeight="false" outlineLevel="1" collapsed="false">
      <c r="A152" s="5"/>
      <c r="B152" s="5"/>
      <c r="C152" s="5"/>
      <c r="D152" s="0"/>
      <c r="E152" s="0"/>
      <c r="F152" s="0"/>
      <c r="G152" s="0"/>
      <c r="H152" s="0"/>
      <c r="I152" s="0"/>
      <c r="J152" s="0"/>
      <c r="K152" s="0"/>
      <c r="L152" s="0"/>
      <c r="M152" s="0"/>
      <c r="N152" s="0"/>
      <c r="O152" s="0"/>
      <c r="P152" s="0"/>
      <c r="Q152" s="0"/>
      <c r="R152" s="0"/>
      <c r="S152" s="0"/>
      <c r="T152" s="0"/>
      <c r="U152" s="0"/>
      <c r="V152" s="0"/>
      <c r="W152" s="0"/>
      <c r="X152" s="0"/>
      <c r="Y152" s="0"/>
      <c r="Z152" s="0"/>
      <c r="AA152" s="0"/>
      <c r="AB152" s="0"/>
      <c r="AC152" s="0"/>
      <c r="AD152" s="0"/>
      <c r="AE152" s="0"/>
      <c r="AF152" s="0"/>
      <c r="AG152" s="0"/>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c r="BS152" s="29"/>
      <c r="BT152" s="29"/>
      <c r="BU152" s="29"/>
      <c r="BV152" s="29"/>
      <c r="BW152" s="29"/>
      <c r="BX152" s="29"/>
      <c r="BY152" s="29"/>
      <c r="BZ152" s="29"/>
      <c r="CA152" s="29"/>
      <c r="CB152" s="29"/>
      <c r="CC152" s="29"/>
      <c r="CD152" s="29"/>
      <c r="CE152" s="29"/>
      <c r="CF152" s="29"/>
      <c r="CG152" s="29"/>
      <c r="CH152" s="29"/>
      <c r="CI152" s="29"/>
      <c r="CJ152" s="29"/>
      <c r="CK152" s="29"/>
      <c r="CL152" s="29"/>
      <c r="CM152" s="29"/>
      <c r="CN152" s="29"/>
      <c r="CO152" s="29"/>
      <c r="CP152" s="29"/>
      <c r="CQ152" s="29"/>
      <c r="CR152" s="29"/>
      <c r="CS152" s="29"/>
      <c r="CT152" s="29"/>
      <c r="CU152" s="29"/>
      <c r="CV152" s="29"/>
      <c r="CW152" s="29"/>
      <c r="CX152" s="29"/>
      <c r="CY152" s="29"/>
      <c r="CZ152" s="29"/>
      <c r="DA152" s="29"/>
      <c r="DB152" s="29"/>
      <c r="DC152" s="29"/>
      <c r="DD152" s="29"/>
      <c r="DE152" s="29"/>
      <c r="DF152" s="29"/>
      <c r="DG152" s="29"/>
      <c r="DH152" s="29"/>
      <c r="DI152" s="29"/>
      <c r="DJ152" s="29"/>
      <c r="DK152" s="29"/>
      <c r="DL152" s="29"/>
      <c r="DM152" s="29"/>
      <c r="DN152" s="29"/>
      <c r="DO152" s="29"/>
      <c r="DP152" s="29"/>
      <c r="DQ152" s="29"/>
      <c r="DR152" s="29"/>
      <c r="DS152" s="29"/>
      <c r="DT152" s="29"/>
      <c r="DU152" s="29"/>
      <c r="DV152" s="29"/>
      <c r="DW152" s="29"/>
      <c r="DX152" s="29"/>
      <c r="DY152" s="29"/>
      <c r="DZ152" s="29"/>
      <c r="EA152" s="29"/>
      <c r="EB152" s="29"/>
      <c r="EC152" s="29"/>
      <c r="ED152" s="29"/>
      <c r="EE152" s="29"/>
      <c r="EF152" s="29"/>
      <c r="EG152" s="29"/>
      <c r="EH152" s="29"/>
      <c r="EI152" s="29"/>
      <c r="EJ152" s="29"/>
      <c r="EK152" s="29"/>
      <c r="EL152" s="29"/>
      <c r="EM152" s="29"/>
      <c r="EN152" s="29"/>
      <c r="EO152" s="29"/>
      <c r="EP152" s="29"/>
      <c r="EQ152" s="29"/>
      <c r="ER152" s="29"/>
      <c r="ES152" s="29"/>
      <c r="ET152" s="29"/>
      <c r="EU152" s="29"/>
      <c r="EV152" s="29"/>
      <c r="EW152" s="29"/>
      <c r="EX152" s="29"/>
      <c r="EY152" s="29"/>
      <c r="EZ152" s="29"/>
      <c r="FA152" s="29"/>
      <c r="FB152" s="29"/>
      <c r="FC152" s="29"/>
      <c r="FD152" s="29"/>
      <c r="FE152" s="29"/>
      <c r="FF152" s="29"/>
      <c r="FG152" s="29"/>
      <c r="FH152" s="29"/>
      <c r="FI152" s="29"/>
      <c r="FJ152" s="29"/>
      <c r="FK152" s="29"/>
      <c r="FL152" s="29"/>
      <c r="FM152" s="29"/>
      <c r="FN152" s="29"/>
      <c r="FO152" s="29"/>
      <c r="FP152" s="29"/>
      <c r="FQ152" s="29"/>
      <c r="FR152" s="29"/>
      <c r="FS152" s="29"/>
      <c r="FT152" s="29"/>
      <c r="FU152" s="29"/>
      <c r="FV152" s="29"/>
      <c r="FW152" s="29"/>
      <c r="FX152" s="29"/>
      <c r="FY152" s="29"/>
      <c r="FZ152" s="29"/>
      <c r="GA152" s="29"/>
      <c r="GB152" s="29"/>
      <c r="GC152" s="29"/>
      <c r="GD152" s="29"/>
      <c r="GE152" s="29"/>
      <c r="GF152" s="29"/>
      <c r="GG152" s="29"/>
      <c r="GH152" s="29"/>
      <c r="GI152" s="29"/>
      <c r="GJ152" s="29"/>
      <c r="GK152" s="29"/>
      <c r="GL152" s="29"/>
      <c r="GM152" s="29"/>
      <c r="GN152" s="29"/>
      <c r="GO152" s="29"/>
      <c r="GP152" s="29"/>
      <c r="GQ152" s="29"/>
      <c r="GR152" s="29"/>
      <c r="GS152" s="29"/>
      <c r="GT152" s="29"/>
      <c r="GU152" s="29"/>
      <c r="GV152" s="29"/>
      <c r="GW152" s="29"/>
      <c r="GX152" s="29"/>
      <c r="GY152" s="29"/>
      <c r="GZ152" s="29"/>
      <c r="HA152" s="29"/>
      <c r="HB152" s="29"/>
      <c r="HC152" s="29"/>
      <c r="HD152" s="29"/>
      <c r="HE152" s="29"/>
      <c r="HF152" s="29"/>
      <c r="HG152" s="29"/>
      <c r="HH152" s="29"/>
      <c r="HI152" s="29"/>
      <c r="HJ152" s="29"/>
      <c r="HK152" s="29"/>
      <c r="HL152" s="29"/>
      <c r="HM152" s="29"/>
      <c r="HN152" s="29"/>
      <c r="HO152" s="29"/>
      <c r="HP152" s="29"/>
      <c r="HQ152" s="29"/>
      <c r="HR152" s="29"/>
      <c r="HS152" s="29"/>
      <c r="HT152" s="29"/>
      <c r="HU152" s="29"/>
      <c r="HV152" s="29"/>
      <c r="HW152" s="29"/>
      <c r="HX152" s="29"/>
      <c r="HY152" s="29"/>
      <c r="HZ152" s="29"/>
      <c r="IA152" s="29"/>
      <c r="IB152" s="29"/>
      <c r="IC152" s="29"/>
      <c r="ID152" s="29"/>
      <c r="IE152" s="29"/>
      <c r="IF152" s="29"/>
      <c r="IG152" s="29"/>
      <c r="IH152" s="29"/>
      <c r="II152" s="29"/>
      <c r="IJ152" s="29"/>
      <c r="IK152" s="29"/>
      <c r="IL152" s="29"/>
      <c r="IM152" s="29"/>
      <c r="IN152" s="29"/>
      <c r="IO152" s="29"/>
      <c r="IP152" s="29"/>
      <c r="IQ152" s="29"/>
      <c r="IR152" s="29"/>
      <c r="IS152" s="29"/>
      <c r="IT152" s="29"/>
      <c r="IU152" s="29"/>
      <c r="IV152" s="29"/>
      <c r="IW152" s="29"/>
    </row>
    <row r="153" customFormat="false" ht="12.75" hidden="false" customHeight="false" outlineLevel="1" collapsed="false">
      <c r="A153" s="26" t="s">
        <v>27</v>
      </c>
      <c r="B153" s="5"/>
      <c r="C153" s="5"/>
      <c r="D153" s="0"/>
      <c r="E153" s="0"/>
      <c r="F153" s="0"/>
      <c r="G153" s="0"/>
      <c r="H153" s="0"/>
      <c r="I153" s="0"/>
      <c r="J153" s="0"/>
      <c r="K153" s="0"/>
      <c r="L153" s="0"/>
      <c r="M153" s="0"/>
      <c r="N153" s="0"/>
      <c r="O153" s="0"/>
      <c r="P153" s="0"/>
      <c r="Q153" s="0"/>
      <c r="R153" s="0"/>
      <c r="S153" s="0"/>
      <c r="T153" s="0"/>
      <c r="U153" s="0"/>
      <c r="V153" s="0"/>
      <c r="W153" s="0"/>
      <c r="X153" s="0"/>
      <c r="Y153" s="0"/>
      <c r="Z153" s="0"/>
      <c r="AA153" s="0"/>
      <c r="AB153" s="0"/>
      <c r="AC153" s="0"/>
      <c r="AD153" s="0"/>
      <c r="AE153" s="0"/>
      <c r="AF153" s="0"/>
      <c r="AG153" s="0"/>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c r="CB153" s="29"/>
      <c r="CC153" s="29"/>
      <c r="CD153" s="29"/>
      <c r="CE153" s="29"/>
      <c r="CF153" s="29"/>
      <c r="CG153" s="29"/>
      <c r="CH153" s="29"/>
      <c r="CI153" s="29"/>
      <c r="CJ153" s="29"/>
      <c r="CK153" s="29"/>
      <c r="CL153" s="29"/>
      <c r="CM153" s="29"/>
      <c r="CN153" s="29"/>
      <c r="CO153" s="29"/>
      <c r="CP153" s="29"/>
      <c r="CQ153" s="29"/>
      <c r="CR153" s="29"/>
      <c r="CS153" s="29"/>
      <c r="CT153" s="29"/>
      <c r="CU153" s="29"/>
      <c r="CV153" s="29"/>
      <c r="CW153" s="29"/>
      <c r="CX153" s="29"/>
      <c r="CY153" s="29"/>
      <c r="CZ153" s="29"/>
      <c r="DA153" s="29"/>
      <c r="DB153" s="29"/>
      <c r="DC153" s="29"/>
      <c r="DD153" s="29"/>
      <c r="DE153" s="29"/>
      <c r="DF153" s="29"/>
      <c r="DG153" s="29"/>
      <c r="DH153" s="29"/>
      <c r="DI153" s="29"/>
      <c r="DJ153" s="29"/>
      <c r="DK153" s="29"/>
      <c r="DL153" s="29"/>
      <c r="DM153" s="29"/>
      <c r="DN153" s="29"/>
      <c r="DO153" s="29"/>
      <c r="DP153" s="29"/>
      <c r="DQ153" s="29"/>
      <c r="DR153" s="29"/>
      <c r="DS153" s="29"/>
      <c r="DT153" s="29"/>
      <c r="DU153" s="29"/>
      <c r="DV153" s="29"/>
      <c r="DW153" s="29"/>
      <c r="DX153" s="29"/>
      <c r="DY153" s="29"/>
      <c r="DZ153" s="29"/>
      <c r="EA153" s="29"/>
      <c r="EB153" s="29"/>
      <c r="EC153" s="29"/>
      <c r="ED153" s="29"/>
      <c r="EE153" s="29"/>
      <c r="EF153" s="29"/>
      <c r="EG153" s="29"/>
      <c r="EH153" s="29"/>
      <c r="EI153" s="29"/>
      <c r="EJ153" s="29"/>
      <c r="EK153" s="29"/>
      <c r="EL153" s="29"/>
      <c r="EM153" s="29"/>
      <c r="EN153" s="29"/>
      <c r="EO153" s="29"/>
      <c r="EP153" s="29"/>
      <c r="EQ153" s="29"/>
      <c r="ER153" s="29"/>
      <c r="ES153" s="29"/>
      <c r="ET153" s="29"/>
      <c r="EU153" s="29"/>
      <c r="EV153" s="29"/>
      <c r="EW153" s="29"/>
      <c r="EX153" s="29"/>
      <c r="EY153" s="29"/>
      <c r="EZ153" s="29"/>
      <c r="FA153" s="29"/>
      <c r="FB153" s="29"/>
      <c r="FC153" s="29"/>
      <c r="FD153" s="29"/>
      <c r="FE153" s="29"/>
      <c r="FF153" s="29"/>
      <c r="FG153" s="29"/>
      <c r="FH153" s="29"/>
      <c r="FI153" s="29"/>
      <c r="FJ153" s="29"/>
      <c r="FK153" s="29"/>
      <c r="FL153" s="29"/>
      <c r="FM153" s="29"/>
      <c r="FN153" s="29"/>
      <c r="FO153" s="29"/>
      <c r="FP153" s="29"/>
      <c r="FQ153" s="29"/>
      <c r="FR153" s="29"/>
      <c r="FS153" s="29"/>
      <c r="FT153" s="29"/>
      <c r="FU153" s="29"/>
      <c r="FV153" s="29"/>
      <c r="FW153" s="29"/>
      <c r="FX153" s="29"/>
      <c r="FY153" s="29"/>
      <c r="FZ153" s="29"/>
      <c r="GA153" s="29"/>
      <c r="GB153" s="29"/>
      <c r="GC153" s="29"/>
      <c r="GD153" s="29"/>
      <c r="GE153" s="29"/>
      <c r="GF153" s="29"/>
      <c r="GG153" s="29"/>
      <c r="GH153" s="29"/>
      <c r="GI153" s="29"/>
      <c r="GJ153" s="29"/>
      <c r="GK153" s="29"/>
      <c r="GL153" s="29"/>
      <c r="GM153" s="29"/>
      <c r="GN153" s="29"/>
      <c r="GO153" s="29"/>
      <c r="GP153" s="29"/>
      <c r="GQ153" s="29"/>
      <c r="GR153" s="29"/>
      <c r="GS153" s="29"/>
      <c r="GT153" s="29"/>
      <c r="GU153" s="29"/>
      <c r="GV153" s="29"/>
      <c r="GW153" s="29"/>
      <c r="GX153" s="29"/>
      <c r="GY153" s="29"/>
      <c r="GZ153" s="29"/>
      <c r="HA153" s="29"/>
      <c r="HB153" s="29"/>
      <c r="HC153" s="29"/>
      <c r="HD153" s="29"/>
      <c r="HE153" s="29"/>
      <c r="HF153" s="29"/>
      <c r="HG153" s="29"/>
      <c r="HH153" s="29"/>
      <c r="HI153" s="29"/>
      <c r="HJ153" s="29"/>
      <c r="HK153" s="29"/>
      <c r="HL153" s="29"/>
      <c r="HM153" s="29"/>
      <c r="HN153" s="29"/>
      <c r="HO153" s="29"/>
      <c r="HP153" s="29"/>
      <c r="HQ153" s="29"/>
      <c r="HR153" s="29"/>
      <c r="HS153" s="29"/>
      <c r="HT153" s="29"/>
      <c r="HU153" s="29"/>
      <c r="HV153" s="29"/>
      <c r="HW153" s="29"/>
      <c r="HX153" s="29"/>
      <c r="HY153" s="29"/>
      <c r="HZ153" s="29"/>
      <c r="IA153" s="29"/>
      <c r="IB153" s="29"/>
      <c r="IC153" s="29"/>
      <c r="ID153" s="29"/>
      <c r="IE153" s="29"/>
      <c r="IF153" s="29"/>
      <c r="IG153" s="29"/>
      <c r="IH153" s="29"/>
      <c r="II153" s="29"/>
      <c r="IJ153" s="29"/>
      <c r="IK153" s="29"/>
      <c r="IL153" s="29"/>
      <c r="IM153" s="29"/>
      <c r="IN153" s="29"/>
      <c r="IO153" s="29"/>
      <c r="IP153" s="29"/>
      <c r="IQ153" s="29"/>
      <c r="IR153" s="29"/>
      <c r="IS153" s="29"/>
      <c r="IT153" s="29"/>
      <c r="IU153" s="29"/>
      <c r="IV153" s="29"/>
      <c r="IW153" s="29"/>
    </row>
    <row r="154" customFormat="false" ht="12.75" hidden="false" customHeight="false" outlineLevel="1" collapsed="false">
      <c r="A154" s="28" t="n">
        <v>36248</v>
      </c>
      <c r="B154" s="5"/>
      <c r="C154" s="5"/>
      <c r="D154" s="0"/>
      <c r="E154" s="0"/>
      <c r="F154" s="0"/>
      <c r="G154" s="0"/>
      <c r="H154" s="0"/>
      <c r="I154" s="0"/>
      <c r="J154" s="0"/>
      <c r="K154" s="0"/>
      <c r="L154" s="0"/>
      <c r="M154" s="0"/>
      <c r="N154" s="0"/>
      <c r="O154" s="0"/>
      <c r="P154" s="0"/>
      <c r="Q154" s="0"/>
      <c r="R154" s="0"/>
      <c r="S154" s="0"/>
      <c r="T154" s="0"/>
      <c r="U154" s="0"/>
      <c r="V154" s="0"/>
      <c r="W154" s="0"/>
      <c r="X154" s="0"/>
      <c r="Y154" s="0"/>
      <c r="Z154" s="0"/>
      <c r="AA154" s="0"/>
      <c r="AB154" s="0"/>
      <c r="AC154" s="0"/>
      <c r="AD154" s="0"/>
      <c r="AE154" s="0"/>
      <c r="AF154" s="0"/>
      <c r="AG154" s="0"/>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c r="CB154" s="29"/>
      <c r="CC154" s="29"/>
      <c r="CD154" s="29"/>
      <c r="CE154" s="29"/>
      <c r="CF154" s="29"/>
      <c r="CG154" s="29"/>
      <c r="CH154" s="29"/>
      <c r="CI154" s="29"/>
      <c r="CJ154" s="29"/>
      <c r="CK154" s="29"/>
      <c r="CL154" s="29"/>
      <c r="CM154" s="29"/>
      <c r="CN154" s="29"/>
      <c r="CO154" s="29"/>
      <c r="CP154" s="29"/>
      <c r="CQ154" s="29"/>
      <c r="CR154" s="29"/>
      <c r="CS154" s="29"/>
      <c r="CT154" s="29"/>
      <c r="CU154" s="29"/>
      <c r="CV154" s="29"/>
      <c r="CW154" s="29"/>
      <c r="CX154" s="29"/>
      <c r="CY154" s="29"/>
      <c r="CZ154" s="29"/>
      <c r="DA154" s="29"/>
      <c r="DB154" s="29"/>
      <c r="DC154" s="29"/>
      <c r="DD154" s="29"/>
      <c r="DE154" s="29"/>
      <c r="DF154" s="29"/>
      <c r="DG154" s="29"/>
      <c r="DH154" s="29"/>
      <c r="DI154" s="29"/>
      <c r="DJ154" s="29"/>
      <c r="DK154" s="29"/>
      <c r="DL154" s="29"/>
      <c r="DM154" s="29"/>
      <c r="DN154" s="29"/>
      <c r="DO154" s="29"/>
      <c r="DP154" s="29"/>
      <c r="DQ154" s="29"/>
      <c r="DR154" s="29"/>
      <c r="DS154" s="29"/>
      <c r="DT154" s="29"/>
      <c r="DU154" s="29"/>
      <c r="DV154" s="29"/>
      <c r="DW154" s="29"/>
      <c r="DX154" s="29"/>
      <c r="DY154" s="29"/>
      <c r="DZ154" s="29"/>
      <c r="EA154" s="29"/>
      <c r="EB154" s="29"/>
      <c r="EC154" s="29"/>
      <c r="ED154" s="29"/>
      <c r="EE154" s="29"/>
      <c r="EF154" s="29"/>
      <c r="EG154" s="29"/>
      <c r="EH154" s="29"/>
      <c r="EI154" s="29"/>
      <c r="EJ154" s="29"/>
      <c r="EK154" s="29"/>
      <c r="EL154" s="29"/>
      <c r="EM154" s="29"/>
      <c r="EN154" s="29"/>
      <c r="EO154" s="29"/>
      <c r="EP154" s="29"/>
      <c r="EQ154" s="29"/>
      <c r="ER154" s="29"/>
      <c r="ES154" s="29"/>
      <c r="ET154" s="29"/>
      <c r="EU154" s="29"/>
      <c r="EV154" s="29"/>
      <c r="EW154" s="29"/>
      <c r="EX154" s="29"/>
      <c r="EY154" s="29"/>
      <c r="EZ154" s="29"/>
      <c r="FA154" s="29"/>
      <c r="FB154" s="29"/>
      <c r="FC154" s="29"/>
      <c r="FD154" s="29"/>
      <c r="FE154" s="29"/>
      <c r="FF154" s="29"/>
      <c r="FG154" s="29"/>
      <c r="FH154" s="29"/>
      <c r="FI154" s="29"/>
      <c r="FJ154" s="29"/>
      <c r="FK154" s="29"/>
      <c r="FL154" s="29"/>
      <c r="FM154" s="29"/>
      <c r="FN154" s="29"/>
      <c r="FO154" s="29"/>
      <c r="FP154" s="29"/>
      <c r="FQ154" s="29"/>
      <c r="FR154" s="29"/>
      <c r="FS154" s="29"/>
      <c r="FT154" s="29"/>
      <c r="FU154" s="29"/>
      <c r="FV154" s="29"/>
      <c r="FW154" s="29"/>
      <c r="FX154" s="29"/>
      <c r="FY154" s="29"/>
      <c r="FZ154" s="29"/>
      <c r="GA154" s="29"/>
      <c r="GB154" s="29"/>
      <c r="GC154" s="29"/>
      <c r="GD154" s="29"/>
      <c r="GE154" s="29"/>
      <c r="GF154" s="29"/>
      <c r="GG154" s="29"/>
      <c r="GH154" s="29"/>
      <c r="GI154" s="29"/>
      <c r="GJ154" s="29"/>
      <c r="GK154" s="29"/>
      <c r="GL154" s="29"/>
      <c r="GM154" s="29"/>
      <c r="GN154" s="29"/>
      <c r="GO154" s="29"/>
      <c r="GP154" s="29"/>
      <c r="GQ154" s="29"/>
      <c r="GR154" s="29"/>
      <c r="GS154" s="29"/>
      <c r="GT154" s="29"/>
      <c r="GU154" s="29"/>
      <c r="GV154" s="29"/>
      <c r="GW154" s="29"/>
      <c r="GX154" s="29"/>
      <c r="GY154" s="29"/>
      <c r="GZ154" s="29"/>
      <c r="HA154" s="29"/>
      <c r="HB154" s="29"/>
      <c r="HC154" s="29"/>
      <c r="HD154" s="29"/>
      <c r="HE154" s="29"/>
      <c r="HF154" s="29"/>
      <c r="HG154" s="29"/>
      <c r="HH154" s="29"/>
      <c r="HI154" s="29"/>
      <c r="HJ154" s="29"/>
      <c r="HK154" s="29"/>
      <c r="HL154" s="29"/>
      <c r="HM154" s="29"/>
      <c r="HN154" s="29"/>
      <c r="HO154" s="29"/>
      <c r="HP154" s="29"/>
      <c r="HQ154" s="29"/>
      <c r="HR154" s="29"/>
      <c r="HS154" s="29"/>
      <c r="HT154" s="29"/>
      <c r="HU154" s="29"/>
      <c r="HV154" s="29"/>
      <c r="HW154" s="29"/>
      <c r="HX154" s="29"/>
      <c r="HY154" s="29"/>
      <c r="HZ154" s="29"/>
      <c r="IA154" s="29"/>
      <c r="IB154" s="29"/>
      <c r="IC154" s="29"/>
      <c r="ID154" s="29"/>
      <c r="IE154" s="29"/>
      <c r="IF154" s="29"/>
      <c r="IG154" s="29"/>
      <c r="IH154" s="29"/>
      <c r="II154" s="29"/>
      <c r="IJ154" s="29"/>
      <c r="IK154" s="29"/>
      <c r="IL154" s="29"/>
      <c r="IM154" s="29"/>
      <c r="IN154" s="29"/>
      <c r="IO154" s="29"/>
      <c r="IP154" s="29"/>
      <c r="IQ154" s="29"/>
      <c r="IR154" s="29"/>
      <c r="IS154" s="29"/>
      <c r="IT154" s="29"/>
      <c r="IU154" s="29"/>
      <c r="IV154" s="29"/>
      <c r="IW154" s="29"/>
    </row>
    <row r="155" customFormat="false" ht="12.75" hidden="false" customHeight="false" outlineLevel="1" collapsed="false">
      <c r="A155" s="7" t="s">
        <v>2</v>
      </c>
      <c r="B155" s="8" t="n">
        <v>31612.3839254419</v>
      </c>
      <c r="C155" s="5" t="s">
        <v>14</v>
      </c>
      <c r="D155" s="0"/>
      <c r="E155" s="0"/>
      <c r="F155" s="0"/>
      <c r="G155" s="0"/>
      <c r="H155" s="0"/>
      <c r="I155" s="0"/>
      <c r="J155" s="0"/>
      <c r="K155" s="0"/>
      <c r="L155" s="0"/>
      <c r="M155" s="0"/>
      <c r="N155" s="0"/>
      <c r="O155" s="0"/>
      <c r="P155" s="0"/>
      <c r="Q155" s="0"/>
      <c r="R155" s="0"/>
      <c r="S155" s="0"/>
      <c r="T155" s="0"/>
      <c r="U155" s="0"/>
      <c r="V155" s="0"/>
      <c r="W155" s="0"/>
      <c r="X155" s="0"/>
      <c r="Y155" s="0"/>
      <c r="Z155" s="0"/>
      <c r="AA155" s="0"/>
      <c r="AB155" s="0"/>
      <c r="AC155" s="0"/>
      <c r="AD155" s="0"/>
      <c r="AE155" s="0"/>
      <c r="AF155" s="0"/>
      <c r="AG155" s="0"/>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29"/>
      <c r="CC155" s="29"/>
      <c r="CD155" s="29"/>
      <c r="CE155" s="29"/>
      <c r="CF155" s="29"/>
      <c r="CG155" s="29"/>
      <c r="CH155" s="29"/>
      <c r="CI155" s="29"/>
      <c r="CJ155" s="29"/>
      <c r="CK155" s="29"/>
      <c r="CL155" s="29"/>
      <c r="CM155" s="29"/>
      <c r="CN155" s="29"/>
      <c r="CO155" s="29"/>
      <c r="CP155" s="29"/>
      <c r="CQ155" s="29"/>
      <c r="CR155" s="29"/>
      <c r="CS155" s="29"/>
      <c r="CT155" s="29"/>
      <c r="CU155" s="29"/>
      <c r="CV155" s="29"/>
      <c r="CW155" s="29"/>
      <c r="CX155" s="29"/>
      <c r="CY155" s="29"/>
      <c r="CZ155" s="29"/>
      <c r="DA155" s="29"/>
      <c r="DB155" s="29"/>
      <c r="DC155" s="29"/>
      <c r="DD155" s="29"/>
      <c r="DE155" s="29"/>
      <c r="DF155" s="29"/>
      <c r="DG155" s="29"/>
      <c r="DH155" s="29"/>
      <c r="DI155" s="29"/>
      <c r="DJ155" s="29"/>
      <c r="DK155" s="29"/>
      <c r="DL155" s="29"/>
      <c r="DM155" s="29"/>
      <c r="DN155" s="29"/>
      <c r="DO155" s="29"/>
      <c r="DP155" s="29"/>
      <c r="DQ155" s="29"/>
      <c r="DR155" s="29"/>
      <c r="DS155" s="29"/>
      <c r="DT155" s="29"/>
      <c r="DU155" s="29"/>
      <c r="DV155" s="29"/>
      <c r="DW155" s="29"/>
      <c r="DX155" s="29"/>
      <c r="DY155" s="29"/>
      <c r="DZ155" s="29"/>
      <c r="EA155" s="29"/>
      <c r="EB155" s="29"/>
      <c r="EC155" s="29"/>
      <c r="ED155" s="29"/>
      <c r="EE155" s="29"/>
      <c r="EF155" s="29"/>
      <c r="EG155" s="29"/>
      <c r="EH155" s="29"/>
      <c r="EI155" s="29"/>
      <c r="EJ155" s="29"/>
      <c r="EK155" s="29"/>
      <c r="EL155" s="29"/>
      <c r="EM155" s="29"/>
      <c r="EN155" s="29"/>
      <c r="EO155" s="29"/>
      <c r="EP155" s="29"/>
      <c r="EQ155" s="29"/>
      <c r="ER155" s="29"/>
      <c r="ES155" s="29"/>
      <c r="ET155" s="29"/>
      <c r="EU155" s="29"/>
      <c r="EV155" s="29"/>
      <c r="EW155" s="29"/>
      <c r="EX155" s="29"/>
      <c r="EY155" s="29"/>
      <c r="EZ155" s="29"/>
      <c r="FA155" s="29"/>
      <c r="FB155" s="29"/>
      <c r="FC155" s="29"/>
      <c r="FD155" s="29"/>
      <c r="FE155" s="29"/>
      <c r="FF155" s="29"/>
      <c r="FG155" s="29"/>
      <c r="FH155" s="29"/>
      <c r="FI155" s="29"/>
      <c r="FJ155" s="29"/>
      <c r="FK155" s="29"/>
      <c r="FL155" s="29"/>
      <c r="FM155" s="29"/>
      <c r="FN155" s="29"/>
      <c r="FO155" s="29"/>
      <c r="FP155" s="29"/>
      <c r="FQ155" s="29"/>
      <c r="FR155" s="29"/>
      <c r="FS155" s="29"/>
      <c r="FT155" s="29"/>
      <c r="FU155" s="29"/>
      <c r="FV155" s="29"/>
      <c r="FW155" s="29"/>
      <c r="FX155" s="29"/>
      <c r="FY155" s="29"/>
      <c r="FZ155" s="29"/>
      <c r="GA155" s="29"/>
      <c r="GB155" s="29"/>
      <c r="GC155" s="29"/>
      <c r="GD155" s="29"/>
      <c r="GE155" s="29"/>
      <c r="GF155" s="29"/>
      <c r="GG155" s="29"/>
      <c r="GH155" s="29"/>
      <c r="GI155" s="29"/>
      <c r="GJ155" s="29"/>
      <c r="GK155" s="29"/>
      <c r="GL155" s="29"/>
      <c r="GM155" s="29"/>
      <c r="GN155" s="29"/>
      <c r="GO155" s="29"/>
      <c r="GP155" s="29"/>
      <c r="GQ155" s="29"/>
      <c r="GR155" s="29"/>
      <c r="GS155" s="29"/>
      <c r="GT155" s="29"/>
      <c r="GU155" s="29"/>
      <c r="GV155" s="29"/>
      <c r="GW155" s="29"/>
      <c r="GX155" s="29"/>
      <c r="GY155" s="29"/>
      <c r="GZ155" s="29"/>
      <c r="HA155" s="29"/>
      <c r="HB155" s="29"/>
      <c r="HC155" s="29"/>
      <c r="HD155" s="29"/>
      <c r="HE155" s="29"/>
      <c r="HF155" s="29"/>
      <c r="HG155" s="29"/>
      <c r="HH155" s="29"/>
      <c r="HI155" s="29"/>
      <c r="HJ155" s="29"/>
      <c r="HK155" s="29"/>
      <c r="HL155" s="29"/>
      <c r="HM155" s="29"/>
      <c r="HN155" s="29"/>
      <c r="HO155" s="29"/>
      <c r="HP155" s="29"/>
      <c r="HQ155" s="29"/>
      <c r="HR155" s="29"/>
      <c r="HS155" s="29"/>
      <c r="HT155" s="29"/>
      <c r="HU155" s="29"/>
      <c r="HV155" s="29"/>
      <c r="HW155" s="29"/>
      <c r="HX155" s="29"/>
      <c r="HY155" s="29"/>
      <c r="HZ155" s="29"/>
      <c r="IA155" s="29"/>
      <c r="IB155" s="29"/>
      <c r="IC155" s="29"/>
      <c r="ID155" s="29"/>
      <c r="IE155" s="29"/>
      <c r="IF155" s="29"/>
      <c r="IG155" s="29"/>
      <c r="IH155" s="29"/>
      <c r="II155" s="29"/>
      <c r="IJ155" s="29"/>
      <c r="IK155" s="29"/>
      <c r="IL155" s="29"/>
      <c r="IM155" s="29"/>
      <c r="IN155" s="29"/>
      <c r="IO155" s="29"/>
      <c r="IP155" s="29"/>
      <c r="IQ155" s="29"/>
      <c r="IR155" s="29"/>
      <c r="IS155" s="29"/>
      <c r="IT155" s="29"/>
      <c r="IU155" s="29"/>
      <c r="IV155" s="29"/>
      <c r="IW155" s="29"/>
    </row>
    <row r="156" customFormat="false" ht="12.75" hidden="false" customHeight="false" outlineLevel="1" collapsed="false">
      <c r="A156" s="9" t="s">
        <v>3</v>
      </c>
      <c r="B156" s="10" t="n">
        <v>66462.2061130684</v>
      </c>
      <c r="C156" s="5"/>
      <c r="D156" s="0"/>
      <c r="E156" s="0"/>
      <c r="F156" s="0"/>
      <c r="G156" s="0"/>
      <c r="H156" s="0"/>
      <c r="I156" s="0"/>
      <c r="J156" s="0"/>
      <c r="K156" s="0"/>
      <c r="L156" s="0"/>
      <c r="M156" s="0"/>
      <c r="N156" s="0"/>
      <c r="O156" s="0"/>
      <c r="P156" s="0"/>
      <c r="Q156" s="0"/>
      <c r="R156" s="0"/>
      <c r="S156" s="0"/>
      <c r="T156" s="0"/>
      <c r="U156" s="0"/>
      <c r="V156" s="0"/>
      <c r="W156" s="0"/>
      <c r="X156" s="0"/>
      <c r="Y156" s="0"/>
      <c r="Z156" s="0"/>
      <c r="AA156" s="0"/>
      <c r="AB156" s="0"/>
      <c r="AC156" s="0"/>
      <c r="AD156" s="0"/>
      <c r="AE156" s="0"/>
      <c r="AF156" s="0"/>
      <c r="AG156" s="0"/>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29"/>
      <c r="DY156" s="29"/>
      <c r="DZ156" s="29"/>
      <c r="EA156" s="29"/>
      <c r="EB156" s="29"/>
      <c r="EC156" s="29"/>
      <c r="ED156" s="29"/>
      <c r="EE156" s="29"/>
      <c r="EF156" s="29"/>
      <c r="EG156" s="29"/>
      <c r="EH156" s="29"/>
      <c r="EI156" s="29"/>
      <c r="EJ156" s="29"/>
      <c r="EK156" s="29"/>
      <c r="EL156" s="29"/>
      <c r="EM156" s="29"/>
      <c r="EN156" s="29"/>
      <c r="EO156" s="29"/>
      <c r="EP156" s="29"/>
      <c r="EQ156" s="29"/>
      <c r="ER156" s="29"/>
      <c r="ES156" s="29"/>
      <c r="ET156" s="29"/>
      <c r="EU156" s="29"/>
      <c r="EV156" s="29"/>
      <c r="EW156" s="29"/>
      <c r="EX156" s="29"/>
      <c r="EY156" s="29"/>
      <c r="EZ156" s="29"/>
      <c r="FA156" s="29"/>
      <c r="FB156" s="29"/>
      <c r="FC156" s="29"/>
      <c r="FD156" s="29"/>
      <c r="FE156" s="29"/>
      <c r="FF156" s="29"/>
      <c r="FG156" s="29"/>
      <c r="FH156" s="29"/>
      <c r="FI156" s="29"/>
      <c r="FJ156" s="29"/>
      <c r="FK156" s="29"/>
      <c r="FL156" s="29"/>
      <c r="FM156" s="29"/>
      <c r="FN156" s="29"/>
      <c r="FO156" s="29"/>
      <c r="FP156" s="29"/>
      <c r="FQ156" s="29"/>
      <c r="FR156" s="29"/>
      <c r="FS156" s="29"/>
      <c r="FT156" s="29"/>
      <c r="FU156" s="29"/>
      <c r="FV156" s="29"/>
      <c r="FW156" s="29"/>
      <c r="FX156" s="29"/>
      <c r="FY156" s="29"/>
      <c r="FZ156" s="29"/>
      <c r="GA156" s="29"/>
      <c r="GB156" s="29"/>
      <c r="GC156" s="29"/>
      <c r="GD156" s="29"/>
      <c r="GE156" s="29"/>
      <c r="GF156" s="29"/>
      <c r="GG156" s="29"/>
      <c r="GH156" s="29"/>
      <c r="GI156" s="29"/>
      <c r="GJ156" s="29"/>
      <c r="GK156" s="29"/>
      <c r="GL156" s="29"/>
      <c r="GM156" s="29"/>
      <c r="GN156" s="29"/>
      <c r="GO156" s="29"/>
      <c r="GP156" s="29"/>
      <c r="GQ156" s="29"/>
      <c r="GR156" s="29"/>
      <c r="GS156" s="29"/>
      <c r="GT156" s="29"/>
      <c r="GU156" s="29"/>
      <c r="GV156" s="29"/>
      <c r="GW156" s="29"/>
      <c r="GX156" s="29"/>
      <c r="GY156" s="29"/>
      <c r="GZ156" s="29"/>
      <c r="HA156" s="29"/>
      <c r="HB156" s="29"/>
      <c r="HC156" s="29"/>
      <c r="HD156" s="29"/>
      <c r="HE156" s="29"/>
      <c r="HF156" s="29"/>
      <c r="HG156" s="29"/>
      <c r="HH156" s="29"/>
      <c r="HI156" s="29"/>
      <c r="HJ156" s="29"/>
      <c r="HK156" s="29"/>
      <c r="HL156" s="29"/>
      <c r="HM156" s="29"/>
      <c r="HN156" s="29"/>
      <c r="HO156" s="29"/>
      <c r="HP156" s="29"/>
      <c r="HQ156" s="29"/>
      <c r="HR156" s="29"/>
      <c r="HS156" s="29"/>
      <c r="HT156" s="29"/>
      <c r="HU156" s="29"/>
      <c r="HV156" s="29"/>
      <c r="HW156" s="29"/>
      <c r="HX156" s="29"/>
      <c r="HY156" s="29"/>
      <c r="HZ156" s="29"/>
      <c r="IA156" s="29"/>
      <c r="IB156" s="29"/>
      <c r="IC156" s="29"/>
      <c r="ID156" s="29"/>
      <c r="IE156" s="29"/>
      <c r="IF156" s="29"/>
      <c r="IG156" s="29"/>
      <c r="IH156" s="29"/>
      <c r="II156" s="29"/>
      <c r="IJ156" s="29"/>
      <c r="IK156" s="29"/>
      <c r="IL156" s="29"/>
      <c r="IM156" s="29"/>
      <c r="IN156" s="29"/>
      <c r="IO156" s="29"/>
      <c r="IP156" s="29"/>
      <c r="IQ156" s="29"/>
      <c r="IR156" s="29"/>
      <c r="IS156" s="29"/>
      <c r="IT156" s="29"/>
      <c r="IU156" s="29"/>
      <c r="IV156" s="29"/>
      <c r="IW156" s="29"/>
    </row>
    <row r="157" customFormat="false" ht="12.75" hidden="false" customHeight="false" outlineLevel="1" collapsed="false">
      <c r="A157" s="11" t="s">
        <v>4</v>
      </c>
      <c r="B157" s="12" t="s">
        <v>5</v>
      </c>
      <c r="C157" s="12" t="s">
        <v>6</v>
      </c>
      <c r="D157" s="13" t="n">
        <v>1999</v>
      </c>
      <c r="E157" s="14" t="n">
        <v>2000</v>
      </c>
      <c r="F157" s="14" t="n">
        <v>2001</v>
      </c>
      <c r="G157" s="14" t="n">
        <v>2002</v>
      </c>
      <c r="H157" s="14" t="n">
        <v>2003</v>
      </c>
      <c r="I157" s="14" t="n">
        <v>2004</v>
      </c>
      <c r="J157" s="14" t="n">
        <v>2005</v>
      </c>
      <c r="K157" s="14" t="n">
        <v>2006</v>
      </c>
      <c r="L157" s="14" t="n">
        <v>2007</v>
      </c>
      <c r="M157" s="14" t="n">
        <v>2008</v>
      </c>
      <c r="N157" s="14" t="n">
        <v>2009</v>
      </c>
      <c r="O157" s="15" t="n">
        <v>2010</v>
      </c>
      <c r="P157" s="16" t="n">
        <v>2011</v>
      </c>
      <c r="Q157" s="16" t="n">
        <v>2012</v>
      </c>
      <c r="R157" s="16" t="n">
        <v>2013</v>
      </c>
      <c r="S157" s="16" t="n">
        <v>2014</v>
      </c>
      <c r="T157" s="16" t="n">
        <v>2015</v>
      </c>
      <c r="U157" s="16" t="n">
        <v>2016</v>
      </c>
      <c r="V157" s="16" t="n">
        <v>2017</v>
      </c>
      <c r="W157" s="16" t="n">
        <v>2018</v>
      </c>
      <c r="X157" s="16" t="n">
        <v>2019</v>
      </c>
      <c r="Y157" s="0"/>
      <c r="Z157" s="0"/>
      <c r="AA157" s="0"/>
      <c r="AB157" s="0"/>
      <c r="AC157" s="0"/>
      <c r="AD157" s="0"/>
      <c r="AE157" s="0"/>
      <c r="AF157" s="0"/>
      <c r="AG157" s="0"/>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c r="BN157" s="29"/>
      <c r="BO157" s="29"/>
      <c r="BP157" s="29"/>
      <c r="BQ157" s="29"/>
      <c r="BR157" s="29"/>
      <c r="BS157" s="29"/>
      <c r="BT157" s="29"/>
      <c r="BU157" s="29"/>
      <c r="BV157" s="29"/>
      <c r="BW157" s="29"/>
      <c r="BX157" s="29"/>
      <c r="BY157" s="29"/>
      <c r="BZ157" s="29"/>
      <c r="CA157" s="29"/>
      <c r="CB157" s="29"/>
      <c r="CC157" s="29"/>
      <c r="CD157" s="29"/>
      <c r="CE157" s="29"/>
      <c r="CF157" s="29"/>
      <c r="CG157" s="29"/>
      <c r="CH157" s="29"/>
      <c r="CI157" s="29"/>
      <c r="CJ157" s="29"/>
      <c r="CK157" s="29"/>
      <c r="CL157" s="29"/>
      <c r="CM157" s="29"/>
      <c r="CN157" s="29"/>
      <c r="CO157" s="29"/>
      <c r="CP157" s="29"/>
      <c r="CQ157" s="29"/>
      <c r="CR157" s="29"/>
      <c r="CS157" s="29"/>
      <c r="CT157" s="29"/>
      <c r="CU157" s="29"/>
      <c r="CV157" s="29"/>
      <c r="CW157" s="29"/>
      <c r="CX157" s="29"/>
      <c r="CY157" s="29"/>
      <c r="CZ157" s="29"/>
      <c r="DA157" s="29"/>
      <c r="DB157" s="29"/>
      <c r="DC157" s="29"/>
      <c r="DD157" s="29"/>
      <c r="DE157" s="29"/>
      <c r="DF157" s="29"/>
      <c r="DG157" s="29"/>
      <c r="DH157" s="29"/>
      <c r="DI157" s="29"/>
      <c r="DJ157" s="29"/>
      <c r="DK157" s="29"/>
      <c r="DL157" s="29"/>
      <c r="DM157" s="29"/>
      <c r="DN157" s="29"/>
      <c r="DO157" s="29"/>
      <c r="DP157" s="29"/>
      <c r="DQ157" s="29"/>
      <c r="DR157" s="29"/>
      <c r="DS157" s="29"/>
      <c r="DT157" s="29"/>
      <c r="DU157" s="29"/>
      <c r="DV157" s="29"/>
      <c r="DW157" s="29"/>
      <c r="DX157" s="29"/>
      <c r="DY157" s="29"/>
      <c r="DZ157" s="29"/>
      <c r="EA157" s="29"/>
      <c r="EB157" s="29"/>
      <c r="EC157" s="29"/>
      <c r="ED157" s="29"/>
      <c r="EE157" s="29"/>
      <c r="EF157" s="29"/>
      <c r="EG157" s="29"/>
      <c r="EH157" s="29"/>
      <c r="EI157" s="29"/>
      <c r="EJ157" s="29"/>
      <c r="EK157" s="29"/>
      <c r="EL157" s="29"/>
      <c r="EM157" s="29"/>
      <c r="EN157" s="29"/>
      <c r="EO157" s="29"/>
      <c r="EP157" s="29"/>
      <c r="EQ157" s="29"/>
      <c r="ER157" s="29"/>
      <c r="ES157" s="29"/>
      <c r="ET157" s="29"/>
      <c r="EU157" s="29"/>
      <c r="EV157" s="29"/>
      <c r="EW157" s="29"/>
      <c r="EX157" s="29"/>
      <c r="EY157" s="29"/>
      <c r="EZ157" s="29"/>
      <c r="FA157" s="29"/>
      <c r="FB157" s="29"/>
      <c r="FC157" s="29"/>
      <c r="FD157" s="29"/>
      <c r="FE157" s="29"/>
      <c r="FF157" s="29"/>
      <c r="FG157" s="29"/>
      <c r="FH157" s="29"/>
      <c r="FI157" s="29"/>
      <c r="FJ157" s="29"/>
      <c r="FK157" s="29"/>
      <c r="FL157" s="29"/>
      <c r="FM157" s="29"/>
      <c r="FN157" s="29"/>
      <c r="FO157" s="29"/>
      <c r="FP157" s="29"/>
      <c r="FQ157" s="29"/>
      <c r="FR157" s="29"/>
      <c r="FS157" s="29"/>
      <c r="FT157" s="29"/>
      <c r="FU157" s="29"/>
      <c r="FV157" s="29"/>
      <c r="FW157" s="29"/>
      <c r="FX157" s="29"/>
      <c r="FY157" s="29"/>
      <c r="FZ157" s="29"/>
      <c r="GA157" s="29"/>
      <c r="GB157" s="29"/>
      <c r="GC157" s="29"/>
      <c r="GD157" s="29"/>
      <c r="GE157" s="29"/>
      <c r="GF157" s="29"/>
      <c r="GG157" s="29"/>
      <c r="GH157" s="29"/>
      <c r="GI157" s="29"/>
      <c r="GJ157" s="29"/>
      <c r="GK157" s="29"/>
      <c r="GL157" s="29"/>
      <c r="GM157" s="29"/>
      <c r="GN157" s="29"/>
      <c r="GO157" s="29"/>
      <c r="GP157" s="29"/>
      <c r="GQ157" s="29"/>
      <c r="GR157" s="29"/>
      <c r="GS157" s="29"/>
      <c r="GT157" s="29"/>
      <c r="GU157" s="29"/>
      <c r="GV157" s="29"/>
      <c r="GW157" s="29"/>
      <c r="GX157" s="29"/>
      <c r="GY157" s="29"/>
      <c r="GZ157" s="29"/>
      <c r="HA157" s="29"/>
      <c r="HB157" s="29"/>
      <c r="HC157" s="29"/>
      <c r="HD157" s="29"/>
      <c r="HE157" s="29"/>
      <c r="HF157" s="29"/>
      <c r="HG157" s="29"/>
      <c r="HH157" s="29"/>
      <c r="HI157" s="29"/>
      <c r="HJ157" s="29"/>
      <c r="HK157" s="29"/>
      <c r="HL157" s="29"/>
      <c r="HM157" s="29"/>
      <c r="HN157" s="29"/>
      <c r="HO157" s="29"/>
      <c r="HP157" s="29"/>
      <c r="HQ157" s="29"/>
      <c r="HR157" s="29"/>
      <c r="HS157" s="29"/>
      <c r="HT157" s="29"/>
      <c r="HU157" s="29"/>
      <c r="HV157" s="29"/>
      <c r="HW157" s="29"/>
      <c r="HX157" s="29"/>
      <c r="HY157" s="29"/>
      <c r="HZ157" s="29"/>
      <c r="IA157" s="29"/>
      <c r="IB157" s="29"/>
      <c r="IC157" s="29"/>
      <c r="ID157" s="29"/>
      <c r="IE157" s="29"/>
      <c r="IF157" s="29"/>
      <c r="IG157" s="29"/>
      <c r="IH157" s="29"/>
      <c r="II157" s="29"/>
      <c r="IJ157" s="29"/>
      <c r="IK157" s="29"/>
      <c r="IL157" s="29"/>
      <c r="IM157" s="29"/>
      <c r="IN157" s="29"/>
      <c r="IO157" s="29"/>
      <c r="IP157" s="29"/>
      <c r="IQ157" s="29"/>
      <c r="IR157" s="29"/>
      <c r="IS157" s="29"/>
      <c r="IT157" s="29"/>
      <c r="IU157" s="29"/>
      <c r="IV157" s="29"/>
      <c r="IW157" s="29"/>
    </row>
    <row r="158" customFormat="false" ht="12.75" hidden="false" customHeight="false" outlineLevel="1" collapsed="false">
      <c r="A158" s="11" t="s">
        <v>7</v>
      </c>
      <c r="B158" s="17" t="n">
        <f aca="false">NPV(0.1,D158:Y158)</f>
        <v>440714.407089297</v>
      </c>
      <c r="C158" s="17" t="n">
        <f aca="false">B158-B148</f>
        <v>0</v>
      </c>
      <c r="D158" s="18" t="n">
        <v>26456.1651721875</v>
      </c>
      <c r="E158" s="19" t="n">
        <v>36622.8167682054</v>
      </c>
      <c r="F158" s="19" t="n">
        <v>36899.7467266388</v>
      </c>
      <c r="G158" s="19" t="n">
        <v>37130.4608454278</v>
      </c>
      <c r="H158" s="19" t="n">
        <v>46551.6218507978</v>
      </c>
      <c r="I158" s="19" t="n">
        <v>54368.3363263156</v>
      </c>
      <c r="J158" s="19" t="n">
        <v>55774.1081752542</v>
      </c>
      <c r="K158" s="19" t="n">
        <v>56836.4340779057</v>
      </c>
      <c r="L158" s="19" t="n">
        <v>58014.036281412</v>
      </c>
      <c r="M158" s="19" t="n">
        <v>59306.2801784764</v>
      </c>
      <c r="N158" s="19" t="n">
        <v>60748.6390469201</v>
      </c>
      <c r="O158" s="20" t="n">
        <v>62343.6917451537</v>
      </c>
      <c r="P158" s="21" t="n">
        <v>64230.9099191597</v>
      </c>
      <c r="Q158" s="21" t="n">
        <v>66205.4173948106</v>
      </c>
      <c r="R158" s="21" t="n">
        <v>68260.1936842274</v>
      </c>
      <c r="S158" s="21" t="n">
        <v>70358.6179348906</v>
      </c>
      <c r="T158" s="21" t="n">
        <v>72482.4395694936</v>
      </c>
      <c r="U158" s="21" t="n">
        <v>74297.4767975085</v>
      </c>
      <c r="V158" s="21" t="n">
        <v>76073.9231579729</v>
      </c>
      <c r="W158" s="21" t="n">
        <v>77846.43841275</v>
      </c>
      <c r="X158" s="21" t="n">
        <v>78083.6229526837</v>
      </c>
      <c r="Y158" s="0"/>
      <c r="Z158" s="0"/>
      <c r="AA158" s="0"/>
      <c r="AB158" s="0"/>
      <c r="AC158" s="0"/>
      <c r="AD158" s="0"/>
      <c r="AE158" s="0"/>
      <c r="AF158" s="0"/>
      <c r="AG158" s="0"/>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c r="BN158" s="29"/>
      <c r="BO158" s="29"/>
      <c r="BP158" s="29"/>
      <c r="BQ158" s="29"/>
      <c r="BR158" s="29"/>
      <c r="BS158" s="29"/>
      <c r="BT158" s="29"/>
      <c r="BU158" s="29"/>
      <c r="BV158" s="29"/>
      <c r="BW158" s="29"/>
      <c r="BX158" s="29"/>
      <c r="BY158" s="29"/>
      <c r="BZ158" s="29"/>
      <c r="CA158" s="29"/>
      <c r="CB158" s="29"/>
      <c r="CC158" s="29"/>
      <c r="CD158" s="29"/>
      <c r="CE158" s="29"/>
      <c r="CF158" s="29"/>
      <c r="CG158" s="29"/>
      <c r="CH158" s="29"/>
      <c r="CI158" s="29"/>
      <c r="CJ158" s="29"/>
      <c r="CK158" s="29"/>
      <c r="CL158" s="29"/>
      <c r="CM158" s="29"/>
      <c r="CN158" s="29"/>
      <c r="CO158" s="29"/>
      <c r="CP158" s="29"/>
      <c r="CQ158" s="29"/>
      <c r="CR158" s="29"/>
      <c r="CS158" s="29"/>
      <c r="CT158" s="29"/>
      <c r="CU158" s="29"/>
      <c r="CV158" s="29"/>
      <c r="CW158" s="29"/>
      <c r="CX158" s="29"/>
      <c r="CY158" s="29"/>
      <c r="CZ158" s="29"/>
      <c r="DA158" s="29"/>
      <c r="DB158" s="29"/>
      <c r="DC158" s="29"/>
      <c r="DD158" s="29"/>
      <c r="DE158" s="29"/>
      <c r="DF158" s="29"/>
      <c r="DG158" s="29"/>
      <c r="DH158" s="29"/>
      <c r="DI158" s="29"/>
      <c r="DJ158" s="29"/>
      <c r="DK158" s="29"/>
      <c r="DL158" s="29"/>
      <c r="DM158" s="29"/>
      <c r="DN158" s="29"/>
      <c r="DO158" s="29"/>
      <c r="DP158" s="29"/>
      <c r="DQ158" s="29"/>
      <c r="DR158" s="29"/>
      <c r="DS158" s="29"/>
      <c r="DT158" s="29"/>
      <c r="DU158" s="29"/>
      <c r="DV158" s="29"/>
      <c r="DW158" s="29"/>
      <c r="DX158" s="29"/>
      <c r="DY158" s="29"/>
      <c r="DZ158" s="29"/>
      <c r="EA158" s="29"/>
      <c r="EB158" s="29"/>
      <c r="EC158" s="29"/>
      <c r="ED158" s="29"/>
      <c r="EE158" s="29"/>
      <c r="EF158" s="29"/>
      <c r="EG158" s="29"/>
      <c r="EH158" s="29"/>
      <c r="EI158" s="29"/>
      <c r="EJ158" s="29"/>
      <c r="EK158" s="29"/>
      <c r="EL158" s="29"/>
      <c r="EM158" s="29"/>
      <c r="EN158" s="29"/>
      <c r="EO158" s="29"/>
      <c r="EP158" s="29"/>
      <c r="EQ158" s="29"/>
      <c r="ER158" s="29"/>
      <c r="ES158" s="29"/>
      <c r="ET158" s="29"/>
      <c r="EU158" s="29"/>
      <c r="EV158" s="29"/>
      <c r="EW158" s="29"/>
      <c r="EX158" s="29"/>
      <c r="EY158" s="29"/>
      <c r="EZ158" s="29"/>
      <c r="FA158" s="29"/>
      <c r="FB158" s="29"/>
      <c r="FC158" s="29"/>
      <c r="FD158" s="29"/>
      <c r="FE158" s="29"/>
      <c r="FF158" s="29"/>
      <c r="FG158" s="29"/>
      <c r="FH158" s="29"/>
      <c r="FI158" s="29"/>
      <c r="FJ158" s="29"/>
      <c r="FK158" s="29"/>
      <c r="FL158" s="29"/>
      <c r="FM158" s="29"/>
      <c r="FN158" s="29"/>
      <c r="FO158" s="29"/>
      <c r="FP158" s="29"/>
      <c r="FQ158" s="29"/>
      <c r="FR158" s="29"/>
      <c r="FS158" s="29"/>
      <c r="FT158" s="29"/>
      <c r="FU158" s="29"/>
      <c r="FV158" s="29"/>
      <c r="FW158" s="29"/>
      <c r="FX158" s="29"/>
      <c r="FY158" s="29"/>
      <c r="FZ158" s="29"/>
      <c r="GA158" s="29"/>
      <c r="GB158" s="29"/>
      <c r="GC158" s="29"/>
      <c r="GD158" s="29"/>
      <c r="GE158" s="29"/>
      <c r="GF158" s="29"/>
      <c r="GG158" s="29"/>
      <c r="GH158" s="29"/>
      <c r="GI158" s="29"/>
      <c r="GJ158" s="29"/>
      <c r="GK158" s="29"/>
      <c r="GL158" s="29"/>
      <c r="GM158" s="29"/>
      <c r="GN158" s="29"/>
      <c r="GO158" s="29"/>
      <c r="GP158" s="29"/>
      <c r="GQ158" s="29"/>
      <c r="GR158" s="29"/>
      <c r="GS158" s="29"/>
      <c r="GT158" s="29"/>
      <c r="GU158" s="29"/>
      <c r="GV158" s="29"/>
      <c r="GW158" s="29"/>
      <c r="GX158" s="29"/>
      <c r="GY158" s="29"/>
      <c r="GZ158" s="29"/>
      <c r="HA158" s="29"/>
      <c r="HB158" s="29"/>
      <c r="HC158" s="29"/>
      <c r="HD158" s="29"/>
      <c r="HE158" s="29"/>
      <c r="HF158" s="29"/>
      <c r="HG158" s="29"/>
      <c r="HH158" s="29"/>
      <c r="HI158" s="29"/>
      <c r="HJ158" s="29"/>
      <c r="HK158" s="29"/>
      <c r="HL158" s="29"/>
      <c r="HM158" s="29"/>
      <c r="HN158" s="29"/>
      <c r="HO158" s="29"/>
      <c r="HP158" s="29"/>
      <c r="HQ158" s="29"/>
      <c r="HR158" s="29"/>
      <c r="HS158" s="29"/>
      <c r="HT158" s="29"/>
      <c r="HU158" s="29"/>
      <c r="HV158" s="29"/>
      <c r="HW158" s="29"/>
      <c r="HX158" s="29"/>
      <c r="HY158" s="29"/>
      <c r="HZ158" s="29"/>
      <c r="IA158" s="29"/>
      <c r="IB158" s="29"/>
      <c r="IC158" s="29"/>
      <c r="ID158" s="29"/>
      <c r="IE158" s="29"/>
      <c r="IF158" s="29"/>
      <c r="IG158" s="29"/>
      <c r="IH158" s="29"/>
      <c r="II158" s="29"/>
      <c r="IJ158" s="29"/>
      <c r="IK158" s="29"/>
      <c r="IL158" s="29"/>
      <c r="IM158" s="29"/>
      <c r="IN158" s="29"/>
      <c r="IO158" s="29"/>
      <c r="IP158" s="29"/>
      <c r="IQ158" s="29"/>
      <c r="IR158" s="29"/>
      <c r="IS158" s="29"/>
      <c r="IT158" s="29"/>
      <c r="IU158" s="29"/>
      <c r="IV158" s="29"/>
      <c r="IW158" s="29"/>
    </row>
    <row r="159" customFormat="false" ht="12.75" hidden="false" customHeight="false" outlineLevel="1" collapsed="false">
      <c r="A159" s="22" t="s">
        <v>8</v>
      </c>
      <c r="B159" s="17" t="n">
        <f aca="false">NPV(0.1,D159:Y159)</f>
        <v>218232.234666344</v>
      </c>
      <c r="C159" s="17" t="n">
        <f aca="false">B159-B149</f>
        <v>158.449849982484</v>
      </c>
      <c r="D159" s="18" t="n">
        <v>17195.7782105208</v>
      </c>
      <c r="E159" s="19" t="n">
        <v>21345.4715296649</v>
      </c>
      <c r="F159" s="19" t="n">
        <v>21704.0068721244</v>
      </c>
      <c r="G159" s="19" t="n">
        <v>22019.1013886794</v>
      </c>
      <c r="H159" s="19" t="n">
        <v>22407.1671403082</v>
      </c>
      <c r="I159" s="19" t="n">
        <v>22877.5036274408</v>
      </c>
      <c r="J159" s="19" t="n">
        <v>23430.2132320166</v>
      </c>
      <c r="K159" s="19" t="n">
        <v>24096.0971223684</v>
      </c>
      <c r="L159" s="19" t="n">
        <v>24883.9972026557</v>
      </c>
      <c r="M159" s="19" t="n">
        <v>25794.0253483881</v>
      </c>
      <c r="N159" s="19" t="n">
        <v>26856.9925062754</v>
      </c>
      <c r="O159" s="20" t="n">
        <v>28866.1959781107</v>
      </c>
      <c r="P159" s="21" t="n">
        <v>30192.9444546342</v>
      </c>
      <c r="Q159" s="21" t="n">
        <v>31593.1029706645</v>
      </c>
      <c r="R159" s="21" t="n">
        <v>33076.5723311866</v>
      </c>
      <c r="S159" s="21" t="n">
        <v>34607.3428694888</v>
      </c>
      <c r="T159" s="21" t="n">
        <v>36135.1239054809</v>
      </c>
      <c r="U159" s="21" t="n">
        <v>37667.8568202135</v>
      </c>
      <c r="V159" s="21" t="n">
        <v>39187.2012449568</v>
      </c>
      <c r="W159" s="21" t="n">
        <v>40827.5064486994</v>
      </c>
      <c r="X159" s="21" t="n">
        <v>40683.2019600191</v>
      </c>
      <c r="Y159" s="0"/>
      <c r="Z159" s="0"/>
      <c r="AA159" s="0"/>
      <c r="AB159" s="0"/>
      <c r="AC159" s="0"/>
      <c r="AD159" s="0"/>
      <c r="AE159" s="0"/>
      <c r="AF159" s="0"/>
      <c r="AG159" s="0"/>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c r="BR159" s="29"/>
      <c r="BS159" s="29"/>
      <c r="BT159" s="29"/>
      <c r="BU159" s="29"/>
      <c r="BV159" s="29"/>
      <c r="BW159" s="29"/>
      <c r="BX159" s="29"/>
      <c r="BY159" s="29"/>
      <c r="BZ159" s="29"/>
      <c r="CA159" s="29"/>
      <c r="CB159" s="29"/>
      <c r="CC159" s="29"/>
      <c r="CD159" s="29"/>
      <c r="CE159" s="29"/>
      <c r="CF159" s="29"/>
      <c r="CG159" s="29"/>
      <c r="CH159" s="29"/>
      <c r="CI159" s="29"/>
      <c r="CJ159" s="29"/>
      <c r="CK159" s="29"/>
      <c r="CL159" s="29"/>
      <c r="CM159" s="29"/>
      <c r="CN159" s="29"/>
      <c r="CO159" s="29"/>
      <c r="CP159" s="29"/>
      <c r="CQ159" s="29"/>
      <c r="CR159" s="29"/>
      <c r="CS159" s="29"/>
      <c r="CT159" s="29"/>
      <c r="CU159" s="29"/>
      <c r="CV159" s="29"/>
      <c r="CW159" s="29"/>
      <c r="CX159" s="29"/>
      <c r="CY159" s="29"/>
      <c r="CZ159" s="29"/>
      <c r="DA159" s="29"/>
      <c r="DB159" s="29"/>
      <c r="DC159" s="29"/>
      <c r="DD159" s="29"/>
      <c r="DE159" s="29"/>
      <c r="DF159" s="29"/>
      <c r="DG159" s="29"/>
      <c r="DH159" s="29"/>
      <c r="DI159" s="29"/>
      <c r="DJ159" s="29"/>
      <c r="DK159" s="29"/>
      <c r="DL159" s="29"/>
      <c r="DM159" s="29"/>
      <c r="DN159" s="29"/>
      <c r="DO159" s="29"/>
      <c r="DP159" s="29"/>
      <c r="DQ159" s="29"/>
      <c r="DR159" s="29"/>
      <c r="DS159" s="29"/>
      <c r="DT159" s="29"/>
      <c r="DU159" s="29"/>
      <c r="DV159" s="29"/>
      <c r="DW159" s="29"/>
      <c r="DX159" s="29"/>
      <c r="DY159" s="29"/>
      <c r="DZ159" s="29"/>
      <c r="EA159" s="29"/>
      <c r="EB159" s="29"/>
      <c r="EC159" s="29"/>
      <c r="ED159" s="29"/>
      <c r="EE159" s="29"/>
      <c r="EF159" s="29"/>
      <c r="EG159" s="29"/>
      <c r="EH159" s="29"/>
      <c r="EI159" s="29"/>
      <c r="EJ159" s="29"/>
      <c r="EK159" s="29"/>
      <c r="EL159" s="29"/>
      <c r="EM159" s="29"/>
      <c r="EN159" s="29"/>
      <c r="EO159" s="29"/>
      <c r="EP159" s="29"/>
      <c r="EQ159" s="29"/>
      <c r="ER159" s="29"/>
      <c r="ES159" s="29"/>
      <c r="ET159" s="29"/>
      <c r="EU159" s="29"/>
      <c r="EV159" s="29"/>
      <c r="EW159" s="29"/>
      <c r="EX159" s="29"/>
      <c r="EY159" s="29"/>
      <c r="EZ159" s="29"/>
      <c r="FA159" s="29"/>
      <c r="FB159" s="29"/>
      <c r="FC159" s="29"/>
      <c r="FD159" s="29"/>
      <c r="FE159" s="29"/>
      <c r="FF159" s="29"/>
      <c r="FG159" s="29"/>
      <c r="FH159" s="29"/>
      <c r="FI159" s="29"/>
      <c r="FJ159" s="29"/>
      <c r="FK159" s="29"/>
      <c r="FL159" s="29"/>
      <c r="FM159" s="29"/>
      <c r="FN159" s="29"/>
      <c r="FO159" s="29"/>
      <c r="FP159" s="29"/>
      <c r="FQ159" s="29"/>
      <c r="FR159" s="29"/>
      <c r="FS159" s="29"/>
      <c r="FT159" s="29"/>
      <c r="FU159" s="29"/>
      <c r="FV159" s="29"/>
      <c r="FW159" s="29"/>
      <c r="FX159" s="29"/>
      <c r="FY159" s="29"/>
      <c r="FZ159" s="29"/>
      <c r="GA159" s="29"/>
      <c r="GB159" s="29"/>
      <c r="GC159" s="29"/>
      <c r="GD159" s="29"/>
      <c r="GE159" s="29"/>
      <c r="GF159" s="29"/>
      <c r="GG159" s="29"/>
      <c r="GH159" s="29"/>
      <c r="GI159" s="29"/>
      <c r="GJ159" s="29"/>
      <c r="GK159" s="29"/>
      <c r="GL159" s="29"/>
      <c r="GM159" s="29"/>
      <c r="GN159" s="29"/>
      <c r="GO159" s="29"/>
      <c r="GP159" s="29"/>
      <c r="GQ159" s="29"/>
      <c r="GR159" s="29"/>
      <c r="GS159" s="29"/>
      <c r="GT159" s="29"/>
      <c r="GU159" s="29"/>
      <c r="GV159" s="29"/>
      <c r="GW159" s="29"/>
      <c r="GX159" s="29"/>
      <c r="GY159" s="29"/>
      <c r="GZ159" s="29"/>
      <c r="HA159" s="29"/>
      <c r="HB159" s="29"/>
      <c r="HC159" s="29"/>
      <c r="HD159" s="29"/>
      <c r="HE159" s="29"/>
      <c r="HF159" s="29"/>
      <c r="HG159" s="29"/>
      <c r="HH159" s="29"/>
      <c r="HI159" s="29"/>
      <c r="HJ159" s="29"/>
      <c r="HK159" s="29"/>
      <c r="HL159" s="29"/>
      <c r="HM159" s="29"/>
      <c r="HN159" s="29"/>
      <c r="HO159" s="29"/>
      <c r="HP159" s="29"/>
      <c r="HQ159" s="29"/>
      <c r="HR159" s="29"/>
      <c r="HS159" s="29"/>
      <c r="HT159" s="29"/>
      <c r="HU159" s="29"/>
      <c r="HV159" s="29"/>
      <c r="HW159" s="29"/>
      <c r="HX159" s="29"/>
      <c r="HY159" s="29"/>
      <c r="HZ159" s="29"/>
      <c r="IA159" s="29"/>
      <c r="IB159" s="29"/>
      <c r="IC159" s="29"/>
      <c r="ID159" s="29"/>
      <c r="IE159" s="29"/>
      <c r="IF159" s="29"/>
      <c r="IG159" s="29"/>
      <c r="IH159" s="29"/>
      <c r="II159" s="29"/>
      <c r="IJ159" s="29"/>
      <c r="IK159" s="29"/>
      <c r="IL159" s="29"/>
      <c r="IM159" s="29"/>
      <c r="IN159" s="29"/>
      <c r="IO159" s="29"/>
      <c r="IP159" s="29"/>
      <c r="IQ159" s="29"/>
      <c r="IR159" s="29"/>
      <c r="IS159" s="29"/>
      <c r="IT159" s="29"/>
      <c r="IU159" s="29"/>
      <c r="IV159" s="29"/>
      <c r="IW159" s="29"/>
    </row>
    <row r="160" customFormat="false" ht="12.75" hidden="false" customHeight="false" outlineLevel="1" collapsed="false">
      <c r="A160" s="22" t="s">
        <v>9</v>
      </c>
      <c r="B160" s="17" t="n">
        <f aca="false">NPV(0.1,D160:Y160)</f>
        <v>82531.8990712745</v>
      </c>
      <c r="C160" s="17" t="n">
        <f aca="false">B160-B150</f>
        <v>-80.5646172921115</v>
      </c>
      <c r="D160" s="18" t="n">
        <v>507.321944456066</v>
      </c>
      <c r="E160" s="19" t="n">
        <v>1309.15610758078</v>
      </c>
      <c r="F160" s="19" t="n">
        <v>1389.5091544157</v>
      </c>
      <c r="G160" s="19" t="n">
        <v>1445.05824004114</v>
      </c>
      <c r="H160" s="19" t="n">
        <v>7026.83145994302</v>
      </c>
      <c r="I160" s="19" t="n">
        <v>11819.8695200686</v>
      </c>
      <c r="J160" s="19" t="n">
        <v>12721.4560435508</v>
      </c>
      <c r="K160" s="19" t="n">
        <v>13237.0002890922</v>
      </c>
      <c r="L160" s="19" t="n">
        <v>13832.6701393434</v>
      </c>
      <c r="M160" s="19" t="n">
        <v>14459.108169765</v>
      </c>
      <c r="N160" s="19" t="n">
        <v>15121.8553662264</v>
      </c>
      <c r="O160" s="20" t="n">
        <v>15277.7859364835</v>
      </c>
      <c r="P160" s="21" t="n">
        <v>16121.9662009643</v>
      </c>
      <c r="Q160" s="21" t="n">
        <v>17024.8378694064</v>
      </c>
      <c r="R160" s="21" t="n">
        <v>17838.7055299895</v>
      </c>
      <c r="S160" s="21" t="n">
        <v>18809.4031202579</v>
      </c>
      <c r="T160" s="21" t="n">
        <v>19212.6447642516</v>
      </c>
      <c r="U160" s="21" t="n">
        <v>19405.5424881744</v>
      </c>
      <c r="V160" s="21" t="n">
        <v>19583.4349882671</v>
      </c>
      <c r="W160" s="21" t="n">
        <v>19611.5315090171</v>
      </c>
      <c r="X160" s="21" t="n">
        <v>19867.3981811077</v>
      </c>
      <c r="Y160" s="0"/>
      <c r="Z160" s="0"/>
      <c r="AA160" s="0"/>
      <c r="AB160" s="0"/>
      <c r="AC160" s="0"/>
      <c r="AD160" s="0"/>
      <c r="AE160" s="0"/>
      <c r="AF160" s="0"/>
      <c r="AG160" s="0"/>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c r="BS160" s="29"/>
      <c r="BT160" s="29"/>
      <c r="BU160" s="29"/>
      <c r="BV160" s="29"/>
      <c r="BW160" s="29"/>
      <c r="BX160" s="29"/>
      <c r="BY160" s="29"/>
      <c r="BZ160" s="29"/>
      <c r="CA160" s="29"/>
      <c r="CB160" s="29"/>
      <c r="CC160" s="29"/>
      <c r="CD160" s="29"/>
      <c r="CE160" s="29"/>
      <c r="CF160" s="29"/>
      <c r="CG160" s="29"/>
      <c r="CH160" s="29"/>
      <c r="CI160" s="29"/>
      <c r="CJ160" s="29"/>
      <c r="CK160" s="29"/>
      <c r="CL160" s="29"/>
      <c r="CM160" s="29"/>
      <c r="CN160" s="29"/>
      <c r="CO160" s="29"/>
      <c r="CP160" s="29"/>
      <c r="CQ160" s="29"/>
      <c r="CR160" s="29"/>
      <c r="CS160" s="29"/>
      <c r="CT160" s="29"/>
      <c r="CU160" s="29"/>
      <c r="CV160" s="29"/>
      <c r="CW160" s="29"/>
      <c r="CX160" s="29"/>
      <c r="CY160" s="29"/>
      <c r="CZ160" s="29"/>
      <c r="DA160" s="29"/>
      <c r="DB160" s="29"/>
      <c r="DC160" s="29"/>
      <c r="DD160" s="29"/>
      <c r="DE160" s="29"/>
      <c r="DF160" s="29"/>
      <c r="DG160" s="29"/>
      <c r="DH160" s="29"/>
      <c r="DI160" s="29"/>
      <c r="DJ160" s="29"/>
      <c r="DK160" s="29"/>
      <c r="DL160" s="29"/>
      <c r="DM160" s="29"/>
      <c r="DN160" s="29"/>
      <c r="DO160" s="29"/>
      <c r="DP160" s="29"/>
      <c r="DQ160" s="29"/>
      <c r="DR160" s="29"/>
      <c r="DS160" s="29"/>
      <c r="DT160" s="29"/>
      <c r="DU160" s="29"/>
      <c r="DV160" s="29"/>
      <c r="DW160" s="29"/>
      <c r="DX160" s="29"/>
      <c r="DY160" s="29"/>
      <c r="DZ160" s="29"/>
      <c r="EA160" s="29"/>
      <c r="EB160" s="29"/>
      <c r="EC160" s="29"/>
      <c r="ED160" s="29"/>
      <c r="EE160" s="29"/>
      <c r="EF160" s="29"/>
      <c r="EG160" s="29"/>
      <c r="EH160" s="29"/>
      <c r="EI160" s="29"/>
      <c r="EJ160" s="29"/>
      <c r="EK160" s="29"/>
      <c r="EL160" s="29"/>
      <c r="EM160" s="29"/>
      <c r="EN160" s="29"/>
      <c r="EO160" s="29"/>
      <c r="EP160" s="29"/>
      <c r="EQ160" s="29"/>
      <c r="ER160" s="29"/>
      <c r="ES160" s="29"/>
      <c r="ET160" s="29"/>
      <c r="EU160" s="29"/>
      <c r="EV160" s="29"/>
      <c r="EW160" s="29"/>
      <c r="EX160" s="29"/>
      <c r="EY160" s="29"/>
      <c r="EZ160" s="29"/>
      <c r="FA160" s="29"/>
      <c r="FB160" s="29"/>
      <c r="FC160" s="29"/>
      <c r="FD160" s="29"/>
      <c r="FE160" s="29"/>
      <c r="FF160" s="29"/>
      <c r="FG160" s="29"/>
      <c r="FH160" s="29"/>
      <c r="FI160" s="29"/>
      <c r="FJ160" s="29"/>
      <c r="FK160" s="29"/>
      <c r="FL160" s="29"/>
      <c r="FM160" s="29"/>
      <c r="FN160" s="29"/>
      <c r="FO160" s="29"/>
      <c r="FP160" s="29"/>
      <c r="FQ160" s="29"/>
      <c r="FR160" s="29"/>
      <c r="FS160" s="29"/>
      <c r="FT160" s="29"/>
      <c r="FU160" s="29"/>
      <c r="FV160" s="29"/>
      <c r="FW160" s="29"/>
      <c r="FX160" s="29"/>
      <c r="FY160" s="29"/>
      <c r="FZ160" s="29"/>
      <c r="GA160" s="29"/>
      <c r="GB160" s="29"/>
      <c r="GC160" s="29"/>
      <c r="GD160" s="29"/>
      <c r="GE160" s="29"/>
      <c r="GF160" s="29"/>
      <c r="GG160" s="29"/>
      <c r="GH160" s="29"/>
      <c r="GI160" s="29"/>
      <c r="GJ160" s="29"/>
      <c r="GK160" s="29"/>
      <c r="GL160" s="29"/>
      <c r="GM160" s="29"/>
      <c r="GN160" s="29"/>
      <c r="GO160" s="29"/>
      <c r="GP160" s="29"/>
      <c r="GQ160" s="29"/>
      <c r="GR160" s="29"/>
      <c r="GS160" s="29"/>
      <c r="GT160" s="29"/>
      <c r="GU160" s="29"/>
      <c r="GV160" s="29"/>
      <c r="GW160" s="29"/>
      <c r="GX160" s="29"/>
      <c r="GY160" s="29"/>
      <c r="GZ160" s="29"/>
      <c r="HA160" s="29"/>
      <c r="HB160" s="29"/>
      <c r="HC160" s="29"/>
      <c r="HD160" s="29"/>
      <c r="HE160" s="29"/>
      <c r="HF160" s="29"/>
      <c r="HG160" s="29"/>
      <c r="HH160" s="29"/>
      <c r="HI160" s="29"/>
      <c r="HJ160" s="29"/>
      <c r="HK160" s="29"/>
      <c r="HL160" s="29"/>
      <c r="HM160" s="29"/>
      <c r="HN160" s="29"/>
      <c r="HO160" s="29"/>
      <c r="HP160" s="29"/>
      <c r="HQ160" s="29"/>
      <c r="HR160" s="29"/>
      <c r="HS160" s="29"/>
      <c r="HT160" s="29"/>
      <c r="HU160" s="29"/>
      <c r="HV160" s="29"/>
      <c r="HW160" s="29"/>
      <c r="HX160" s="29"/>
      <c r="HY160" s="29"/>
      <c r="HZ160" s="29"/>
      <c r="IA160" s="29"/>
      <c r="IB160" s="29"/>
      <c r="IC160" s="29"/>
      <c r="ID160" s="29"/>
      <c r="IE160" s="29"/>
      <c r="IF160" s="29"/>
      <c r="IG160" s="29"/>
      <c r="IH160" s="29"/>
      <c r="II160" s="29"/>
      <c r="IJ160" s="29"/>
      <c r="IK160" s="29"/>
      <c r="IL160" s="29"/>
      <c r="IM160" s="29"/>
      <c r="IN160" s="29"/>
      <c r="IO160" s="29"/>
      <c r="IP160" s="29"/>
      <c r="IQ160" s="29"/>
      <c r="IR160" s="29"/>
      <c r="IS160" s="29"/>
      <c r="IT160" s="29"/>
      <c r="IU160" s="29"/>
      <c r="IV160" s="29"/>
      <c r="IW160" s="29"/>
    </row>
    <row r="161" customFormat="false" ht="12.75" hidden="false" customHeight="false" outlineLevel="1" collapsed="false">
      <c r="A161" s="22" t="s">
        <v>10</v>
      </c>
      <c r="B161" s="17" t="n">
        <f aca="false">NPV(0.1,D161:Y161)</f>
        <v>99085.0683871753</v>
      </c>
      <c r="C161" s="17" t="n">
        <f aca="false">B161-B151</f>
        <v>-50.2047210115707</v>
      </c>
      <c r="D161" s="23" t="n">
        <v>2833.13868122994</v>
      </c>
      <c r="E161" s="24" t="n">
        <v>5509.653230693</v>
      </c>
      <c r="F161" s="24" t="n">
        <v>4968.26630771246</v>
      </c>
      <c r="G161" s="24" t="n">
        <v>4926.85637984369</v>
      </c>
      <c r="H161" s="24" t="n">
        <v>14412.516801122</v>
      </c>
      <c r="I161" s="24" t="n">
        <v>18511.9673283293</v>
      </c>
      <c r="J161" s="24" t="n">
        <v>12949.039985663</v>
      </c>
      <c r="K161" s="24" t="n">
        <v>12816.9036062262</v>
      </c>
      <c r="L161" s="24" t="n">
        <v>12709.1807890872</v>
      </c>
      <c r="M161" s="24" t="n">
        <v>12589.8496754047</v>
      </c>
      <c r="N161" s="24" t="n">
        <v>12430.3780362521</v>
      </c>
      <c r="O161" s="25" t="n">
        <v>12816.9474783875</v>
      </c>
      <c r="P161" s="21" t="n">
        <v>11817.539332096</v>
      </c>
      <c r="Q161" s="21" t="n">
        <v>11628.8565837866</v>
      </c>
      <c r="R161" s="21" t="n">
        <v>16362.668161967</v>
      </c>
      <c r="S161" s="21" t="n">
        <v>23592.3518810587</v>
      </c>
      <c r="T161" s="21" t="n">
        <v>22284.0288329779</v>
      </c>
      <c r="U161" s="21" t="n">
        <v>22465.3253951004</v>
      </c>
      <c r="V161" s="21" t="n">
        <v>22647.9414350556</v>
      </c>
      <c r="W161" s="21" t="n">
        <v>22778.824453371</v>
      </c>
      <c r="X161" s="21" t="n">
        <v>22761.7562476864</v>
      </c>
      <c r="Y161" s="0"/>
      <c r="Z161" s="0"/>
      <c r="AA161" s="0"/>
      <c r="AB161" s="0"/>
      <c r="AC161" s="0"/>
      <c r="AD161" s="0"/>
      <c r="AE161" s="0"/>
      <c r="AF161" s="0"/>
      <c r="AG161" s="0"/>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29"/>
      <c r="BE161" s="29"/>
      <c r="BF161" s="29"/>
      <c r="BG161" s="29"/>
      <c r="BH161" s="29"/>
      <c r="BI161" s="29"/>
      <c r="BJ161" s="29"/>
      <c r="BK161" s="29"/>
      <c r="BL161" s="29"/>
      <c r="BM161" s="29"/>
      <c r="BN161" s="29"/>
      <c r="BO161" s="29"/>
      <c r="BP161" s="29"/>
      <c r="BQ161" s="29"/>
      <c r="BR161" s="29"/>
      <c r="BS161" s="29"/>
      <c r="BT161" s="29"/>
      <c r="BU161" s="29"/>
      <c r="BV161" s="29"/>
      <c r="BW161" s="29"/>
      <c r="BX161" s="29"/>
      <c r="BY161" s="29"/>
      <c r="BZ161" s="29"/>
      <c r="CA161" s="29"/>
      <c r="CB161" s="29"/>
      <c r="CC161" s="29"/>
      <c r="CD161" s="29"/>
      <c r="CE161" s="29"/>
      <c r="CF161" s="29"/>
      <c r="CG161" s="29"/>
      <c r="CH161" s="29"/>
      <c r="CI161" s="29"/>
      <c r="CJ161" s="29"/>
      <c r="CK161" s="29"/>
      <c r="CL161" s="29"/>
      <c r="CM161" s="29"/>
      <c r="CN161" s="29"/>
      <c r="CO161" s="29"/>
      <c r="CP161" s="29"/>
      <c r="CQ161" s="29"/>
      <c r="CR161" s="29"/>
      <c r="CS161" s="29"/>
      <c r="CT161" s="29"/>
      <c r="CU161" s="29"/>
      <c r="CV161" s="29"/>
      <c r="CW161" s="29"/>
      <c r="CX161" s="29"/>
      <c r="CY161" s="29"/>
      <c r="CZ161" s="29"/>
      <c r="DA161" s="29"/>
      <c r="DB161" s="29"/>
      <c r="DC161" s="29"/>
      <c r="DD161" s="29"/>
      <c r="DE161" s="29"/>
      <c r="DF161" s="29"/>
      <c r="DG161" s="29"/>
      <c r="DH161" s="29"/>
      <c r="DI161" s="29"/>
      <c r="DJ161" s="29"/>
      <c r="DK161" s="29"/>
      <c r="DL161" s="29"/>
      <c r="DM161" s="29"/>
      <c r="DN161" s="29"/>
      <c r="DO161" s="29"/>
      <c r="DP161" s="29"/>
      <c r="DQ161" s="29"/>
      <c r="DR161" s="29"/>
      <c r="DS161" s="29"/>
      <c r="DT161" s="29"/>
      <c r="DU161" s="29"/>
      <c r="DV161" s="29"/>
      <c r="DW161" s="29"/>
      <c r="DX161" s="29"/>
      <c r="DY161" s="29"/>
      <c r="DZ161" s="29"/>
      <c r="EA161" s="29"/>
      <c r="EB161" s="29"/>
      <c r="EC161" s="29"/>
      <c r="ED161" s="29"/>
      <c r="EE161" s="29"/>
      <c r="EF161" s="29"/>
      <c r="EG161" s="29"/>
      <c r="EH161" s="29"/>
      <c r="EI161" s="29"/>
      <c r="EJ161" s="29"/>
      <c r="EK161" s="29"/>
      <c r="EL161" s="29"/>
      <c r="EM161" s="29"/>
      <c r="EN161" s="29"/>
      <c r="EO161" s="29"/>
      <c r="EP161" s="29"/>
      <c r="EQ161" s="29"/>
      <c r="ER161" s="29"/>
      <c r="ES161" s="29"/>
      <c r="ET161" s="29"/>
      <c r="EU161" s="29"/>
      <c r="EV161" s="29"/>
      <c r="EW161" s="29"/>
      <c r="EX161" s="29"/>
      <c r="EY161" s="29"/>
      <c r="EZ161" s="29"/>
      <c r="FA161" s="29"/>
      <c r="FB161" s="29"/>
      <c r="FC161" s="29"/>
      <c r="FD161" s="29"/>
      <c r="FE161" s="29"/>
      <c r="FF161" s="29"/>
      <c r="FG161" s="29"/>
      <c r="FH161" s="29"/>
      <c r="FI161" s="29"/>
      <c r="FJ161" s="29"/>
      <c r="FK161" s="29"/>
      <c r="FL161" s="29"/>
      <c r="FM161" s="29"/>
      <c r="FN161" s="29"/>
      <c r="FO161" s="29"/>
      <c r="FP161" s="29"/>
      <c r="FQ161" s="29"/>
      <c r="FR161" s="29"/>
      <c r="FS161" s="29"/>
      <c r="FT161" s="29"/>
      <c r="FU161" s="29"/>
      <c r="FV161" s="29"/>
      <c r="FW161" s="29"/>
      <c r="FX161" s="29"/>
      <c r="FY161" s="29"/>
      <c r="FZ161" s="29"/>
      <c r="GA161" s="29"/>
      <c r="GB161" s="29"/>
      <c r="GC161" s="29"/>
      <c r="GD161" s="29"/>
      <c r="GE161" s="29"/>
      <c r="GF161" s="29"/>
      <c r="GG161" s="29"/>
      <c r="GH161" s="29"/>
      <c r="GI161" s="29"/>
      <c r="GJ161" s="29"/>
      <c r="GK161" s="29"/>
      <c r="GL161" s="29"/>
      <c r="GM161" s="29"/>
      <c r="GN161" s="29"/>
      <c r="GO161" s="29"/>
      <c r="GP161" s="29"/>
      <c r="GQ161" s="29"/>
      <c r="GR161" s="29"/>
      <c r="GS161" s="29"/>
      <c r="GT161" s="29"/>
      <c r="GU161" s="29"/>
      <c r="GV161" s="29"/>
      <c r="GW161" s="29"/>
      <c r="GX161" s="29"/>
      <c r="GY161" s="29"/>
      <c r="GZ161" s="29"/>
      <c r="HA161" s="29"/>
      <c r="HB161" s="29"/>
      <c r="HC161" s="29"/>
      <c r="HD161" s="29"/>
      <c r="HE161" s="29"/>
      <c r="HF161" s="29"/>
      <c r="HG161" s="29"/>
      <c r="HH161" s="29"/>
      <c r="HI161" s="29"/>
      <c r="HJ161" s="29"/>
      <c r="HK161" s="29"/>
      <c r="HL161" s="29"/>
      <c r="HM161" s="29"/>
      <c r="HN161" s="29"/>
      <c r="HO161" s="29"/>
      <c r="HP161" s="29"/>
      <c r="HQ161" s="29"/>
      <c r="HR161" s="29"/>
      <c r="HS161" s="29"/>
      <c r="HT161" s="29"/>
      <c r="HU161" s="29"/>
      <c r="HV161" s="29"/>
      <c r="HW161" s="29"/>
      <c r="HX161" s="29"/>
      <c r="HY161" s="29"/>
      <c r="HZ161" s="29"/>
      <c r="IA161" s="29"/>
      <c r="IB161" s="29"/>
      <c r="IC161" s="29"/>
      <c r="ID161" s="29"/>
      <c r="IE161" s="29"/>
      <c r="IF161" s="29"/>
      <c r="IG161" s="29"/>
      <c r="IH161" s="29"/>
      <c r="II161" s="29"/>
      <c r="IJ161" s="29"/>
      <c r="IK161" s="29"/>
      <c r="IL161" s="29"/>
      <c r="IM161" s="29"/>
      <c r="IN161" s="29"/>
      <c r="IO161" s="29"/>
      <c r="IP161" s="29"/>
      <c r="IQ161" s="29"/>
      <c r="IR161" s="29"/>
      <c r="IS161" s="29"/>
      <c r="IT161" s="29"/>
      <c r="IU161" s="29"/>
      <c r="IV161" s="29"/>
      <c r="IW161" s="29"/>
    </row>
    <row r="162" customFormat="false" ht="12.75" hidden="false" customHeight="false" outlineLevel="1" collapsed="false">
      <c r="A162" s="5"/>
      <c r="B162" s="5"/>
      <c r="C162" s="5"/>
      <c r="D162" s="0"/>
      <c r="E162" s="0"/>
      <c r="F162" s="0"/>
      <c r="G162" s="0"/>
      <c r="H162" s="0"/>
      <c r="I162" s="0"/>
      <c r="J162" s="0"/>
      <c r="K162" s="0"/>
      <c r="L162" s="0"/>
      <c r="M162" s="0"/>
      <c r="N162" s="0"/>
      <c r="O162" s="0"/>
      <c r="P162" s="0"/>
      <c r="Q162" s="0"/>
      <c r="R162" s="0"/>
      <c r="S162" s="0"/>
      <c r="T162" s="0"/>
      <c r="U162" s="0"/>
      <c r="V162" s="0"/>
      <c r="W162" s="0"/>
      <c r="X162" s="0"/>
      <c r="Y162" s="0"/>
      <c r="Z162" s="0"/>
      <c r="AA162" s="0"/>
      <c r="AB162" s="0"/>
      <c r="AC162" s="0"/>
      <c r="AD162" s="0"/>
      <c r="AE162" s="0"/>
      <c r="AF162" s="0"/>
      <c r="AG162" s="0"/>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c r="BJ162" s="29"/>
      <c r="BK162" s="29"/>
      <c r="BL162" s="29"/>
      <c r="BM162" s="29"/>
      <c r="BN162" s="29"/>
      <c r="BO162" s="29"/>
      <c r="BP162" s="29"/>
      <c r="BQ162" s="29"/>
      <c r="BR162" s="29"/>
      <c r="BS162" s="29"/>
      <c r="BT162" s="29"/>
      <c r="BU162" s="29"/>
      <c r="BV162" s="29"/>
      <c r="BW162" s="29"/>
      <c r="BX162" s="29"/>
      <c r="BY162" s="29"/>
      <c r="BZ162" s="29"/>
      <c r="CA162" s="29"/>
      <c r="CB162" s="29"/>
      <c r="CC162" s="29"/>
      <c r="CD162" s="29"/>
      <c r="CE162" s="29"/>
      <c r="CF162" s="29"/>
      <c r="CG162" s="29"/>
      <c r="CH162" s="29"/>
      <c r="CI162" s="29"/>
      <c r="CJ162" s="29"/>
      <c r="CK162" s="29"/>
      <c r="CL162" s="29"/>
      <c r="CM162" s="29"/>
      <c r="CN162" s="29"/>
      <c r="CO162" s="29"/>
      <c r="CP162" s="29"/>
      <c r="CQ162" s="29"/>
      <c r="CR162" s="29"/>
      <c r="CS162" s="29"/>
      <c r="CT162" s="29"/>
      <c r="CU162" s="29"/>
      <c r="CV162" s="29"/>
      <c r="CW162" s="29"/>
      <c r="CX162" s="29"/>
      <c r="CY162" s="29"/>
      <c r="CZ162" s="29"/>
      <c r="DA162" s="29"/>
      <c r="DB162" s="29"/>
      <c r="DC162" s="29"/>
      <c r="DD162" s="29"/>
      <c r="DE162" s="29"/>
      <c r="DF162" s="29"/>
      <c r="DG162" s="29"/>
      <c r="DH162" s="29"/>
      <c r="DI162" s="29"/>
      <c r="DJ162" s="29"/>
      <c r="DK162" s="29"/>
      <c r="DL162" s="29"/>
      <c r="DM162" s="29"/>
      <c r="DN162" s="29"/>
      <c r="DO162" s="29"/>
      <c r="DP162" s="29"/>
      <c r="DQ162" s="29"/>
      <c r="DR162" s="29"/>
      <c r="DS162" s="29"/>
      <c r="DT162" s="29"/>
      <c r="DU162" s="29"/>
      <c r="DV162" s="29"/>
      <c r="DW162" s="29"/>
      <c r="DX162" s="29"/>
      <c r="DY162" s="29"/>
      <c r="DZ162" s="29"/>
      <c r="EA162" s="29"/>
      <c r="EB162" s="29"/>
      <c r="EC162" s="29"/>
      <c r="ED162" s="29"/>
      <c r="EE162" s="29"/>
      <c r="EF162" s="29"/>
      <c r="EG162" s="29"/>
      <c r="EH162" s="29"/>
      <c r="EI162" s="29"/>
      <c r="EJ162" s="29"/>
      <c r="EK162" s="29"/>
      <c r="EL162" s="29"/>
      <c r="EM162" s="29"/>
      <c r="EN162" s="29"/>
      <c r="EO162" s="29"/>
      <c r="EP162" s="29"/>
      <c r="EQ162" s="29"/>
      <c r="ER162" s="29"/>
      <c r="ES162" s="29"/>
      <c r="ET162" s="29"/>
      <c r="EU162" s="29"/>
      <c r="EV162" s="29"/>
      <c r="EW162" s="29"/>
      <c r="EX162" s="29"/>
      <c r="EY162" s="29"/>
      <c r="EZ162" s="29"/>
      <c r="FA162" s="29"/>
      <c r="FB162" s="29"/>
      <c r="FC162" s="29"/>
      <c r="FD162" s="29"/>
      <c r="FE162" s="29"/>
      <c r="FF162" s="29"/>
      <c r="FG162" s="29"/>
      <c r="FH162" s="29"/>
      <c r="FI162" s="29"/>
      <c r="FJ162" s="29"/>
      <c r="FK162" s="29"/>
      <c r="FL162" s="29"/>
      <c r="FM162" s="29"/>
      <c r="FN162" s="29"/>
      <c r="FO162" s="29"/>
      <c r="FP162" s="29"/>
      <c r="FQ162" s="29"/>
      <c r="FR162" s="29"/>
      <c r="FS162" s="29"/>
      <c r="FT162" s="29"/>
      <c r="FU162" s="29"/>
      <c r="FV162" s="29"/>
      <c r="FW162" s="29"/>
      <c r="FX162" s="29"/>
      <c r="FY162" s="29"/>
      <c r="FZ162" s="29"/>
      <c r="GA162" s="29"/>
      <c r="GB162" s="29"/>
      <c r="GC162" s="29"/>
      <c r="GD162" s="29"/>
      <c r="GE162" s="29"/>
      <c r="GF162" s="29"/>
      <c r="GG162" s="29"/>
      <c r="GH162" s="29"/>
      <c r="GI162" s="29"/>
      <c r="GJ162" s="29"/>
      <c r="GK162" s="29"/>
      <c r="GL162" s="29"/>
      <c r="GM162" s="29"/>
      <c r="GN162" s="29"/>
      <c r="GO162" s="29"/>
      <c r="GP162" s="29"/>
      <c r="GQ162" s="29"/>
      <c r="GR162" s="29"/>
      <c r="GS162" s="29"/>
      <c r="GT162" s="29"/>
      <c r="GU162" s="29"/>
      <c r="GV162" s="29"/>
      <c r="GW162" s="29"/>
      <c r="GX162" s="29"/>
      <c r="GY162" s="29"/>
      <c r="GZ162" s="29"/>
      <c r="HA162" s="29"/>
      <c r="HB162" s="29"/>
      <c r="HC162" s="29"/>
      <c r="HD162" s="29"/>
      <c r="HE162" s="29"/>
      <c r="HF162" s="29"/>
      <c r="HG162" s="29"/>
      <c r="HH162" s="29"/>
      <c r="HI162" s="29"/>
      <c r="HJ162" s="29"/>
      <c r="HK162" s="29"/>
      <c r="HL162" s="29"/>
      <c r="HM162" s="29"/>
      <c r="HN162" s="29"/>
      <c r="HO162" s="29"/>
      <c r="HP162" s="29"/>
      <c r="HQ162" s="29"/>
      <c r="HR162" s="29"/>
      <c r="HS162" s="29"/>
      <c r="HT162" s="29"/>
      <c r="HU162" s="29"/>
      <c r="HV162" s="29"/>
      <c r="HW162" s="29"/>
      <c r="HX162" s="29"/>
      <c r="HY162" s="29"/>
      <c r="HZ162" s="29"/>
      <c r="IA162" s="29"/>
      <c r="IB162" s="29"/>
      <c r="IC162" s="29"/>
      <c r="ID162" s="29"/>
      <c r="IE162" s="29"/>
      <c r="IF162" s="29"/>
      <c r="IG162" s="29"/>
      <c r="IH162" s="29"/>
      <c r="II162" s="29"/>
      <c r="IJ162" s="29"/>
      <c r="IK162" s="29"/>
      <c r="IL162" s="29"/>
      <c r="IM162" s="29"/>
      <c r="IN162" s="29"/>
      <c r="IO162" s="29"/>
      <c r="IP162" s="29"/>
      <c r="IQ162" s="29"/>
      <c r="IR162" s="29"/>
      <c r="IS162" s="29"/>
      <c r="IT162" s="29"/>
      <c r="IU162" s="29"/>
      <c r="IV162" s="29"/>
      <c r="IW162" s="29"/>
    </row>
    <row r="163" customFormat="false" ht="12.75" hidden="false" customHeight="false" outlineLevel="1" collapsed="false">
      <c r="A163" s="26" t="s">
        <v>28</v>
      </c>
      <c r="B163" s="5"/>
      <c r="C163" s="5"/>
      <c r="D163" s="0"/>
      <c r="E163" s="0"/>
      <c r="F163" s="0"/>
      <c r="G163" s="0"/>
      <c r="H163" s="0"/>
      <c r="I163" s="0"/>
      <c r="J163" s="0"/>
      <c r="K163" s="0"/>
      <c r="L163" s="0"/>
      <c r="M163" s="0"/>
      <c r="N163" s="0"/>
      <c r="O163" s="0"/>
      <c r="P163" s="0"/>
      <c r="Q163" s="0"/>
      <c r="R163" s="0"/>
      <c r="S163" s="0"/>
      <c r="T163" s="0"/>
      <c r="U163" s="0"/>
      <c r="V163" s="0"/>
      <c r="W163" s="0"/>
      <c r="X163" s="0"/>
      <c r="Y163" s="0"/>
      <c r="Z163" s="0"/>
      <c r="AA163" s="0"/>
      <c r="AB163" s="0"/>
      <c r="AC163" s="0"/>
      <c r="AD163" s="0"/>
      <c r="AE163" s="0"/>
      <c r="AF163" s="0"/>
      <c r="AG163" s="0"/>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c r="BI163" s="29"/>
      <c r="BJ163" s="29"/>
      <c r="BK163" s="29"/>
      <c r="BL163" s="29"/>
      <c r="BM163" s="29"/>
      <c r="BN163" s="29"/>
      <c r="BO163" s="29"/>
      <c r="BP163" s="29"/>
      <c r="BQ163" s="29"/>
      <c r="BR163" s="29"/>
      <c r="BS163" s="29"/>
      <c r="BT163" s="29"/>
      <c r="BU163" s="29"/>
      <c r="BV163" s="29"/>
      <c r="BW163" s="29"/>
      <c r="BX163" s="29"/>
      <c r="BY163" s="29"/>
      <c r="BZ163" s="29"/>
      <c r="CA163" s="29"/>
      <c r="CB163" s="29"/>
      <c r="CC163" s="29"/>
      <c r="CD163" s="29"/>
      <c r="CE163" s="29"/>
      <c r="CF163" s="29"/>
      <c r="CG163" s="29"/>
      <c r="CH163" s="29"/>
      <c r="CI163" s="29"/>
      <c r="CJ163" s="29"/>
      <c r="CK163" s="29"/>
      <c r="CL163" s="29"/>
      <c r="CM163" s="29"/>
      <c r="CN163" s="29"/>
      <c r="CO163" s="29"/>
      <c r="CP163" s="29"/>
      <c r="CQ163" s="29"/>
      <c r="CR163" s="29"/>
      <c r="CS163" s="29"/>
      <c r="CT163" s="29"/>
      <c r="CU163" s="29"/>
      <c r="CV163" s="29"/>
      <c r="CW163" s="29"/>
      <c r="CX163" s="29"/>
      <c r="CY163" s="29"/>
      <c r="CZ163" s="29"/>
      <c r="DA163" s="29"/>
      <c r="DB163" s="29"/>
      <c r="DC163" s="29"/>
      <c r="DD163" s="29"/>
      <c r="DE163" s="29"/>
      <c r="DF163" s="29"/>
      <c r="DG163" s="29"/>
      <c r="DH163" s="29"/>
      <c r="DI163" s="29"/>
      <c r="DJ163" s="29"/>
      <c r="DK163" s="29"/>
      <c r="DL163" s="29"/>
      <c r="DM163" s="29"/>
      <c r="DN163" s="29"/>
      <c r="DO163" s="29"/>
      <c r="DP163" s="29"/>
      <c r="DQ163" s="29"/>
      <c r="DR163" s="29"/>
      <c r="DS163" s="29"/>
      <c r="DT163" s="29"/>
      <c r="DU163" s="29"/>
      <c r="DV163" s="29"/>
      <c r="DW163" s="29"/>
      <c r="DX163" s="29"/>
      <c r="DY163" s="29"/>
      <c r="DZ163" s="29"/>
      <c r="EA163" s="29"/>
      <c r="EB163" s="29"/>
      <c r="EC163" s="29"/>
      <c r="ED163" s="29"/>
      <c r="EE163" s="29"/>
      <c r="EF163" s="29"/>
      <c r="EG163" s="29"/>
      <c r="EH163" s="29"/>
      <c r="EI163" s="29"/>
      <c r="EJ163" s="29"/>
      <c r="EK163" s="29"/>
      <c r="EL163" s="29"/>
      <c r="EM163" s="29"/>
      <c r="EN163" s="29"/>
      <c r="EO163" s="29"/>
      <c r="EP163" s="29"/>
      <c r="EQ163" s="29"/>
      <c r="ER163" s="29"/>
      <c r="ES163" s="29"/>
      <c r="ET163" s="29"/>
      <c r="EU163" s="29"/>
      <c r="EV163" s="29"/>
      <c r="EW163" s="29"/>
      <c r="EX163" s="29"/>
      <c r="EY163" s="29"/>
      <c r="EZ163" s="29"/>
      <c r="FA163" s="29"/>
      <c r="FB163" s="29"/>
      <c r="FC163" s="29"/>
      <c r="FD163" s="29"/>
      <c r="FE163" s="29"/>
      <c r="FF163" s="29"/>
      <c r="FG163" s="29"/>
      <c r="FH163" s="29"/>
      <c r="FI163" s="29"/>
      <c r="FJ163" s="29"/>
      <c r="FK163" s="29"/>
      <c r="FL163" s="29"/>
      <c r="FM163" s="29"/>
      <c r="FN163" s="29"/>
      <c r="FO163" s="29"/>
      <c r="FP163" s="29"/>
      <c r="FQ163" s="29"/>
      <c r="FR163" s="29"/>
      <c r="FS163" s="29"/>
      <c r="FT163" s="29"/>
      <c r="FU163" s="29"/>
      <c r="FV163" s="29"/>
      <c r="FW163" s="29"/>
      <c r="FX163" s="29"/>
      <c r="FY163" s="29"/>
      <c r="FZ163" s="29"/>
      <c r="GA163" s="29"/>
      <c r="GB163" s="29"/>
      <c r="GC163" s="29"/>
      <c r="GD163" s="29"/>
      <c r="GE163" s="29"/>
      <c r="GF163" s="29"/>
      <c r="GG163" s="29"/>
      <c r="GH163" s="29"/>
      <c r="GI163" s="29"/>
      <c r="GJ163" s="29"/>
      <c r="GK163" s="29"/>
      <c r="GL163" s="29"/>
      <c r="GM163" s="29"/>
      <c r="GN163" s="29"/>
      <c r="GO163" s="29"/>
      <c r="GP163" s="29"/>
      <c r="GQ163" s="29"/>
      <c r="GR163" s="29"/>
      <c r="GS163" s="29"/>
      <c r="GT163" s="29"/>
      <c r="GU163" s="29"/>
      <c r="GV163" s="29"/>
      <c r="GW163" s="29"/>
      <c r="GX163" s="29"/>
      <c r="GY163" s="29"/>
      <c r="GZ163" s="29"/>
      <c r="HA163" s="29"/>
      <c r="HB163" s="29"/>
      <c r="HC163" s="29"/>
      <c r="HD163" s="29"/>
      <c r="HE163" s="29"/>
      <c r="HF163" s="29"/>
      <c r="HG163" s="29"/>
      <c r="HH163" s="29"/>
      <c r="HI163" s="29"/>
      <c r="HJ163" s="29"/>
      <c r="HK163" s="29"/>
      <c r="HL163" s="29"/>
      <c r="HM163" s="29"/>
      <c r="HN163" s="29"/>
      <c r="HO163" s="29"/>
      <c r="HP163" s="29"/>
      <c r="HQ163" s="29"/>
      <c r="HR163" s="29"/>
      <c r="HS163" s="29"/>
      <c r="HT163" s="29"/>
      <c r="HU163" s="29"/>
      <c r="HV163" s="29"/>
      <c r="HW163" s="29"/>
      <c r="HX163" s="29"/>
      <c r="HY163" s="29"/>
      <c r="HZ163" s="29"/>
      <c r="IA163" s="29"/>
      <c r="IB163" s="29"/>
      <c r="IC163" s="29"/>
      <c r="ID163" s="29"/>
      <c r="IE163" s="29"/>
      <c r="IF163" s="29"/>
      <c r="IG163" s="29"/>
      <c r="IH163" s="29"/>
      <c r="II163" s="29"/>
      <c r="IJ163" s="29"/>
      <c r="IK163" s="29"/>
      <c r="IL163" s="29"/>
      <c r="IM163" s="29"/>
      <c r="IN163" s="29"/>
      <c r="IO163" s="29"/>
      <c r="IP163" s="29"/>
      <c r="IQ163" s="29"/>
      <c r="IR163" s="29"/>
      <c r="IS163" s="29"/>
      <c r="IT163" s="29"/>
      <c r="IU163" s="29"/>
      <c r="IV163" s="29"/>
      <c r="IW163" s="29"/>
    </row>
    <row r="164" customFormat="false" ht="12.75" hidden="false" customHeight="false" outlineLevel="1" collapsed="false">
      <c r="A164" s="28" t="n">
        <v>36248</v>
      </c>
      <c r="B164" s="5"/>
      <c r="C164" s="5"/>
      <c r="D164" s="0"/>
      <c r="E164" s="0"/>
      <c r="F164" s="0"/>
      <c r="G164" s="0"/>
      <c r="H164" s="0"/>
      <c r="I164" s="0"/>
      <c r="J164" s="0"/>
      <c r="K164" s="0"/>
      <c r="L164" s="0"/>
      <c r="M164" s="0"/>
      <c r="N164" s="0"/>
      <c r="O164" s="0"/>
      <c r="P164" s="0"/>
      <c r="Q164" s="0"/>
      <c r="R164" s="0"/>
      <c r="S164" s="0"/>
      <c r="T164" s="0"/>
      <c r="U164" s="0"/>
      <c r="V164" s="0"/>
      <c r="W164" s="0"/>
      <c r="X164" s="0"/>
      <c r="Y164" s="0"/>
      <c r="Z164" s="0"/>
      <c r="AA164" s="0"/>
      <c r="AB164" s="0"/>
      <c r="AC164" s="0"/>
      <c r="AD164" s="0"/>
      <c r="AE164" s="0"/>
      <c r="AF164" s="0"/>
      <c r="AG164" s="0"/>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c r="BM164" s="29"/>
      <c r="BN164" s="29"/>
      <c r="BO164" s="29"/>
      <c r="BP164" s="29"/>
      <c r="BQ164" s="29"/>
      <c r="BR164" s="29"/>
      <c r="BS164" s="29"/>
      <c r="BT164" s="29"/>
      <c r="BU164" s="29"/>
      <c r="BV164" s="29"/>
      <c r="BW164" s="29"/>
      <c r="BX164" s="29"/>
      <c r="BY164" s="29"/>
      <c r="BZ164" s="29"/>
      <c r="CA164" s="29"/>
      <c r="CB164" s="29"/>
      <c r="CC164" s="29"/>
      <c r="CD164" s="29"/>
      <c r="CE164" s="29"/>
      <c r="CF164" s="29"/>
      <c r="CG164" s="29"/>
      <c r="CH164" s="29"/>
      <c r="CI164" s="29"/>
      <c r="CJ164" s="29"/>
      <c r="CK164" s="29"/>
      <c r="CL164" s="29"/>
      <c r="CM164" s="29"/>
      <c r="CN164" s="29"/>
      <c r="CO164" s="29"/>
      <c r="CP164" s="29"/>
      <c r="CQ164" s="29"/>
      <c r="CR164" s="29"/>
      <c r="CS164" s="29"/>
      <c r="CT164" s="29"/>
      <c r="CU164" s="29"/>
      <c r="CV164" s="29"/>
      <c r="CW164" s="29"/>
      <c r="CX164" s="29"/>
      <c r="CY164" s="29"/>
      <c r="CZ164" s="29"/>
      <c r="DA164" s="29"/>
      <c r="DB164" s="29"/>
      <c r="DC164" s="29"/>
      <c r="DD164" s="29"/>
      <c r="DE164" s="29"/>
      <c r="DF164" s="29"/>
      <c r="DG164" s="29"/>
      <c r="DH164" s="29"/>
      <c r="DI164" s="29"/>
      <c r="DJ164" s="29"/>
      <c r="DK164" s="29"/>
      <c r="DL164" s="29"/>
      <c r="DM164" s="29"/>
      <c r="DN164" s="29"/>
      <c r="DO164" s="29"/>
      <c r="DP164" s="29"/>
      <c r="DQ164" s="29"/>
      <c r="DR164" s="29"/>
      <c r="DS164" s="29"/>
      <c r="DT164" s="29"/>
      <c r="DU164" s="29"/>
      <c r="DV164" s="29"/>
      <c r="DW164" s="29"/>
      <c r="DX164" s="29"/>
      <c r="DY164" s="29"/>
      <c r="DZ164" s="29"/>
      <c r="EA164" s="29"/>
      <c r="EB164" s="29"/>
      <c r="EC164" s="29"/>
      <c r="ED164" s="29"/>
      <c r="EE164" s="29"/>
      <c r="EF164" s="29"/>
      <c r="EG164" s="29"/>
      <c r="EH164" s="29"/>
      <c r="EI164" s="29"/>
      <c r="EJ164" s="29"/>
      <c r="EK164" s="29"/>
      <c r="EL164" s="29"/>
      <c r="EM164" s="29"/>
      <c r="EN164" s="29"/>
      <c r="EO164" s="29"/>
      <c r="EP164" s="29"/>
      <c r="EQ164" s="29"/>
      <c r="ER164" s="29"/>
      <c r="ES164" s="29"/>
      <c r="ET164" s="29"/>
      <c r="EU164" s="29"/>
      <c r="EV164" s="29"/>
      <c r="EW164" s="29"/>
      <c r="EX164" s="29"/>
      <c r="EY164" s="29"/>
      <c r="EZ164" s="29"/>
      <c r="FA164" s="29"/>
      <c r="FB164" s="29"/>
      <c r="FC164" s="29"/>
      <c r="FD164" s="29"/>
      <c r="FE164" s="29"/>
      <c r="FF164" s="29"/>
      <c r="FG164" s="29"/>
      <c r="FH164" s="29"/>
      <c r="FI164" s="29"/>
      <c r="FJ164" s="29"/>
      <c r="FK164" s="29"/>
      <c r="FL164" s="29"/>
      <c r="FM164" s="29"/>
      <c r="FN164" s="29"/>
      <c r="FO164" s="29"/>
      <c r="FP164" s="29"/>
      <c r="FQ164" s="29"/>
      <c r="FR164" s="29"/>
      <c r="FS164" s="29"/>
      <c r="FT164" s="29"/>
      <c r="FU164" s="29"/>
      <c r="FV164" s="29"/>
      <c r="FW164" s="29"/>
      <c r="FX164" s="29"/>
      <c r="FY164" s="29"/>
      <c r="FZ164" s="29"/>
      <c r="GA164" s="29"/>
      <c r="GB164" s="29"/>
      <c r="GC164" s="29"/>
      <c r="GD164" s="29"/>
      <c r="GE164" s="29"/>
      <c r="GF164" s="29"/>
      <c r="GG164" s="29"/>
      <c r="GH164" s="29"/>
      <c r="GI164" s="29"/>
      <c r="GJ164" s="29"/>
      <c r="GK164" s="29"/>
      <c r="GL164" s="29"/>
      <c r="GM164" s="29"/>
      <c r="GN164" s="29"/>
      <c r="GO164" s="29"/>
      <c r="GP164" s="29"/>
      <c r="GQ164" s="29"/>
      <c r="GR164" s="29"/>
      <c r="GS164" s="29"/>
      <c r="GT164" s="29"/>
      <c r="GU164" s="29"/>
      <c r="GV164" s="29"/>
      <c r="GW164" s="29"/>
      <c r="GX164" s="29"/>
      <c r="GY164" s="29"/>
      <c r="GZ164" s="29"/>
      <c r="HA164" s="29"/>
      <c r="HB164" s="29"/>
      <c r="HC164" s="29"/>
      <c r="HD164" s="29"/>
      <c r="HE164" s="29"/>
      <c r="HF164" s="29"/>
      <c r="HG164" s="29"/>
      <c r="HH164" s="29"/>
      <c r="HI164" s="29"/>
      <c r="HJ164" s="29"/>
      <c r="HK164" s="29"/>
      <c r="HL164" s="29"/>
      <c r="HM164" s="29"/>
      <c r="HN164" s="29"/>
      <c r="HO164" s="29"/>
      <c r="HP164" s="29"/>
      <c r="HQ164" s="29"/>
      <c r="HR164" s="29"/>
      <c r="HS164" s="29"/>
      <c r="HT164" s="29"/>
      <c r="HU164" s="29"/>
      <c r="HV164" s="29"/>
      <c r="HW164" s="29"/>
      <c r="HX164" s="29"/>
      <c r="HY164" s="29"/>
      <c r="HZ164" s="29"/>
      <c r="IA164" s="29"/>
      <c r="IB164" s="29"/>
      <c r="IC164" s="29"/>
      <c r="ID164" s="29"/>
      <c r="IE164" s="29"/>
      <c r="IF164" s="29"/>
      <c r="IG164" s="29"/>
      <c r="IH164" s="29"/>
      <c r="II164" s="29"/>
      <c r="IJ164" s="29"/>
      <c r="IK164" s="29"/>
      <c r="IL164" s="29"/>
      <c r="IM164" s="29"/>
      <c r="IN164" s="29"/>
      <c r="IO164" s="29"/>
      <c r="IP164" s="29"/>
      <c r="IQ164" s="29"/>
      <c r="IR164" s="29"/>
      <c r="IS164" s="29"/>
      <c r="IT164" s="29"/>
      <c r="IU164" s="29"/>
      <c r="IV164" s="29"/>
      <c r="IW164" s="29"/>
    </row>
    <row r="165" customFormat="false" ht="12.75" hidden="false" customHeight="false" outlineLevel="1" collapsed="false">
      <c r="A165" s="7" t="s">
        <v>2</v>
      </c>
      <c r="B165" s="8" t="n">
        <v>30312.2240930487</v>
      </c>
      <c r="C165" s="5" t="s">
        <v>14</v>
      </c>
      <c r="D165" s="0"/>
      <c r="E165" s="0"/>
      <c r="F165" s="0"/>
      <c r="G165" s="0"/>
      <c r="H165" s="0"/>
      <c r="I165" s="0"/>
      <c r="J165" s="0"/>
      <c r="K165" s="0"/>
      <c r="L165" s="0"/>
      <c r="M165" s="0"/>
      <c r="N165" s="0"/>
      <c r="O165" s="0"/>
      <c r="P165" s="0"/>
      <c r="Q165" s="0"/>
      <c r="R165" s="0"/>
      <c r="S165" s="0"/>
      <c r="T165" s="0"/>
      <c r="U165" s="0"/>
      <c r="V165" s="0"/>
      <c r="W165" s="0"/>
      <c r="X165" s="0"/>
      <c r="Y165" s="0"/>
      <c r="Z165" s="0"/>
      <c r="AA165" s="0"/>
      <c r="AB165" s="0"/>
      <c r="AC165" s="0"/>
      <c r="AD165" s="0"/>
      <c r="AE165" s="0"/>
      <c r="AF165" s="0"/>
      <c r="AG165" s="0"/>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c r="BN165" s="29"/>
      <c r="BO165" s="29"/>
      <c r="BP165" s="29"/>
      <c r="BQ165" s="29"/>
      <c r="BR165" s="29"/>
      <c r="BS165" s="29"/>
      <c r="BT165" s="29"/>
      <c r="BU165" s="29"/>
      <c r="BV165" s="29"/>
      <c r="BW165" s="29"/>
      <c r="BX165" s="29"/>
      <c r="BY165" s="29"/>
      <c r="BZ165" s="29"/>
      <c r="CA165" s="29"/>
      <c r="CB165" s="29"/>
      <c r="CC165" s="29"/>
      <c r="CD165" s="29"/>
      <c r="CE165" s="29"/>
      <c r="CF165" s="29"/>
      <c r="CG165" s="29"/>
      <c r="CH165" s="29"/>
      <c r="CI165" s="29"/>
      <c r="CJ165" s="29"/>
      <c r="CK165" s="29"/>
      <c r="CL165" s="29"/>
      <c r="CM165" s="29"/>
      <c r="CN165" s="29"/>
      <c r="CO165" s="29"/>
      <c r="CP165" s="29"/>
      <c r="CQ165" s="29"/>
      <c r="CR165" s="29"/>
      <c r="CS165" s="29"/>
      <c r="CT165" s="29"/>
      <c r="CU165" s="29"/>
      <c r="CV165" s="29"/>
      <c r="CW165" s="29"/>
      <c r="CX165" s="29"/>
      <c r="CY165" s="29"/>
      <c r="CZ165" s="29"/>
      <c r="DA165" s="29"/>
      <c r="DB165" s="29"/>
      <c r="DC165" s="29"/>
      <c r="DD165" s="29"/>
      <c r="DE165" s="29"/>
      <c r="DF165" s="29"/>
      <c r="DG165" s="29"/>
      <c r="DH165" s="29"/>
      <c r="DI165" s="29"/>
      <c r="DJ165" s="29"/>
      <c r="DK165" s="29"/>
      <c r="DL165" s="29"/>
      <c r="DM165" s="29"/>
      <c r="DN165" s="29"/>
      <c r="DO165" s="29"/>
      <c r="DP165" s="29"/>
      <c r="DQ165" s="29"/>
      <c r="DR165" s="29"/>
      <c r="DS165" s="29"/>
      <c r="DT165" s="29"/>
      <c r="DU165" s="29"/>
      <c r="DV165" s="29"/>
      <c r="DW165" s="29"/>
      <c r="DX165" s="29"/>
      <c r="DY165" s="29"/>
      <c r="DZ165" s="29"/>
      <c r="EA165" s="29"/>
      <c r="EB165" s="29"/>
      <c r="EC165" s="29"/>
      <c r="ED165" s="29"/>
      <c r="EE165" s="29"/>
      <c r="EF165" s="29"/>
      <c r="EG165" s="29"/>
      <c r="EH165" s="29"/>
      <c r="EI165" s="29"/>
      <c r="EJ165" s="29"/>
      <c r="EK165" s="29"/>
      <c r="EL165" s="29"/>
      <c r="EM165" s="29"/>
      <c r="EN165" s="29"/>
      <c r="EO165" s="29"/>
      <c r="EP165" s="29"/>
      <c r="EQ165" s="29"/>
      <c r="ER165" s="29"/>
      <c r="ES165" s="29"/>
      <c r="ET165" s="29"/>
      <c r="EU165" s="29"/>
      <c r="EV165" s="29"/>
      <c r="EW165" s="29"/>
      <c r="EX165" s="29"/>
      <c r="EY165" s="29"/>
      <c r="EZ165" s="29"/>
      <c r="FA165" s="29"/>
      <c r="FB165" s="29"/>
      <c r="FC165" s="29"/>
      <c r="FD165" s="29"/>
      <c r="FE165" s="29"/>
      <c r="FF165" s="29"/>
      <c r="FG165" s="29"/>
      <c r="FH165" s="29"/>
      <c r="FI165" s="29"/>
      <c r="FJ165" s="29"/>
      <c r="FK165" s="29"/>
      <c r="FL165" s="29"/>
      <c r="FM165" s="29"/>
      <c r="FN165" s="29"/>
      <c r="FO165" s="29"/>
      <c r="FP165" s="29"/>
      <c r="FQ165" s="29"/>
      <c r="FR165" s="29"/>
      <c r="FS165" s="29"/>
      <c r="FT165" s="29"/>
      <c r="FU165" s="29"/>
      <c r="FV165" s="29"/>
      <c r="FW165" s="29"/>
      <c r="FX165" s="29"/>
      <c r="FY165" s="29"/>
      <c r="FZ165" s="29"/>
      <c r="GA165" s="29"/>
      <c r="GB165" s="29"/>
      <c r="GC165" s="29"/>
      <c r="GD165" s="29"/>
      <c r="GE165" s="29"/>
      <c r="GF165" s="29"/>
      <c r="GG165" s="29"/>
      <c r="GH165" s="29"/>
      <c r="GI165" s="29"/>
      <c r="GJ165" s="29"/>
      <c r="GK165" s="29"/>
      <c r="GL165" s="29"/>
      <c r="GM165" s="29"/>
      <c r="GN165" s="29"/>
      <c r="GO165" s="29"/>
      <c r="GP165" s="29"/>
      <c r="GQ165" s="29"/>
      <c r="GR165" s="29"/>
      <c r="GS165" s="29"/>
      <c r="GT165" s="29"/>
      <c r="GU165" s="29"/>
      <c r="GV165" s="29"/>
      <c r="GW165" s="29"/>
      <c r="GX165" s="29"/>
      <c r="GY165" s="29"/>
      <c r="GZ165" s="29"/>
      <c r="HA165" s="29"/>
      <c r="HB165" s="29"/>
      <c r="HC165" s="29"/>
      <c r="HD165" s="29"/>
      <c r="HE165" s="29"/>
      <c r="HF165" s="29"/>
      <c r="HG165" s="29"/>
      <c r="HH165" s="29"/>
      <c r="HI165" s="29"/>
      <c r="HJ165" s="29"/>
      <c r="HK165" s="29"/>
      <c r="HL165" s="29"/>
      <c r="HM165" s="29"/>
      <c r="HN165" s="29"/>
      <c r="HO165" s="29"/>
      <c r="HP165" s="29"/>
      <c r="HQ165" s="29"/>
      <c r="HR165" s="29"/>
      <c r="HS165" s="29"/>
      <c r="HT165" s="29"/>
      <c r="HU165" s="29"/>
      <c r="HV165" s="29"/>
      <c r="HW165" s="29"/>
      <c r="HX165" s="29"/>
      <c r="HY165" s="29"/>
      <c r="HZ165" s="29"/>
      <c r="IA165" s="29"/>
      <c r="IB165" s="29"/>
      <c r="IC165" s="29"/>
      <c r="ID165" s="29"/>
      <c r="IE165" s="29"/>
      <c r="IF165" s="29"/>
      <c r="IG165" s="29"/>
      <c r="IH165" s="29"/>
      <c r="II165" s="29"/>
      <c r="IJ165" s="29"/>
      <c r="IK165" s="29"/>
      <c r="IL165" s="29"/>
      <c r="IM165" s="29"/>
      <c r="IN165" s="29"/>
      <c r="IO165" s="29"/>
      <c r="IP165" s="29"/>
      <c r="IQ165" s="29"/>
      <c r="IR165" s="29"/>
      <c r="IS165" s="29"/>
      <c r="IT165" s="29"/>
      <c r="IU165" s="29"/>
      <c r="IV165" s="29"/>
      <c r="IW165" s="29"/>
    </row>
    <row r="166" customFormat="false" ht="12.75" hidden="false" customHeight="false" outlineLevel="1" collapsed="false">
      <c r="A166" s="9" t="s">
        <v>3</v>
      </c>
      <c r="B166" s="10" t="n">
        <v>64938.8905180427</v>
      </c>
      <c r="C166" s="5"/>
      <c r="D166" s="0"/>
      <c r="E166" s="0"/>
      <c r="F166" s="0"/>
      <c r="G166" s="0"/>
      <c r="H166" s="0"/>
      <c r="I166" s="0"/>
      <c r="J166" s="0"/>
      <c r="K166" s="0"/>
      <c r="L166" s="0"/>
      <c r="M166" s="0"/>
      <c r="N166" s="0"/>
      <c r="O166" s="0"/>
      <c r="P166" s="0"/>
      <c r="Q166" s="0"/>
      <c r="R166" s="0"/>
      <c r="S166" s="0"/>
      <c r="T166" s="0"/>
      <c r="U166" s="0"/>
      <c r="V166" s="0"/>
      <c r="W166" s="0"/>
      <c r="X166" s="0"/>
      <c r="Y166" s="0"/>
      <c r="Z166" s="0"/>
      <c r="AA166" s="0"/>
      <c r="AB166" s="0"/>
      <c r="AC166" s="0"/>
      <c r="AD166" s="0"/>
      <c r="AE166" s="0"/>
      <c r="AF166" s="0"/>
      <c r="AG166" s="0"/>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c r="CV166" s="29"/>
      <c r="CW166" s="29"/>
      <c r="CX166" s="29"/>
      <c r="CY166" s="29"/>
      <c r="CZ166" s="29"/>
      <c r="DA166" s="29"/>
      <c r="DB166" s="29"/>
      <c r="DC166" s="29"/>
      <c r="DD166" s="29"/>
      <c r="DE166" s="29"/>
      <c r="DF166" s="29"/>
      <c r="DG166" s="29"/>
      <c r="DH166" s="29"/>
      <c r="DI166" s="29"/>
      <c r="DJ166" s="29"/>
      <c r="DK166" s="29"/>
      <c r="DL166" s="29"/>
      <c r="DM166" s="29"/>
      <c r="DN166" s="29"/>
      <c r="DO166" s="29"/>
      <c r="DP166" s="29"/>
      <c r="DQ166" s="29"/>
      <c r="DR166" s="29"/>
      <c r="DS166" s="29"/>
      <c r="DT166" s="29"/>
      <c r="DU166" s="29"/>
      <c r="DV166" s="29"/>
      <c r="DW166" s="29"/>
      <c r="DX166" s="29"/>
      <c r="DY166" s="29"/>
      <c r="DZ166" s="29"/>
      <c r="EA166" s="29"/>
      <c r="EB166" s="29"/>
      <c r="EC166" s="29"/>
      <c r="ED166" s="29"/>
      <c r="EE166" s="29"/>
      <c r="EF166" s="29"/>
      <c r="EG166" s="29"/>
      <c r="EH166" s="29"/>
      <c r="EI166" s="29"/>
      <c r="EJ166" s="29"/>
      <c r="EK166" s="29"/>
      <c r="EL166" s="29"/>
      <c r="EM166" s="29"/>
      <c r="EN166" s="29"/>
      <c r="EO166" s="29"/>
      <c r="EP166" s="29"/>
      <c r="EQ166" s="29"/>
      <c r="ER166" s="29"/>
      <c r="ES166" s="29"/>
      <c r="ET166" s="29"/>
      <c r="EU166" s="29"/>
      <c r="EV166" s="29"/>
      <c r="EW166" s="29"/>
      <c r="EX166" s="29"/>
      <c r="EY166" s="29"/>
      <c r="EZ166" s="29"/>
      <c r="FA166" s="29"/>
      <c r="FB166" s="29"/>
      <c r="FC166" s="29"/>
      <c r="FD166" s="29"/>
      <c r="FE166" s="29"/>
      <c r="FF166" s="29"/>
      <c r="FG166" s="29"/>
      <c r="FH166" s="29"/>
      <c r="FI166" s="29"/>
      <c r="FJ166" s="29"/>
      <c r="FK166" s="29"/>
      <c r="FL166" s="29"/>
      <c r="FM166" s="29"/>
      <c r="FN166" s="29"/>
      <c r="FO166" s="29"/>
      <c r="FP166" s="29"/>
      <c r="FQ166" s="29"/>
      <c r="FR166" s="29"/>
      <c r="FS166" s="29"/>
      <c r="FT166" s="29"/>
      <c r="FU166" s="29"/>
      <c r="FV166" s="29"/>
      <c r="FW166" s="29"/>
      <c r="FX166" s="29"/>
      <c r="FY166" s="29"/>
      <c r="FZ166" s="29"/>
      <c r="GA166" s="29"/>
      <c r="GB166" s="29"/>
      <c r="GC166" s="29"/>
      <c r="GD166" s="29"/>
      <c r="GE166" s="29"/>
      <c r="GF166" s="29"/>
      <c r="GG166" s="29"/>
      <c r="GH166" s="29"/>
      <c r="GI166" s="29"/>
      <c r="GJ166" s="29"/>
      <c r="GK166" s="29"/>
      <c r="GL166" s="29"/>
      <c r="GM166" s="29"/>
      <c r="GN166" s="29"/>
      <c r="GO166" s="29"/>
      <c r="GP166" s="29"/>
      <c r="GQ166" s="29"/>
      <c r="GR166" s="29"/>
      <c r="GS166" s="29"/>
      <c r="GT166" s="29"/>
      <c r="GU166" s="29"/>
      <c r="GV166" s="29"/>
      <c r="GW166" s="29"/>
      <c r="GX166" s="29"/>
      <c r="GY166" s="29"/>
      <c r="GZ166" s="29"/>
      <c r="HA166" s="29"/>
      <c r="HB166" s="29"/>
      <c r="HC166" s="29"/>
      <c r="HD166" s="29"/>
      <c r="HE166" s="29"/>
      <c r="HF166" s="29"/>
      <c r="HG166" s="29"/>
      <c r="HH166" s="29"/>
      <c r="HI166" s="29"/>
      <c r="HJ166" s="29"/>
      <c r="HK166" s="29"/>
      <c r="HL166" s="29"/>
      <c r="HM166" s="29"/>
      <c r="HN166" s="29"/>
      <c r="HO166" s="29"/>
      <c r="HP166" s="29"/>
      <c r="HQ166" s="29"/>
      <c r="HR166" s="29"/>
      <c r="HS166" s="29"/>
      <c r="HT166" s="29"/>
      <c r="HU166" s="29"/>
      <c r="HV166" s="29"/>
      <c r="HW166" s="29"/>
      <c r="HX166" s="29"/>
      <c r="HY166" s="29"/>
      <c r="HZ166" s="29"/>
      <c r="IA166" s="29"/>
      <c r="IB166" s="29"/>
      <c r="IC166" s="29"/>
      <c r="ID166" s="29"/>
      <c r="IE166" s="29"/>
      <c r="IF166" s="29"/>
      <c r="IG166" s="29"/>
      <c r="IH166" s="29"/>
      <c r="II166" s="29"/>
      <c r="IJ166" s="29"/>
      <c r="IK166" s="29"/>
      <c r="IL166" s="29"/>
      <c r="IM166" s="29"/>
      <c r="IN166" s="29"/>
      <c r="IO166" s="29"/>
      <c r="IP166" s="29"/>
      <c r="IQ166" s="29"/>
      <c r="IR166" s="29"/>
      <c r="IS166" s="29"/>
      <c r="IT166" s="29"/>
      <c r="IU166" s="29"/>
      <c r="IV166" s="29"/>
      <c r="IW166" s="29"/>
    </row>
    <row r="167" customFormat="false" ht="12.75" hidden="false" customHeight="false" outlineLevel="1" collapsed="false">
      <c r="A167" s="11" t="s">
        <v>4</v>
      </c>
      <c r="B167" s="12" t="s">
        <v>5</v>
      </c>
      <c r="C167" s="12" t="s">
        <v>6</v>
      </c>
      <c r="D167" s="13" t="n">
        <v>1999</v>
      </c>
      <c r="E167" s="14" t="n">
        <v>2000</v>
      </c>
      <c r="F167" s="14" t="n">
        <v>2001</v>
      </c>
      <c r="G167" s="14" t="n">
        <v>2002</v>
      </c>
      <c r="H167" s="14" t="n">
        <v>2003</v>
      </c>
      <c r="I167" s="14" t="n">
        <v>2004</v>
      </c>
      <c r="J167" s="14" t="n">
        <v>2005</v>
      </c>
      <c r="K167" s="14" t="n">
        <v>2006</v>
      </c>
      <c r="L167" s="14" t="n">
        <v>2007</v>
      </c>
      <c r="M167" s="14" t="n">
        <v>2008</v>
      </c>
      <c r="N167" s="14" t="n">
        <v>2009</v>
      </c>
      <c r="O167" s="15" t="n">
        <v>2010</v>
      </c>
      <c r="P167" s="16" t="n">
        <v>2011</v>
      </c>
      <c r="Q167" s="16" t="n">
        <v>2012</v>
      </c>
      <c r="R167" s="16" t="n">
        <v>2013</v>
      </c>
      <c r="S167" s="16" t="n">
        <v>2014</v>
      </c>
      <c r="T167" s="16" t="n">
        <v>2015</v>
      </c>
      <c r="U167" s="16" t="n">
        <v>2016</v>
      </c>
      <c r="V167" s="16" t="n">
        <v>2017</v>
      </c>
      <c r="W167" s="16" t="n">
        <v>2018</v>
      </c>
      <c r="X167" s="16" t="n">
        <v>2019</v>
      </c>
      <c r="Y167" s="0"/>
      <c r="Z167" s="0"/>
      <c r="AA167" s="0"/>
      <c r="AB167" s="0"/>
      <c r="AC167" s="0"/>
      <c r="AD167" s="0"/>
      <c r="AE167" s="0"/>
      <c r="AF167" s="0"/>
      <c r="AG167" s="0"/>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c r="BJ167" s="29"/>
      <c r="BK167" s="29"/>
      <c r="BL167" s="29"/>
      <c r="BM167" s="29"/>
      <c r="BN167" s="29"/>
      <c r="BO167" s="29"/>
      <c r="BP167" s="29"/>
      <c r="BQ167" s="29"/>
      <c r="BR167" s="29"/>
      <c r="BS167" s="29"/>
      <c r="BT167" s="29"/>
      <c r="BU167" s="29"/>
      <c r="BV167" s="29"/>
      <c r="BW167" s="29"/>
      <c r="BX167" s="29"/>
      <c r="BY167" s="29"/>
      <c r="BZ167" s="29"/>
      <c r="CA167" s="29"/>
      <c r="CB167" s="29"/>
      <c r="CC167" s="29"/>
      <c r="CD167" s="29"/>
      <c r="CE167" s="29"/>
      <c r="CF167" s="29"/>
      <c r="CG167" s="29"/>
      <c r="CH167" s="29"/>
      <c r="CI167" s="29"/>
      <c r="CJ167" s="29"/>
      <c r="CK167" s="29"/>
      <c r="CL167" s="29"/>
      <c r="CM167" s="29"/>
      <c r="CN167" s="29"/>
      <c r="CO167" s="29"/>
      <c r="CP167" s="29"/>
      <c r="CQ167" s="29"/>
      <c r="CR167" s="29"/>
      <c r="CS167" s="29"/>
      <c r="CT167" s="29"/>
      <c r="CU167" s="29"/>
      <c r="CV167" s="29"/>
      <c r="CW167" s="29"/>
      <c r="CX167" s="29"/>
      <c r="CY167" s="29"/>
      <c r="CZ167" s="29"/>
      <c r="DA167" s="29"/>
      <c r="DB167" s="29"/>
      <c r="DC167" s="29"/>
      <c r="DD167" s="29"/>
      <c r="DE167" s="29"/>
      <c r="DF167" s="29"/>
      <c r="DG167" s="29"/>
      <c r="DH167" s="29"/>
      <c r="DI167" s="29"/>
      <c r="DJ167" s="29"/>
      <c r="DK167" s="29"/>
      <c r="DL167" s="29"/>
      <c r="DM167" s="29"/>
      <c r="DN167" s="29"/>
      <c r="DO167" s="29"/>
      <c r="DP167" s="29"/>
      <c r="DQ167" s="29"/>
      <c r="DR167" s="29"/>
      <c r="DS167" s="29"/>
      <c r="DT167" s="29"/>
      <c r="DU167" s="29"/>
      <c r="DV167" s="29"/>
      <c r="DW167" s="29"/>
      <c r="DX167" s="29"/>
      <c r="DY167" s="29"/>
      <c r="DZ167" s="29"/>
      <c r="EA167" s="29"/>
      <c r="EB167" s="29"/>
      <c r="EC167" s="29"/>
      <c r="ED167" s="29"/>
      <c r="EE167" s="29"/>
      <c r="EF167" s="29"/>
      <c r="EG167" s="29"/>
      <c r="EH167" s="29"/>
      <c r="EI167" s="29"/>
      <c r="EJ167" s="29"/>
      <c r="EK167" s="29"/>
      <c r="EL167" s="29"/>
      <c r="EM167" s="29"/>
      <c r="EN167" s="29"/>
      <c r="EO167" s="29"/>
      <c r="EP167" s="29"/>
      <c r="EQ167" s="29"/>
      <c r="ER167" s="29"/>
      <c r="ES167" s="29"/>
      <c r="ET167" s="29"/>
      <c r="EU167" s="29"/>
      <c r="EV167" s="29"/>
      <c r="EW167" s="29"/>
      <c r="EX167" s="29"/>
      <c r="EY167" s="29"/>
      <c r="EZ167" s="29"/>
      <c r="FA167" s="29"/>
      <c r="FB167" s="29"/>
      <c r="FC167" s="29"/>
      <c r="FD167" s="29"/>
      <c r="FE167" s="29"/>
      <c r="FF167" s="29"/>
      <c r="FG167" s="29"/>
      <c r="FH167" s="29"/>
      <c r="FI167" s="29"/>
      <c r="FJ167" s="29"/>
      <c r="FK167" s="29"/>
      <c r="FL167" s="29"/>
      <c r="FM167" s="29"/>
      <c r="FN167" s="29"/>
      <c r="FO167" s="29"/>
      <c r="FP167" s="29"/>
      <c r="FQ167" s="29"/>
      <c r="FR167" s="29"/>
      <c r="FS167" s="29"/>
      <c r="FT167" s="29"/>
      <c r="FU167" s="29"/>
      <c r="FV167" s="29"/>
      <c r="FW167" s="29"/>
      <c r="FX167" s="29"/>
      <c r="FY167" s="29"/>
      <c r="FZ167" s="29"/>
      <c r="GA167" s="29"/>
      <c r="GB167" s="29"/>
      <c r="GC167" s="29"/>
      <c r="GD167" s="29"/>
      <c r="GE167" s="29"/>
      <c r="GF167" s="29"/>
      <c r="GG167" s="29"/>
      <c r="GH167" s="29"/>
      <c r="GI167" s="29"/>
      <c r="GJ167" s="29"/>
      <c r="GK167" s="29"/>
      <c r="GL167" s="29"/>
      <c r="GM167" s="29"/>
      <c r="GN167" s="29"/>
      <c r="GO167" s="29"/>
      <c r="GP167" s="29"/>
      <c r="GQ167" s="29"/>
      <c r="GR167" s="29"/>
      <c r="GS167" s="29"/>
      <c r="GT167" s="29"/>
      <c r="GU167" s="29"/>
      <c r="GV167" s="29"/>
      <c r="GW167" s="29"/>
      <c r="GX167" s="29"/>
      <c r="GY167" s="29"/>
      <c r="GZ167" s="29"/>
      <c r="HA167" s="29"/>
      <c r="HB167" s="29"/>
      <c r="HC167" s="29"/>
      <c r="HD167" s="29"/>
      <c r="HE167" s="29"/>
      <c r="HF167" s="29"/>
      <c r="HG167" s="29"/>
      <c r="HH167" s="29"/>
      <c r="HI167" s="29"/>
      <c r="HJ167" s="29"/>
      <c r="HK167" s="29"/>
      <c r="HL167" s="29"/>
      <c r="HM167" s="29"/>
      <c r="HN167" s="29"/>
      <c r="HO167" s="29"/>
      <c r="HP167" s="29"/>
      <c r="HQ167" s="29"/>
      <c r="HR167" s="29"/>
      <c r="HS167" s="29"/>
      <c r="HT167" s="29"/>
      <c r="HU167" s="29"/>
      <c r="HV167" s="29"/>
      <c r="HW167" s="29"/>
      <c r="HX167" s="29"/>
      <c r="HY167" s="29"/>
      <c r="HZ167" s="29"/>
      <c r="IA167" s="29"/>
      <c r="IB167" s="29"/>
      <c r="IC167" s="29"/>
      <c r="ID167" s="29"/>
      <c r="IE167" s="29"/>
      <c r="IF167" s="29"/>
      <c r="IG167" s="29"/>
      <c r="IH167" s="29"/>
      <c r="II167" s="29"/>
      <c r="IJ167" s="29"/>
      <c r="IK167" s="29"/>
      <c r="IL167" s="29"/>
      <c r="IM167" s="29"/>
      <c r="IN167" s="29"/>
      <c r="IO167" s="29"/>
      <c r="IP167" s="29"/>
      <c r="IQ167" s="29"/>
      <c r="IR167" s="29"/>
      <c r="IS167" s="29"/>
      <c r="IT167" s="29"/>
      <c r="IU167" s="29"/>
      <c r="IV167" s="29"/>
      <c r="IW167" s="29"/>
    </row>
    <row r="168" customFormat="false" ht="12.75" hidden="false" customHeight="false" outlineLevel="1" collapsed="false">
      <c r="A168" s="11" t="s">
        <v>7</v>
      </c>
      <c r="B168" s="17" t="n">
        <f aca="false">NPV(0.1,D168:Y168)</f>
        <v>440714.407089297</v>
      </c>
      <c r="C168" s="17" t="n">
        <f aca="false">B168-B158</f>
        <v>0</v>
      </c>
      <c r="D168" s="18" t="n">
        <v>26456.1651721875</v>
      </c>
      <c r="E168" s="19" t="n">
        <v>36622.8167682054</v>
      </c>
      <c r="F168" s="19" t="n">
        <v>36899.7467266388</v>
      </c>
      <c r="G168" s="19" t="n">
        <v>37130.4608454278</v>
      </c>
      <c r="H168" s="19" t="n">
        <v>46551.6218507978</v>
      </c>
      <c r="I168" s="19" t="n">
        <v>54368.3363263156</v>
      </c>
      <c r="J168" s="19" t="n">
        <v>55774.1081752542</v>
      </c>
      <c r="K168" s="19" t="n">
        <v>56836.4340779057</v>
      </c>
      <c r="L168" s="19" t="n">
        <v>58014.036281412</v>
      </c>
      <c r="M168" s="19" t="n">
        <v>59306.2801784764</v>
      </c>
      <c r="N168" s="19" t="n">
        <v>60748.6390469201</v>
      </c>
      <c r="O168" s="20" t="n">
        <v>62343.6917451537</v>
      </c>
      <c r="P168" s="21" t="n">
        <v>64230.9099191597</v>
      </c>
      <c r="Q168" s="21" t="n">
        <v>66205.4173948106</v>
      </c>
      <c r="R168" s="21" t="n">
        <v>68260.1936842274</v>
      </c>
      <c r="S168" s="21" t="n">
        <v>70358.6179348906</v>
      </c>
      <c r="T168" s="21" t="n">
        <v>72482.4395694936</v>
      </c>
      <c r="U168" s="21" t="n">
        <v>74297.4767975085</v>
      </c>
      <c r="V168" s="21" t="n">
        <v>76073.9231579729</v>
      </c>
      <c r="W168" s="21" t="n">
        <v>77846.43841275</v>
      </c>
      <c r="X168" s="21" t="n">
        <v>78083.6229526837</v>
      </c>
      <c r="Y168" s="0"/>
      <c r="Z168" s="0"/>
      <c r="AA168" s="0"/>
      <c r="AB168" s="0"/>
      <c r="AC168" s="0"/>
      <c r="AD168" s="0"/>
      <c r="AE168" s="0"/>
      <c r="AF168" s="0"/>
      <c r="AG168" s="0"/>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c r="DT168" s="29"/>
      <c r="DU168" s="29"/>
      <c r="DV168" s="29"/>
      <c r="DW168" s="29"/>
      <c r="DX168" s="29"/>
      <c r="DY168" s="29"/>
      <c r="DZ168" s="29"/>
      <c r="EA168" s="29"/>
      <c r="EB168" s="29"/>
      <c r="EC168" s="29"/>
      <c r="ED168" s="29"/>
      <c r="EE168" s="29"/>
      <c r="EF168" s="29"/>
      <c r="EG168" s="29"/>
      <c r="EH168" s="29"/>
      <c r="EI168" s="29"/>
      <c r="EJ168" s="29"/>
      <c r="EK168" s="29"/>
      <c r="EL168" s="29"/>
      <c r="EM168" s="29"/>
      <c r="EN168" s="29"/>
      <c r="EO168" s="29"/>
      <c r="EP168" s="29"/>
      <c r="EQ168" s="29"/>
      <c r="ER168" s="29"/>
      <c r="ES168" s="29"/>
      <c r="ET168" s="29"/>
      <c r="EU168" s="29"/>
      <c r="EV168" s="29"/>
      <c r="EW168" s="29"/>
      <c r="EX168" s="29"/>
      <c r="EY168" s="29"/>
      <c r="EZ168" s="29"/>
      <c r="FA168" s="29"/>
      <c r="FB168" s="29"/>
      <c r="FC168" s="29"/>
      <c r="FD168" s="29"/>
      <c r="FE168" s="29"/>
      <c r="FF168" s="29"/>
      <c r="FG168" s="29"/>
      <c r="FH168" s="29"/>
      <c r="FI168" s="29"/>
      <c r="FJ168" s="29"/>
      <c r="FK168" s="29"/>
      <c r="FL168" s="29"/>
      <c r="FM168" s="29"/>
      <c r="FN168" s="29"/>
      <c r="FO168" s="29"/>
      <c r="FP168" s="29"/>
      <c r="FQ168" s="29"/>
      <c r="FR168" s="29"/>
      <c r="FS168" s="29"/>
      <c r="FT168" s="29"/>
      <c r="FU168" s="29"/>
      <c r="FV168" s="29"/>
      <c r="FW168" s="29"/>
      <c r="FX168" s="29"/>
      <c r="FY168" s="29"/>
      <c r="FZ168" s="29"/>
      <c r="GA168" s="29"/>
      <c r="GB168" s="29"/>
      <c r="GC168" s="29"/>
      <c r="GD168" s="29"/>
      <c r="GE168" s="29"/>
      <c r="GF168" s="29"/>
      <c r="GG168" s="29"/>
      <c r="GH168" s="29"/>
      <c r="GI168" s="29"/>
      <c r="GJ168" s="29"/>
      <c r="GK168" s="29"/>
      <c r="GL168" s="29"/>
      <c r="GM168" s="29"/>
      <c r="GN168" s="29"/>
      <c r="GO168" s="29"/>
      <c r="GP168" s="29"/>
      <c r="GQ168" s="29"/>
      <c r="GR168" s="29"/>
      <c r="GS168" s="29"/>
      <c r="GT168" s="29"/>
      <c r="GU168" s="29"/>
      <c r="GV168" s="29"/>
      <c r="GW168" s="29"/>
      <c r="GX168" s="29"/>
      <c r="GY168" s="29"/>
      <c r="GZ168" s="29"/>
      <c r="HA168" s="29"/>
      <c r="HB168" s="29"/>
      <c r="HC168" s="29"/>
      <c r="HD168" s="29"/>
      <c r="HE168" s="29"/>
      <c r="HF168" s="29"/>
      <c r="HG168" s="29"/>
      <c r="HH168" s="29"/>
      <c r="HI168" s="29"/>
      <c r="HJ168" s="29"/>
      <c r="HK168" s="29"/>
      <c r="HL168" s="29"/>
      <c r="HM168" s="29"/>
      <c r="HN168" s="29"/>
      <c r="HO168" s="29"/>
      <c r="HP168" s="29"/>
      <c r="HQ168" s="29"/>
      <c r="HR168" s="29"/>
      <c r="HS168" s="29"/>
      <c r="HT168" s="29"/>
      <c r="HU168" s="29"/>
      <c r="HV168" s="29"/>
      <c r="HW168" s="29"/>
      <c r="HX168" s="29"/>
      <c r="HY168" s="29"/>
      <c r="HZ168" s="29"/>
      <c r="IA168" s="29"/>
      <c r="IB168" s="29"/>
      <c r="IC168" s="29"/>
      <c r="ID168" s="29"/>
      <c r="IE168" s="29"/>
      <c r="IF168" s="29"/>
      <c r="IG168" s="29"/>
      <c r="IH168" s="29"/>
      <c r="II168" s="29"/>
      <c r="IJ168" s="29"/>
      <c r="IK168" s="29"/>
      <c r="IL168" s="29"/>
      <c r="IM168" s="29"/>
      <c r="IN168" s="29"/>
      <c r="IO168" s="29"/>
      <c r="IP168" s="29"/>
      <c r="IQ168" s="29"/>
      <c r="IR168" s="29"/>
      <c r="IS168" s="29"/>
      <c r="IT168" s="29"/>
      <c r="IU168" s="29"/>
      <c r="IV168" s="29"/>
      <c r="IW168" s="29"/>
    </row>
    <row r="169" customFormat="false" ht="12.75" hidden="false" customHeight="false" outlineLevel="1" collapsed="false">
      <c r="A169" s="22" t="s">
        <v>8</v>
      </c>
      <c r="B169" s="17" t="n">
        <f aca="false">NPV(0.1,D169:Y169)</f>
        <v>218232.234666344</v>
      </c>
      <c r="C169" s="17" t="n">
        <f aca="false">B169-B159</f>
        <v>0</v>
      </c>
      <c r="D169" s="18" t="n">
        <v>17195.7782105208</v>
      </c>
      <c r="E169" s="19" t="n">
        <v>21345.4715296649</v>
      </c>
      <c r="F169" s="19" t="n">
        <v>21704.0068721244</v>
      </c>
      <c r="G169" s="19" t="n">
        <v>22019.1013886794</v>
      </c>
      <c r="H169" s="19" t="n">
        <v>22407.1671403082</v>
      </c>
      <c r="I169" s="19" t="n">
        <v>22877.5036274408</v>
      </c>
      <c r="J169" s="19" t="n">
        <v>23430.2132320166</v>
      </c>
      <c r="K169" s="19" t="n">
        <v>24096.0971223684</v>
      </c>
      <c r="L169" s="19" t="n">
        <v>24883.9972026557</v>
      </c>
      <c r="M169" s="19" t="n">
        <v>25794.0253483881</v>
      </c>
      <c r="N169" s="19" t="n">
        <v>26856.9925062754</v>
      </c>
      <c r="O169" s="20" t="n">
        <v>28866.1959781107</v>
      </c>
      <c r="P169" s="21" t="n">
        <v>30192.9444546342</v>
      </c>
      <c r="Q169" s="21" t="n">
        <v>31593.1029706645</v>
      </c>
      <c r="R169" s="21" t="n">
        <v>33076.5723311866</v>
      </c>
      <c r="S169" s="21" t="n">
        <v>34607.3428694888</v>
      </c>
      <c r="T169" s="21" t="n">
        <v>36135.1239054809</v>
      </c>
      <c r="U169" s="21" t="n">
        <v>37667.8568202135</v>
      </c>
      <c r="V169" s="21" t="n">
        <v>39187.2012449568</v>
      </c>
      <c r="W169" s="21" t="n">
        <v>40827.5064486994</v>
      </c>
      <c r="X169" s="21" t="n">
        <v>40683.2019600191</v>
      </c>
      <c r="Y169" s="0"/>
      <c r="Z169" s="0"/>
      <c r="AA169" s="0"/>
      <c r="AB169" s="0"/>
      <c r="AC169" s="0"/>
      <c r="AD169" s="0"/>
      <c r="AE169" s="0"/>
      <c r="AF169" s="0"/>
      <c r="AG169" s="0"/>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c r="BO169" s="29"/>
      <c r="BP169" s="29"/>
      <c r="BQ169" s="29"/>
      <c r="BR169" s="29"/>
      <c r="BS169" s="29"/>
      <c r="BT169" s="29"/>
      <c r="BU169" s="29"/>
      <c r="BV169" s="29"/>
      <c r="BW169" s="29"/>
      <c r="BX169" s="29"/>
      <c r="BY169" s="29"/>
      <c r="BZ169" s="29"/>
      <c r="CA169" s="29"/>
      <c r="CB169" s="29"/>
      <c r="CC169" s="29"/>
      <c r="CD169" s="29"/>
      <c r="CE169" s="29"/>
      <c r="CF169" s="29"/>
      <c r="CG169" s="29"/>
      <c r="CH169" s="29"/>
      <c r="CI169" s="29"/>
      <c r="CJ169" s="29"/>
      <c r="CK169" s="29"/>
      <c r="CL169" s="29"/>
      <c r="CM169" s="29"/>
      <c r="CN169" s="29"/>
      <c r="CO169" s="29"/>
      <c r="CP169" s="29"/>
      <c r="CQ169" s="29"/>
      <c r="CR169" s="29"/>
      <c r="CS169" s="29"/>
      <c r="CT169" s="29"/>
      <c r="CU169" s="29"/>
      <c r="CV169" s="29"/>
      <c r="CW169" s="29"/>
      <c r="CX169" s="29"/>
      <c r="CY169" s="29"/>
      <c r="CZ169" s="29"/>
      <c r="DA169" s="29"/>
      <c r="DB169" s="29"/>
      <c r="DC169" s="29"/>
      <c r="DD169" s="29"/>
      <c r="DE169" s="29"/>
      <c r="DF169" s="29"/>
      <c r="DG169" s="29"/>
      <c r="DH169" s="29"/>
      <c r="DI169" s="29"/>
      <c r="DJ169" s="29"/>
      <c r="DK169" s="29"/>
      <c r="DL169" s="29"/>
      <c r="DM169" s="29"/>
      <c r="DN169" s="29"/>
      <c r="DO169" s="29"/>
      <c r="DP169" s="29"/>
      <c r="DQ169" s="29"/>
      <c r="DR169" s="29"/>
      <c r="DS169" s="29"/>
      <c r="DT169" s="29"/>
      <c r="DU169" s="29"/>
      <c r="DV169" s="29"/>
      <c r="DW169" s="29"/>
      <c r="DX169" s="29"/>
      <c r="DY169" s="29"/>
      <c r="DZ169" s="29"/>
      <c r="EA169" s="29"/>
      <c r="EB169" s="29"/>
      <c r="EC169" s="29"/>
      <c r="ED169" s="29"/>
      <c r="EE169" s="29"/>
      <c r="EF169" s="29"/>
      <c r="EG169" s="29"/>
      <c r="EH169" s="29"/>
      <c r="EI169" s="29"/>
      <c r="EJ169" s="29"/>
      <c r="EK169" s="29"/>
      <c r="EL169" s="29"/>
      <c r="EM169" s="29"/>
      <c r="EN169" s="29"/>
      <c r="EO169" s="29"/>
      <c r="EP169" s="29"/>
      <c r="EQ169" s="29"/>
      <c r="ER169" s="29"/>
      <c r="ES169" s="29"/>
      <c r="ET169" s="29"/>
      <c r="EU169" s="29"/>
      <c r="EV169" s="29"/>
      <c r="EW169" s="29"/>
      <c r="EX169" s="29"/>
      <c r="EY169" s="29"/>
      <c r="EZ169" s="29"/>
      <c r="FA169" s="29"/>
      <c r="FB169" s="29"/>
      <c r="FC169" s="29"/>
      <c r="FD169" s="29"/>
      <c r="FE169" s="29"/>
      <c r="FF169" s="29"/>
      <c r="FG169" s="29"/>
      <c r="FH169" s="29"/>
      <c r="FI169" s="29"/>
      <c r="FJ169" s="29"/>
      <c r="FK169" s="29"/>
      <c r="FL169" s="29"/>
      <c r="FM169" s="29"/>
      <c r="FN169" s="29"/>
      <c r="FO169" s="29"/>
      <c r="FP169" s="29"/>
      <c r="FQ169" s="29"/>
      <c r="FR169" s="29"/>
      <c r="FS169" s="29"/>
      <c r="FT169" s="29"/>
      <c r="FU169" s="29"/>
      <c r="FV169" s="29"/>
      <c r="FW169" s="29"/>
      <c r="FX169" s="29"/>
      <c r="FY169" s="29"/>
      <c r="FZ169" s="29"/>
      <c r="GA169" s="29"/>
      <c r="GB169" s="29"/>
      <c r="GC169" s="29"/>
      <c r="GD169" s="29"/>
      <c r="GE169" s="29"/>
      <c r="GF169" s="29"/>
      <c r="GG169" s="29"/>
      <c r="GH169" s="29"/>
      <c r="GI169" s="29"/>
      <c r="GJ169" s="29"/>
      <c r="GK169" s="29"/>
      <c r="GL169" s="29"/>
      <c r="GM169" s="29"/>
      <c r="GN169" s="29"/>
      <c r="GO169" s="29"/>
      <c r="GP169" s="29"/>
      <c r="GQ169" s="29"/>
      <c r="GR169" s="29"/>
      <c r="GS169" s="29"/>
      <c r="GT169" s="29"/>
      <c r="GU169" s="29"/>
      <c r="GV169" s="29"/>
      <c r="GW169" s="29"/>
      <c r="GX169" s="29"/>
      <c r="GY169" s="29"/>
      <c r="GZ169" s="29"/>
      <c r="HA169" s="29"/>
      <c r="HB169" s="29"/>
      <c r="HC169" s="29"/>
      <c r="HD169" s="29"/>
      <c r="HE169" s="29"/>
      <c r="HF169" s="29"/>
      <c r="HG169" s="29"/>
      <c r="HH169" s="29"/>
      <c r="HI169" s="29"/>
      <c r="HJ169" s="29"/>
      <c r="HK169" s="29"/>
      <c r="HL169" s="29"/>
      <c r="HM169" s="29"/>
      <c r="HN169" s="29"/>
      <c r="HO169" s="29"/>
      <c r="HP169" s="29"/>
      <c r="HQ169" s="29"/>
      <c r="HR169" s="29"/>
      <c r="HS169" s="29"/>
      <c r="HT169" s="29"/>
      <c r="HU169" s="29"/>
      <c r="HV169" s="29"/>
      <c r="HW169" s="29"/>
      <c r="HX169" s="29"/>
      <c r="HY169" s="29"/>
      <c r="HZ169" s="29"/>
      <c r="IA169" s="29"/>
      <c r="IB169" s="29"/>
      <c r="IC169" s="29"/>
      <c r="ID169" s="29"/>
      <c r="IE169" s="29"/>
      <c r="IF169" s="29"/>
      <c r="IG169" s="29"/>
      <c r="IH169" s="29"/>
      <c r="II169" s="29"/>
      <c r="IJ169" s="29"/>
      <c r="IK169" s="29"/>
      <c r="IL169" s="29"/>
      <c r="IM169" s="29"/>
      <c r="IN169" s="29"/>
      <c r="IO169" s="29"/>
      <c r="IP169" s="29"/>
      <c r="IQ169" s="29"/>
      <c r="IR169" s="29"/>
      <c r="IS169" s="29"/>
      <c r="IT169" s="29"/>
      <c r="IU169" s="29"/>
      <c r="IV169" s="29"/>
      <c r="IW169" s="29"/>
    </row>
    <row r="170" customFormat="false" ht="12.75" hidden="false" customHeight="false" outlineLevel="1" collapsed="false">
      <c r="A170" s="22" t="s">
        <v>9</v>
      </c>
      <c r="B170" s="17" t="n">
        <f aca="false">NPV(0.1,D170:Y170)</f>
        <v>82251.8527025246</v>
      </c>
      <c r="C170" s="17" t="n">
        <f aca="false">B170-B160</f>
        <v>-280.0463687499</v>
      </c>
      <c r="D170" s="18" t="n">
        <v>487.568349477571</v>
      </c>
      <c r="E170" s="19" t="n">
        <v>1275.29280190336</v>
      </c>
      <c r="F170" s="19" t="n">
        <v>1355.64584873828</v>
      </c>
      <c r="G170" s="19" t="n">
        <v>1411.19493436372</v>
      </c>
      <c r="H170" s="19" t="n">
        <v>6992.9681542656</v>
      </c>
      <c r="I170" s="19" t="n">
        <v>11786.0062143912</v>
      </c>
      <c r="J170" s="19" t="n">
        <v>12687.5927378734</v>
      </c>
      <c r="K170" s="19" t="n">
        <v>13203.1369834148</v>
      </c>
      <c r="L170" s="19" t="n">
        <v>13798.806833666</v>
      </c>
      <c r="M170" s="19" t="n">
        <v>14425.2448640876</v>
      </c>
      <c r="N170" s="19" t="n">
        <v>15087.992060549</v>
      </c>
      <c r="O170" s="20" t="n">
        <v>15243.9226308061</v>
      </c>
      <c r="P170" s="21" t="n">
        <v>16088.1028952869</v>
      </c>
      <c r="Q170" s="21" t="n">
        <v>16990.974563729</v>
      </c>
      <c r="R170" s="21" t="n">
        <v>17804.8422243121</v>
      </c>
      <c r="S170" s="21" t="n">
        <v>18775.5398145805</v>
      </c>
      <c r="T170" s="21" t="n">
        <v>19178.7814585742</v>
      </c>
      <c r="U170" s="21" t="n">
        <v>19371.6791824969</v>
      </c>
      <c r="V170" s="21" t="n">
        <v>19549.5716825896</v>
      </c>
      <c r="W170" s="21" t="n">
        <v>19577.6682033397</v>
      </c>
      <c r="X170" s="21" t="n">
        <v>19833.5348754302</v>
      </c>
      <c r="Y170" s="0"/>
      <c r="Z170" s="0"/>
      <c r="AA170" s="0"/>
      <c r="AB170" s="0"/>
      <c r="AC170" s="0"/>
      <c r="AD170" s="0"/>
      <c r="AE170" s="0"/>
      <c r="AF170" s="0"/>
      <c r="AG170" s="0"/>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c r="BN170" s="29"/>
      <c r="BO170" s="29"/>
      <c r="BP170" s="29"/>
      <c r="BQ170" s="29"/>
      <c r="BR170" s="29"/>
      <c r="BS170" s="29"/>
      <c r="BT170" s="29"/>
      <c r="BU170" s="29"/>
      <c r="BV170" s="29"/>
      <c r="BW170" s="29"/>
      <c r="BX170" s="29"/>
      <c r="BY170" s="29"/>
      <c r="BZ170" s="29"/>
      <c r="CA170" s="29"/>
      <c r="CB170" s="29"/>
      <c r="CC170" s="29"/>
      <c r="CD170" s="29"/>
      <c r="CE170" s="29"/>
      <c r="CF170" s="29"/>
      <c r="CG170" s="29"/>
      <c r="CH170" s="29"/>
      <c r="CI170" s="29"/>
      <c r="CJ170" s="29"/>
      <c r="CK170" s="29"/>
      <c r="CL170" s="29"/>
      <c r="CM170" s="29"/>
      <c r="CN170" s="29"/>
      <c r="CO170" s="29"/>
      <c r="CP170" s="29"/>
      <c r="CQ170" s="29"/>
      <c r="CR170" s="29"/>
      <c r="CS170" s="29"/>
      <c r="CT170" s="29"/>
      <c r="CU170" s="29"/>
      <c r="CV170" s="29"/>
      <c r="CW170" s="29"/>
      <c r="CX170" s="29"/>
      <c r="CY170" s="29"/>
      <c r="CZ170" s="29"/>
      <c r="DA170" s="29"/>
      <c r="DB170" s="29"/>
      <c r="DC170" s="29"/>
      <c r="DD170" s="29"/>
      <c r="DE170" s="29"/>
      <c r="DF170" s="29"/>
      <c r="DG170" s="29"/>
      <c r="DH170" s="29"/>
      <c r="DI170" s="29"/>
      <c r="DJ170" s="29"/>
      <c r="DK170" s="29"/>
      <c r="DL170" s="29"/>
      <c r="DM170" s="29"/>
      <c r="DN170" s="29"/>
      <c r="DO170" s="29"/>
      <c r="DP170" s="29"/>
      <c r="DQ170" s="29"/>
      <c r="DR170" s="29"/>
      <c r="DS170" s="29"/>
      <c r="DT170" s="29"/>
      <c r="DU170" s="29"/>
      <c r="DV170" s="29"/>
      <c r="DW170" s="29"/>
      <c r="DX170" s="29"/>
      <c r="DY170" s="29"/>
      <c r="DZ170" s="29"/>
      <c r="EA170" s="29"/>
      <c r="EB170" s="29"/>
      <c r="EC170" s="29"/>
      <c r="ED170" s="29"/>
      <c r="EE170" s="29"/>
      <c r="EF170" s="29"/>
      <c r="EG170" s="29"/>
      <c r="EH170" s="29"/>
      <c r="EI170" s="29"/>
      <c r="EJ170" s="29"/>
      <c r="EK170" s="29"/>
      <c r="EL170" s="29"/>
      <c r="EM170" s="29"/>
      <c r="EN170" s="29"/>
      <c r="EO170" s="29"/>
      <c r="EP170" s="29"/>
      <c r="EQ170" s="29"/>
      <c r="ER170" s="29"/>
      <c r="ES170" s="29"/>
      <c r="ET170" s="29"/>
      <c r="EU170" s="29"/>
      <c r="EV170" s="29"/>
      <c r="EW170" s="29"/>
      <c r="EX170" s="29"/>
      <c r="EY170" s="29"/>
      <c r="EZ170" s="29"/>
      <c r="FA170" s="29"/>
      <c r="FB170" s="29"/>
      <c r="FC170" s="29"/>
      <c r="FD170" s="29"/>
      <c r="FE170" s="29"/>
      <c r="FF170" s="29"/>
      <c r="FG170" s="29"/>
      <c r="FH170" s="29"/>
      <c r="FI170" s="29"/>
      <c r="FJ170" s="29"/>
      <c r="FK170" s="29"/>
      <c r="FL170" s="29"/>
      <c r="FM170" s="29"/>
      <c r="FN170" s="29"/>
      <c r="FO170" s="29"/>
      <c r="FP170" s="29"/>
      <c r="FQ170" s="29"/>
      <c r="FR170" s="29"/>
      <c r="FS170" s="29"/>
      <c r="FT170" s="29"/>
      <c r="FU170" s="29"/>
      <c r="FV170" s="29"/>
      <c r="FW170" s="29"/>
      <c r="FX170" s="29"/>
      <c r="FY170" s="29"/>
      <c r="FZ170" s="29"/>
      <c r="GA170" s="29"/>
      <c r="GB170" s="29"/>
      <c r="GC170" s="29"/>
      <c r="GD170" s="29"/>
      <c r="GE170" s="29"/>
      <c r="GF170" s="29"/>
      <c r="GG170" s="29"/>
      <c r="GH170" s="29"/>
      <c r="GI170" s="29"/>
      <c r="GJ170" s="29"/>
      <c r="GK170" s="29"/>
      <c r="GL170" s="29"/>
      <c r="GM170" s="29"/>
      <c r="GN170" s="29"/>
      <c r="GO170" s="29"/>
      <c r="GP170" s="29"/>
      <c r="GQ170" s="29"/>
      <c r="GR170" s="29"/>
      <c r="GS170" s="29"/>
      <c r="GT170" s="29"/>
      <c r="GU170" s="29"/>
      <c r="GV170" s="29"/>
      <c r="GW170" s="29"/>
      <c r="GX170" s="29"/>
      <c r="GY170" s="29"/>
      <c r="GZ170" s="29"/>
      <c r="HA170" s="29"/>
      <c r="HB170" s="29"/>
      <c r="HC170" s="29"/>
      <c r="HD170" s="29"/>
      <c r="HE170" s="29"/>
      <c r="HF170" s="29"/>
      <c r="HG170" s="29"/>
      <c r="HH170" s="29"/>
      <c r="HI170" s="29"/>
      <c r="HJ170" s="29"/>
      <c r="HK170" s="29"/>
      <c r="HL170" s="29"/>
      <c r="HM170" s="29"/>
      <c r="HN170" s="29"/>
      <c r="HO170" s="29"/>
      <c r="HP170" s="29"/>
      <c r="HQ170" s="29"/>
      <c r="HR170" s="29"/>
      <c r="HS170" s="29"/>
      <c r="HT170" s="29"/>
      <c r="HU170" s="29"/>
      <c r="HV170" s="29"/>
      <c r="HW170" s="29"/>
      <c r="HX170" s="29"/>
      <c r="HY170" s="29"/>
      <c r="HZ170" s="29"/>
      <c r="IA170" s="29"/>
      <c r="IB170" s="29"/>
      <c r="IC170" s="29"/>
      <c r="ID170" s="29"/>
      <c r="IE170" s="29"/>
      <c r="IF170" s="29"/>
      <c r="IG170" s="29"/>
      <c r="IH170" s="29"/>
      <c r="II170" s="29"/>
      <c r="IJ170" s="29"/>
      <c r="IK170" s="29"/>
      <c r="IL170" s="29"/>
      <c r="IM170" s="29"/>
      <c r="IN170" s="29"/>
      <c r="IO170" s="29"/>
      <c r="IP170" s="29"/>
      <c r="IQ170" s="29"/>
      <c r="IR170" s="29"/>
      <c r="IS170" s="29"/>
      <c r="IT170" s="29"/>
      <c r="IU170" s="29"/>
      <c r="IV170" s="29"/>
      <c r="IW170" s="29"/>
    </row>
    <row r="171" customFormat="false" ht="12.75" hidden="false" customHeight="false" outlineLevel="1" collapsed="false">
      <c r="A171" s="22" t="s">
        <v>10</v>
      </c>
      <c r="B171" s="17" t="n">
        <f aca="false">NPV(0.1,D171:Y171)</f>
        <v>99331.5001065123</v>
      </c>
      <c r="C171" s="17" t="n">
        <f aca="false">B171-B161</f>
        <v>246.431719336979</v>
      </c>
      <c r="D171" s="23" t="n">
        <v>2833.13868122994</v>
      </c>
      <c r="E171" s="24" t="n">
        <v>5505.89432569288</v>
      </c>
      <c r="F171" s="24" t="n">
        <v>4964.58266371404</v>
      </c>
      <c r="G171" s="24" t="n">
        <v>4923.24818499946</v>
      </c>
      <c r="H171" s="24" t="n">
        <v>14408.9842440548</v>
      </c>
      <c r="I171" s="24" t="n">
        <v>18771.2605232808</v>
      </c>
      <c r="J171" s="24" t="n">
        <v>12981.7354398058</v>
      </c>
      <c r="K171" s="24" t="n">
        <v>12849.760077276</v>
      </c>
      <c r="L171" s="24" t="n">
        <v>12742.0819919708</v>
      </c>
      <c r="M171" s="24" t="n">
        <v>12622.9122128199</v>
      </c>
      <c r="N171" s="24" t="n">
        <v>12463.485623616</v>
      </c>
      <c r="O171" s="25" t="n">
        <v>12850.2167188891</v>
      </c>
      <c r="P171" s="21" t="n">
        <v>11850.8539416442</v>
      </c>
      <c r="Q171" s="21" t="n">
        <v>11662.333166063</v>
      </c>
      <c r="R171" s="21" t="n">
        <v>16396.1904333739</v>
      </c>
      <c r="S171" s="21" t="n">
        <v>23608.7894666049</v>
      </c>
      <c r="T171" s="21" t="n">
        <v>22283.3553581795</v>
      </c>
      <c r="U171" s="21" t="n">
        <v>22464.7031571034</v>
      </c>
      <c r="V171" s="21" t="n">
        <v>22647.3705129569</v>
      </c>
      <c r="W171" s="21" t="n">
        <v>22778.3049263894</v>
      </c>
      <c r="X171" s="21" t="n">
        <v>22761.2881951632</v>
      </c>
      <c r="Y171" s="0"/>
      <c r="Z171" s="0"/>
      <c r="AA171" s="0"/>
      <c r="AB171" s="0"/>
      <c r="AC171" s="0"/>
      <c r="AD171" s="0"/>
      <c r="AE171" s="0"/>
      <c r="AF171" s="0"/>
      <c r="AG171" s="0"/>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c r="BM171" s="29"/>
      <c r="BN171" s="29"/>
      <c r="BO171" s="29"/>
      <c r="BP171" s="29"/>
      <c r="BQ171" s="29"/>
      <c r="BR171" s="29"/>
      <c r="BS171" s="29"/>
      <c r="BT171" s="29"/>
      <c r="BU171" s="29"/>
      <c r="BV171" s="29"/>
      <c r="BW171" s="29"/>
      <c r="BX171" s="29"/>
      <c r="BY171" s="29"/>
      <c r="BZ171" s="29"/>
      <c r="CA171" s="29"/>
      <c r="CB171" s="29"/>
      <c r="CC171" s="29"/>
      <c r="CD171" s="29"/>
      <c r="CE171" s="29"/>
      <c r="CF171" s="29"/>
      <c r="CG171" s="29"/>
      <c r="CH171" s="29"/>
      <c r="CI171" s="29"/>
      <c r="CJ171" s="29"/>
      <c r="CK171" s="29"/>
      <c r="CL171" s="29"/>
      <c r="CM171" s="29"/>
      <c r="CN171" s="29"/>
      <c r="CO171" s="29"/>
      <c r="CP171" s="29"/>
      <c r="CQ171" s="29"/>
      <c r="CR171" s="29"/>
      <c r="CS171" s="29"/>
      <c r="CT171" s="29"/>
      <c r="CU171" s="29"/>
      <c r="CV171" s="29"/>
      <c r="CW171" s="29"/>
      <c r="CX171" s="29"/>
      <c r="CY171" s="29"/>
      <c r="CZ171" s="29"/>
      <c r="DA171" s="29"/>
      <c r="DB171" s="29"/>
      <c r="DC171" s="29"/>
      <c r="DD171" s="29"/>
      <c r="DE171" s="29"/>
      <c r="DF171" s="29"/>
      <c r="DG171" s="29"/>
      <c r="DH171" s="29"/>
      <c r="DI171" s="29"/>
      <c r="DJ171" s="29"/>
      <c r="DK171" s="29"/>
      <c r="DL171" s="29"/>
      <c r="DM171" s="29"/>
      <c r="DN171" s="29"/>
      <c r="DO171" s="29"/>
      <c r="DP171" s="29"/>
      <c r="DQ171" s="29"/>
      <c r="DR171" s="29"/>
      <c r="DS171" s="29"/>
      <c r="DT171" s="29"/>
      <c r="DU171" s="29"/>
      <c r="DV171" s="29"/>
      <c r="DW171" s="29"/>
      <c r="DX171" s="29"/>
      <c r="DY171" s="29"/>
      <c r="DZ171" s="29"/>
      <c r="EA171" s="29"/>
      <c r="EB171" s="29"/>
      <c r="EC171" s="29"/>
      <c r="ED171" s="29"/>
      <c r="EE171" s="29"/>
      <c r="EF171" s="29"/>
      <c r="EG171" s="29"/>
      <c r="EH171" s="29"/>
      <c r="EI171" s="29"/>
      <c r="EJ171" s="29"/>
      <c r="EK171" s="29"/>
      <c r="EL171" s="29"/>
      <c r="EM171" s="29"/>
      <c r="EN171" s="29"/>
      <c r="EO171" s="29"/>
      <c r="EP171" s="29"/>
      <c r="EQ171" s="29"/>
      <c r="ER171" s="29"/>
      <c r="ES171" s="29"/>
      <c r="ET171" s="29"/>
      <c r="EU171" s="29"/>
      <c r="EV171" s="29"/>
      <c r="EW171" s="29"/>
      <c r="EX171" s="29"/>
      <c r="EY171" s="29"/>
      <c r="EZ171" s="29"/>
      <c r="FA171" s="29"/>
      <c r="FB171" s="29"/>
      <c r="FC171" s="29"/>
      <c r="FD171" s="29"/>
      <c r="FE171" s="29"/>
      <c r="FF171" s="29"/>
      <c r="FG171" s="29"/>
      <c r="FH171" s="29"/>
      <c r="FI171" s="29"/>
      <c r="FJ171" s="29"/>
      <c r="FK171" s="29"/>
      <c r="FL171" s="29"/>
      <c r="FM171" s="29"/>
      <c r="FN171" s="29"/>
      <c r="FO171" s="29"/>
      <c r="FP171" s="29"/>
      <c r="FQ171" s="29"/>
      <c r="FR171" s="29"/>
      <c r="FS171" s="29"/>
      <c r="FT171" s="29"/>
      <c r="FU171" s="29"/>
      <c r="FV171" s="29"/>
      <c r="FW171" s="29"/>
      <c r="FX171" s="29"/>
      <c r="FY171" s="29"/>
      <c r="FZ171" s="29"/>
      <c r="GA171" s="29"/>
      <c r="GB171" s="29"/>
      <c r="GC171" s="29"/>
      <c r="GD171" s="29"/>
      <c r="GE171" s="29"/>
      <c r="GF171" s="29"/>
      <c r="GG171" s="29"/>
      <c r="GH171" s="29"/>
      <c r="GI171" s="29"/>
      <c r="GJ171" s="29"/>
      <c r="GK171" s="29"/>
      <c r="GL171" s="29"/>
      <c r="GM171" s="29"/>
      <c r="GN171" s="29"/>
      <c r="GO171" s="29"/>
      <c r="GP171" s="29"/>
      <c r="GQ171" s="29"/>
      <c r="GR171" s="29"/>
      <c r="GS171" s="29"/>
      <c r="GT171" s="29"/>
      <c r="GU171" s="29"/>
      <c r="GV171" s="29"/>
      <c r="GW171" s="29"/>
      <c r="GX171" s="29"/>
      <c r="GY171" s="29"/>
      <c r="GZ171" s="29"/>
      <c r="HA171" s="29"/>
      <c r="HB171" s="29"/>
      <c r="HC171" s="29"/>
      <c r="HD171" s="29"/>
      <c r="HE171" s="29"/>
      <c r="HF171" s="29"/>
      <c r="HG171" s="29"/>
      <c r="HH171" s="29"/>
      <c r="HI171" s="29"/>
      <c r="HJ171" s="29"/>
      <c r="HK171" s="29"/>
      <c r="HL171" s="29"/>
      <c r="HM171" s="29"/>
      <c r="HN171" s="29"/>
      <c r="HO171" s="29"/>
      <c r="HP171" s="29"/>
      <c r="HQ171" s="29"/>
      <c r="HR171" s="29"/>
      <c r="HS171" s="29"/>
      <c r="HT171" s="29"/>
      <c r="HU171" s="29"/>
      <c r="HV171" s="29"/>
      <c r="HW171" s="29"/>
      <c r="HX171" s="29"/>
      <c r="HY171" s="29"/>
      <c r="HZ171" s="29"/>
      <c r="IA171" s="29"/>
      <c r="IB171" s="29"/>
      <c r="IC171" s="29"/>
      <c r="ID171" s="29"/>
      <c r="IE171" s="29"/>
      <c r="IF171" s="29"/>
      <c r="IG171" s="29"/>
      <c r="IH171" s="29"/>
      <c r="II171" s="29"/>
      <c r="IJ171" s="29"/>
      <c r="IK171" s="29"/>
      <c r="IL171" s="29"/>
      <c r="IM171" s="29"/>
      <c r="IN171" s="29"/>
      <c r="IO171" s="29"/>
      <c r="IP171" s="29"/>
      <c r="IQ171" s="29"/>
      <c r="IR171" s="29"/>
      <c r="IS171" s="29"/>
      <c r="IT171" s="29"/>
      <c r="IU171" s="29"/>
      <c r="IV171" s="29"/>
      <c r="IW171" s="29"/>
    </row>
    <row r="172" customFormat="false" ht="12.75" hidden="false" customHeight="false" outlineLevel="1" collapsed="false">
      <c r="A172" s="5"/>
      <c r="B172" s="5"/>
      <c r="C172" s="5"/>
      <c r="D172" s="0"/>
      <c r="E172" s="0"/>
      <c r="F172" s="0"/>
      <c r="G172" s="0"/>
      <c r="H172" s="0"/>
      <c r="I172" s="0"/>
      <c r="J172" s="0"/>
      <c r="K172" s="0"/>
      <c r="L172" s="0"/>
      <c r="M172" s="0"/>
      <c r="N172" s="0"/>
      <c r="O172" s="0"/>
      <c r="P172" s="0"/>
      <c r="Q172" s="0"/>
      <c r="R172" s="0"/>
      <c r="S172" s="0"/>
      <c r="T172" s="0"/>
      <c r="U172" s="0"/>
      <c r="V172" s="0"/>
      <c r="W172" s="0"/>
      <c r="X172" s="0"/>
      <c r="Y172" s="0"/>
      <c r="Z172" s="0"/>
      <c r="AA172" s="0"/>
      <c r="AB172" s="0"/>
      <c r="AC172" s="0"/>
      <c r="AD172" s="0"/>
      <c r="AE172" s="0"/>
      <c r="AF172" s="0"/>
      <c r="AG172" s="0"/>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29"/>
      <c r="CC172" s="29"/>
      <c r="CD172" s="29"/>
      <c r="CE172" s="29"/>
      <c r="CF172" s="29"/>
      <c r="CG172" s="29"/>
      <c r="CH172" s="29"/>
      <c r="CI172" s="29"/>
      <c r="CJ172" s="29"/>
      <c r="CK172" s="29"/>
      <c r="CL172" s="29"/>
      <c r="CM172" s="29"/>
      <c r="CN172" s="29"/>
      <c r="CO172" s="29"/>
      <c r="CP172" s="29"/>
      <c r="CQ172" s="29"/>
      <c r="CR172" s="29"/>
      <c r="CS172" s="29"/>
      <c r="CT172" s="29"/>
      <c r="CU172" s="29"/>
      <c r="CV172" s="29"/>
      <c r="CW172" s="29"/>
      <c r="CX172" s="29"/>
      <c r="CY172" s="29"/>
      <c r="CZ172" s="29"/>
      <c r="DA172" s="29"/>
      <c r="DB172" s="29"/>
      <c r="DC172" s="29"/>
      <c r="DD172" s="29"/>
      <c r="DE172" s="29"/>
      <c r="DF172" s="29"/>
      <c r="DG172" s="29"/>
      <c r="DH172" s="29"/>
      <c r="DI172" s="29"/>
      <c r="DJ172" s="29"/>
      <c r="DK172" s="29"/>
      <c r="DL172" s="29"/>
      <c r="DM172" s="29"/>
      <c r="DN172" s="29"/>
      <c r="DO172" s="29"/>
      <c r="DP172" s="29"/>
      <c r="DQ172" s="29"/>
      <c r="DR172" s="29"/>
      <c r="DS172" s="29"/>
      <c r="DT172" s="29"/>
      <c r="DU172" s="29"/>
      <c r="DV172" s="29"/>
      <c r="DW172" s="29"/>
      <c r="DX172" s="29"/>
      <c r="DY172" s="29"/>
      <c r="DZ172" s="29"/>
      <c r="EA172" s="29"/>
      <c r="EB172" s="29"/>
      <c r="EC172" s="29"/>
      <c r="ED172" s="29"/>
      <c r="EE172" s="29"/>
      <c r="EF172" s="29"/>
      <c r="EG172" s="29"/>
      <c r="EH172" s="29"/>
      <c r="EI172" s="29"/>
      <c r="EJ172" s="29"/>
      <c r="EK172" s="29"/>
      <c r="EL172" s="29"/>
      <c r="EM172" s="29"/>
      <c r="EN172" s="29"/>
      <c r="EO172" s="29"/>
      <c r="EP172" s="29"/>
      <c r="EQ172" s="29"/>
      <c r="ER172" s="29"/>
      <c r="ES172" s="29"/>
      <c r="ET172" s="29"/>
      <c r="EU172" s="29"/>
      <c r="EV172" s="29"/>
      <c r="EW172" s="29"/>
      <c r="EX172" s="29"/>
      <c r="EY172" s="29"/>
      <c r="EZ172" s="29"/>
      <c r="FA172" s="29"/>
      <c r="FB172" s="29"/>
      <c r="FC172" s="29"/>
      <c r="FD172" s="29"/>
      <c r="FE172" s="29"/>
      <c r="FF172" s="29"/>
      <c r="FG172" s="29"/>
      <c r="FH172" s="29"/>
      <c r="FI172" s="29"/>
      <c r="FJ172" s="29"/>
      <c r="FK172" s="29"/>
      <c r="FL172" s="29"/>
      <c r="FM172" s="29"/>
      <c r="FN172" s="29"/>
      <c r="FO172" s="29"/>
      <c r="FP172" s="29"/>
      <c r="FQ172" s="29"/>
      <c r="FR172" s="29"/>
      <c r="FS172" s="29"/>
      <c r="FT172" s="29"/>
      <c r="FU172" s="29"/>
      <c r="FV172" s="29"/>
      <c r="FW172" s="29"/>
      <c r="FX172" s="29"/>
      <c r="FY172" s="29"/>
      <c r="FZ172" s="29"/>
      <c r="GA172" s="29"/>
      <c r="GB172" s="29"/>
      <c r="GC172" s="29"/>
      <c r="GD172" s="29"/>
      <c r="GE172" s="29"/>
      <c r="GF172" s="29"/>
      <c r="GG172" s="29"/>
      <c r="GH172" s="29"/>
      <c r="GI172" s="29"/>
      <c r="GJ172" s="29"/>
      <c r="GK172" s="29"/>
      <c r="GL172" s="29"/>
      <c r="GM172" s="29"/>
      <c r="GN172" s="29"/>
      <c r="GO172" s="29"/>
      <c r="GP172" s="29"/>
      <c r="GQ172" s="29"/>
      <c r="GR172" s="29"/>
      <c r="GS172" s="29"/>
      <c r="GT172" s="29"/>
      <c r="GU172" s="29"/>
      <c r="GV172" s="29"/>
      <c r="GW172" s="29"/>
      <c r="GX172" s="29"/>
      <c r="GY172" s="29"/>
      <c r="GZ172" s="29"/>
      <c r="HA172" s="29"/>
      <c r="HB172" s="29"/>
      <c r="HC172" s="29"/>
      <c r="HD172" s="29"/>
      <c r="HE172" s="29"/>
      <c r="HF172" s="29"/>
      <c r="HG172" s="29"/>
      <c r="HH172" s="29"/>
      <c r="HI172" s="29"/>
      <c r="HJ172" s="29"/>
      <c r="HK172" s="29"/>
      <c r="HL172" s="29"/>
      <c r="HM172" s="29"/>
      <c r="HN172" s="29"/>
      <c r="HO172" s="29"/>
      <c r="HP172" s="29"/>
      <c r="HQ172" s="29"/>
      <c r="HR172" s="29"/>
      <c r="HS172" s="29"/>
      <c r="HT172" s="29"/>
      <c r="HU172" s="29"/>
      <c r="HV172" s="29"/>
      <c r="HW172" s="29"/>
      <c r="HX172" s="29"/>
      <c r="HY172" s="29"/>
      <c r="HZ172" s="29"/>
      <c r="IA172" s="29"/>
      <c r="IB172" s="29"/>
      <c r="IC172" s="29"/>
      <c r="ID172" s="29"/>
      <c r="IE172" s="29"/>
      <c r="IF172" s="29"/>
      <c r="IG172" s="29"/>
      <c r="IH172" s="29"/>
      <c r="II172" s="29"/>
      <c r="IJ172" s="29"/>
      <c r="IK172" s="29"/>
      <c r="IL172" s="29"/>
      <c r="IM172" s="29"/>
      <c r="IN172" s="29"/>
      <c r="IO172" s="29"/>
      <c r="IP172" s="29"/>
      <c r="IQ172" s="29"/>
      <c r="IR172" s="29"/>
      <c r="IS172" s="29"/>
      <c r="IT172" s="29"/>
      <c r="IU172" s="29"/>
      <c r="IV172" s="29"/>
      <c r="IW172" s="29"/>
    </row>
    <row r="173" customFormat="false" ht="12.75" hidden="false" customHeight="false" outlineLevel="1" collapsed="false">
      <c r="A173" s="26" t="s">
        <v>29</v>
      </c>
      <c r="B173" s="5"/>
      <c r="C173" s="5"/>
      <c r="D173" s="0"/>
      <c r="E173" s="0"/>
      <c r="F173" s="0"/>
      <c r="G173" s="0"/>
      <c r="H173" s="0"/>
      <c r="I173" s="0"/>
      <c r="J173" s="0"/>
      <c r="K173" s="0"/>
      <c r="L173" s="0"/>
      <c r="M173" s="0"/>
      <c r="N173" s="0"/>
      <c r="O173" s="0"/>
      <c r="P173" s="0"/>
      <c r="Q173" s="0"/>
      <c r="R173" s="0"/>
      <c r="S173" s="0"/>
      <c r="T173" s="0"/>
      <c r="U173" s="0"/>
      <c r="V173" s="0"/>
      <c r="W173" s="0"/>
      <c r="X173" s="0"/>
      <c r="Y173" s="0"/>
      <c r="Z173" s="0"/>
      <c r="AA173" s="0"/>
      <c r="AB173" s="0"/>
      <c r="AC173" s="0"/>
      <c r="AD173" s="0"/>
      <c r="AE173" s="0"/>
      <c r="AF173" s="0"/>
      <c r="AG173" s="0"/>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29"/>
      <c r="CC173" s="29"/>
      <c r="CD173" s="29"/>
      <c r="CE173" s="29"/>
      <c r="CF173" s="29"/>
      <c r="CG173" s="29"/>
      <c r="CH173" s="29"/>
      <c r="CI173" s="29"/>
      <c r="CJ173" s="29"/>
      <c r="CK173" s="29"/>
      <c r="CL173" s="29"/>
      <c r="CM173" s="29"/>
      <c r="CN173" s="29"/>
      <c r="CO173" s="29"/>
      <c r="CP173" s="29"/>
      <c r="CQ173" s="29"/>
      <c r="CR173" s="29"/>
      <c r="CS173" s="29"/>
      <c r="CT173" s="29"/>
      <c r="CU173" s="29"/>
      <c r="CV173" s="29"/>
      <c r="CW173" s="29"/>
      <c r="CX173" s="29"/>
      <c r="CY173" s="29"/>
      <c r="CZ173" s="29"/>
      <c r="DA173" s="29"/>
      <c r="DB173" s="29"/>
      <c r="DC173" s="29"/>
      <c r="DD173" s="29"/>
      <c r="DE173" s="29"/>
      <c r="DF173" s="29"/>
      <c r="DG173" s="29"/>
      <c r="DH173" s="29"/>
      <c r="DI173" s="29"/>
      <c r="DJ173" s="29"/>
      <c r="DK173" s="29"/>
      <c r="DL173" s="29"/>
      <c r="DM173" s="29"/>
      <c r="DN173" s="29"/>
      <c r="DO173" s="29"/>
      <c r="DP173" s="29"/>
      <c r="DQ173" s="29"/>
      <c r="DR173" s="29"/>
      <c r="DS173" s="29"/>
      <c r="DT173" s="29"/>
      <c r="DU173" s="29"/>
      <c r="DV173" s="29"/>
      <c r="DW173" s="29"/>
      <c r="DX173" s="29"/>
      <c r="DY173" s="29"/>
      <c r="DZ173" s="29"/>
      <c r="EA173" s="29"/>
      <c r="EB173" s="29"/>
      <c r="EC173" s="29"/>
      <c r="ED173" s="29"/>
      <c r="EE173" s="29"/>
      <c r="EF173" s="29"/>
      <c r="EG173" s="29"/>
      <c r="EH173" s="29"/>
      <c r="EI173" s="29"/>
      <c r="EJ173" s="29"/>
      <c r="EK173" s="29"/>
      <c r="EL173" s="29"/>
      <c r="EM173" s="29"/>
      <c r="EN173" s="29"/>
      <c r="EO173" s="29"/>
      <c r="EP173" s="29"/>
      <c r="EQ173" s="29"/>
      <c r="ER173" s="29"/>
      <c r="ES173" s="29"/>
      <c r="ET173" s="29"/>
      <c r="EU173" s="29"/>
      <c r="EV173" s="29"/>
      <c r="EW173" s="29"/>
      <c r="EX173" s="29"/>
      <c r="EY173" s="29"/>
      <c r="EZ173" s="29"/>
      <c r="FA173" s="29"/>
      <c r="FB173" s="29"/>
      <c r="FC173" s="29"/>
      <c r="FD173" s="29"/>
      <c r="FE173" s="29"/>
      <c r="FF173" s="29"/>
      <c r="FG173" s="29"/>
      <c r="FH173" s="29"/>
      <c r="FI173" s="29"/>
      <c r="FJ173" s="29"/>
      <c r="FK173" s="29"/>
      <c r="FL173" s="29"/>
      <c r="FM173" s="29"/>
      <c r="FN173" s="29"/>
      <c r="FO173" s="29"/>
      <c r="FP173" s="29"/>
      <c r="FQ173" s="29"/>
      <c r="FR173" s="29"/>
      <c r="FS173" s="29"/>
      <c r="FT173" s="29"/>
      <c r="FU173" s="29"/>
      <c r="FV173" s="29"/>
      <c r="FW173" s="29"/>
      <c r="FX173" s="29"/>
      <c r="FY173" s="29"/>
      <c r="FZ173" s="29"/>
      <c r="GA173" s="29"/>
      <c r="GB173" s="29"/>
      <c r="GC173" s="29"/>
      <c r="GD173" s="29"/>
      <c r="GE173" s="29"/>
      <c r="GF173" s="29"/>
      <c r="GG173" s="29"/>
      <c r="GH173" s="29"/>
      <c r="GI173" s="29"/>
      <c r="GJ173" s="29"/>
      <c r="GK173" s="29"/>
      <c r="GL173" s="29"/>
      <c r="GM173" s="29"/>
      <c r="GN173" s="29"/>
      <c r="GO173" s="29"/>
      <c r="GP173" s="29"/>
      <c r="GQ173" s="29"/>
      <c r="GR173" s="29"/>
      <c r="GS173" s="29"/>
      <c r="GT173" s="29"/>
      <c r="GU173" s="29"/>
      <c r="GV173" s="29"/>
      <c r="GW173" s="29"/>
      <c r="GX173" s="29"/>
      <c r="GY173" s="29"/>
      <c r="GZ173" s="29"/>
      <c r="HA173" s="29"/>
      <c r="HB173" s="29"/>
      <c r="HC173" s="29"/>
      <c r="HD173" s="29"/>
      <c r="HE173" s="29"/>
      <c r="HF173" s="29"/>
      <c r="HG173" s="29"/>
      <c r="HH173" s="29"/>
      <c r="HI173" s="29"/>
      <c r="HJ173" s="29"/>
      <c r="HK173" s="29"/>
      <c r="HL173" s="29"/>
      <c r="HM173" s="29"/>
      <c r="HN173" s="29"/>
      <c r="HO173" s="29"/>
      <c r="HP173" s="29"/>
      <c r="HQ173" s="29"/>
      <c r="HR173" s="29"/>
      <c r="HS173" s="29"/>
      <c r="HT173" s="29"/>
      <c r="HU173" s="29"/>
      <c r="HV173" s="29"/>
      <c r="HW173" s="29"/>
      <c r="HX173" s="29"/>
      <c r="HY173" s="29"/>
      <c r="HZ173" s="29"/>
      <c r="IA173" s="29"/>
      <c r="IB173" s="29"/>
      <c r="IC173" s="29"/>
      <c r="ID173" s="29"/>
      <c r="IE173" s="29"/>
      <c r="IF173" s="29"/>
      <c r="IG173" s="29"/>
      <c r="IH173" s="29"/>
      <c r="II173" s="29"/>
      <c r="IJ173" s="29"/>
      <c r="IK173" s="29"/>
      <c r="IL173" s="29"/>
      <c r="IM173" s="29"/>
      <c r="IN173" s="29"/>
      <c r="IO173" s="29"/>
      <c r="IP173" s="29"/>
      <c r="IQ173" s="29"/>
      <c r="IR173" s="29"/>
      <c r="IS173" s="29"/>
      <c r="IT173" s="29"/>
      <c r="IU173" s="29"/>
      <c r="IV173" s="29"/>
      <c r="IW173" s="29"/>
    </row>
    <row r="174" customFormat="false" ht="12.75" hidden="false" customHeight="false" outlineLevel="1" collapsed="false">
      <c r="A174" s="28" t="n">
        <v>36248</v>
      </c>
      <c r="B174" s="5"/>
      <c r="C174" s="5"/>
      <c r="D174" s="0"/>
      <c r="E174" s="0"/>
      <c r="F174" s="0"/>
      <c r="G174" s="0"/>
      <c r="H174" s="0"/>
      <c r="I174" s="0"/>
      <c r="J174" s="0"/>
      <c r="K174" s="0"/>
      <c r="L174" s="0"/>
      <c r="M174" s="0"/>
      <c r="N174" s="0"/>
      <c r="O174" s="0"/>
      <c r="P174" s="0"/>
      <c r="Q174" s="0"/>
      <c r="R174" s="0"/>
      <c r="S174" s="0"/>
      <c r="T174" s="0"/>
      <c r="U174" s="0"/>
      <c r="V174" s="0"/>
      <c r="W174" s="0"/>
      <c r="X174" s="0"/>
      <c r="Y174" s="0"/>
      <c r="Z174" s="0"/>
      <c r="AA174" s="0"/>
      <c r="AB174" s="0"/>
      <c r="AC174" s="0"/>
      <c r="AD174" s="0"/>
      <c r="AE174" s="0"/>
      <c r="AF174" s="0"/>
      <c r="AG174" s="0"/>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c r="CB174" s="29"/>
      <c r="CC174" s="29"/>
      <c r="CD174" s="29"/>
      <c r="CE174" s="29"/>
      <c r="CF174" s="29"/>
      <c r="CG174" s="29"/>
      <c r="CH174" s="29"/>
      <c r="CI174" s="29"/>
      <c r="CJ174" s="29"/>
      <c r="CK174" s="29"/>
      <c r="CL174" s="29"/>
      <c r="CM174" s="29"/>
      <c r="CN174" s="29"/>
      <c r="CO174" s="29"/>
      <c r="CP174" s="29"/>
      <c r="CQ174" s="29"/>
      <c r="CR174" s="29"/>
      <c r="CS174" s="29"/>
      <c r="CT174" s="29"/>
      <c r="CU174" s="29"/>
      <c r="CV174" s="29"/>
      <c r="CW174" s="29"/>
      <c r="CX174" s="29"/>
      <c r="CY174" s="29"/>
      <c r="CZ174" s="29"/>
      <c r="DA174" s="29"/>
      <c r="DB174" s="29"/>
      <c r="DC174" s="29"/>
      <c r="DD174" s="29"/>
      <c r="DE174" s="29"/>
      <c r="DF174" s="29"/>
      <c r="DG174" s="29"/>
      <c r="DH174" s="29"/>
      <c r="DI174" s="29"/>
      <c r="DJ174" s="29"/>
      <c r="DK174" s="29"/>
      <c r="DL174" s="29"/>
      <c r="DM174" s="29"/>
      <c r="DN174" s="29"/>
      <c r="DO174" s="29"/>
      <c r="DP174" s="29"/>
      <c r="DQ174" s="29"/>
      <c r="DR174" s="29"/>
      <c r="DS174" s="29"/>
      <c r="DT174" s="29"/>
      <c r="DU174" s="29"/>
      <c r="DV174" s="29"/>
      <c r="DW174" s="29"/>
      <c r="DX174" s="29"/>
      <c r="DY174" s="29"/>
      <c r="DZ174" s="29"/>
      <c r="EA174" s="29"/>
      <c r="EB174" s="29"/>
      <c r="EC174" s="29"/>
      <c r="ED174" s="29"/>
      <c r="EE174" s="29"/>
      <c r="EF174" s="29"/>
      <c r="EG174" s="29"/>
      <c r="EH174" s="29"/>
      <c r="EI174" s="29"/>
      <c r="EJ174" s="29"/>
      <c r="EK174" s="29"/>
      <c r="EL174" s="29"/>
      <c r="EM174" s="29"/>
      <c r="EN174" s="29"/>
      <c r="EO174" s="29"/>
      <c r="EP174" s="29"/>
      <c r="EQ174" s="29"/>
      <c r="ER174" s="29"/>
      <c r="ES174" s="29"/>
      <c r="ET174" s="29"/>
      <c r="EU174" s="29"/>
      <c r="EV174" s="29"/>
      <c r="EW174" s="29"/>
      <c r="EX174" s="29"/>
      <c r="EY174" s="29"/>
      <c r="EZ174" s="29"/>
      <c r="FA174" s="29"/>
      <c r="FB174" s="29"/>
      <c r="FC174" s="29"/>
      <c r="FD174" s="29"/>
      <c r="FE174" s="29"/>
      <c r="FF174" s="29"/>
      <c r="FG174" s="29"/>
      <c r="FH174" s="29"/>
      <c r="FI174" s="29"/>
      <c r="FJ174" s="29"/>
      <c r="FK174" s="29"/>
      <c r="FL174" s="29"/>
      <c r="FM174" s="29"/>
      <c r="FN174" s="29"/>
      <c r="FO174" s="29"/>
      <c r="FP174" s="29"/>
      <c r="FQ174" s="29"/>
      <c r="FR174" s="29"/>
      <c r="FS174" s="29"/>
      <c r="FT174" s="29"/>
      <c r="FU174" s="29"/>
      <c r="FV174" s="29"/>
      <c r="FW174" s="29"/>
      <c r="FX174" s="29"/>
      <c r="FY174" s="29"/>
      <c r="FZ174" s="29"/>
      <c r="GA174" s="29"/>
      <c r="GB174" s="29"/>
      <c r="GC174" s="29"/>
      <c r="GD174" s="29"/>
      <c r="GE174" s="29"/>
      <c r="GF174" s="29"/>
      <c r="GG174" s="29"/>
      <c r="GH174" s="29"/>
      <c r="GI174" s="29"/>
      <c r="GJ174" s="29"/>
      <c r="GK174" s="29"/>
      <c r="GL174" s="29"/>
      <c r="GM174" s="29"/>
      <c r="GN174" s="29"/>
      <c r="GO174" s="29"/>
      <c r="GP174" s="29"/>
      <c r="GQ174" s="29"/>
      <c r="GR174" s="29"/>
      <c r="GS174" s="29"/>
      <c r="GT174" s="29"/>
      <c r="GU174" s="29"/>
      <c r="GV174" s="29"/>
      <c r="GW174" s="29"/>
      <c r="GX174" s="29"/>
      <c r="GY174" s="29"/>
      <c r="GZ174" s="29"/>
      <c r="HA174" s="29"/>
      <c r="HB174" s="29"/>
      <c r="HC174" s="29"/>
      <c r="HD174" s="29"/>
      <c r="HE174" s="29"/>
      <c r="HF174" s="29"/>
      <c r="HG174" s="29"/>
      <c r="HH174" s="29"/>
      <c r="HI174" s="29"/>
      <c r="HJ174" s="29"/>
      <c r="HK174" s="29"/>
      <c r="HL174" s="29"/>
      <c r="HM174" s="29"/>
      <c r="HN174" s="29"/>
      <c r="HO174" s="29"/>
      <c r="HP174" s="29"/>
      <c r="HQ174" s="29"/>
      <c r="HR174" s="29"/>
      <c r="HS174" s="29"/>
      <c r="HT174" s="29"/>
      <c r="HU174" s="29"/>
      <c r="HV174" s="29"/>
      <c r="HW174" s="29"/>
      <c r="HX174" s="29"/>
      <c r="HY174" s="29"/>
      <c r="HZ174" s="29"/>
      <c r="IA174" s="29"/>
      <c r="IB174" s="29"/>
      <c r="IC174" s="29"/>
      <c r="ID174" s="29"/>
      <c r="IE174" s="29"/>
      <c r="IF174" s="29"/>
      <c r="IG174" s="29"/>
      <c r="IH174" s="29"/>
      <c r="II174" s="29"/>
      <c r="IJ174" s="29"/>
      <c r="IK174" s="29"/>
      <c r="IL174" s="29"/>
      <c r="IM174" s="29"/>
      <c r="IN174" s="29"/>
      <c r="IO174" s="29"/>
      <c r="IP174" s="29"/>
      <c r="IQ174" s="29"/>
      <c r="IR174" s="29"/>
      <c r="IS174" s="29"/>
      <c r="IT174" s="29"/>
      <c r="IU174" s="29"/>
      <c r="IV174" s="29"/>
      <c r="IW174" s="29"/>
    </row>
    <row r="175" customFormat="false" ht="12.75" hidden="false" customHeight="false" outlineLevel="1" collapsed="false">
      <c r="A175" s="7" t="s">
        <v>2</v>
      </c>
      <c r="B175" s="8" t="n">
        <v>30210.4925332713</v>
      </c>
      <c r="C175" s="5" t="s">
        <v>14</v>
      </c>
      <c r="D175" s="0"/>
      <c r="E175" s="0"/>
      <c r="F175" s="0"/>
      <c r="G175" s="0"/>
      <c r="H175" s="0"/>
      <c r="I175" s="0"/>
      <c r="J175" s="0"/>
      <c r="K175" s="0"/>
      <c r="L175" s="0"/>
      <c r="M175" s="0"/>
      <c r="N175" s="0"/>
      <c r="O175" s="0"/>
      <c r="P175" s="0"/>
      <c r="Q175" s="0"/>
      <c r="R175" s="0"/>
      <c r="S175" s="0"/>
      <c r="T175" s="0"/>
      <c r="U175" s="0"/>
      <c r="V175" s="0"/>
      <c r="W175" s="0"/>
      <c r="X175" s="0"/>
      <c r="Y175" s="0"/>
      <c r="Z175" s="0"/>
      <c r="AA175" s="0"/>
      <c r="AB175" s="0"/>
      <c r="AC175" s="0"/>
      <c r="AD175" s="0"/>
      <c r="AE175" s="0"/>
      <c r="AF175" s="0"/>
      <c r="AG175" s="0"/>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c r="BN175" s="29"/>
      <c r="BO175" s="29"/>
      <c r="BP175" s="29"/>
      <c r="BQ175" s="29"/>
      <c r="BR175" s="29"/>
      <c r="BS175" s="29"/>
      <c r="BT175" s="29"/>
      <c r="BU175" s="29"/>
      <c r="BV175" s="29"/>
      <c r="BW175" s="29"/>
      <c r="BX175" s="29"/>
      <c r="BY175" s="29"/>
      <c r="BZ175" s="29"/>
      <c r="CA175" s="29"/>
      <c r="CB175" s="29"/>
      <c r="CC175" s="29"/>
      <c r="CD175" s="29"/>
      <c r="CE175" s="29"/>
      <c r="CF175" s="29"/>
      <c r="CG175" s="29"/>
      <c r="CH175" s="29"/>
      <c r="CI175" s="29"/>
      <c r="CJ175" s="29"/>
      <c r="CK175" s="29"/>
      <c r="CL175" s="29"/>
      <c r="CM175" s="29"/>
      <c r="CN175" s="29"/>
      <c r="CO175" s="29"/>
      <c r="CP175" s="29"/>
      <c r="CQ175" s="29"/>
      <c r="CR175" s="29"/>
      <c r="CS175" s="29"/>
      <c r="CT175" s="29"/>
      <c r="CU175" s="29"/>
      <c r="CV175" s="29"/>
      <c r="CW175" s="29"/>
      <c r="CX175" s="29"/>
      <c r="CY175" s="29"/>
      <c r="CZ175" s="29"/>
      <c r="DA175" s="29"/>
      <c r="DB175" s="29"/>
      <c r="DC175" s="29"/>
      <c r="DD175" s="29"/>
      <c r="DE175" s="29"/>
      <c r="DF175" s="29"/>
      <c r="DG175" s="29"/>
      <c r="DH175" s="29"/>
      <c r="DI175" s="29"/>
      <c r="DJ175" s="29"/>
      <c r="DK175" s="29"/>
      <c r="DL175" s="29"/>
      <c r="DM175" s="29"/>
      <c r="DN175" s="29"/>
      <c r="DO175" s="29"/>
      <c r="DP175" s="29"/>
      <c r="DQ175" s="29"/>
      <c r="DR175" s="29"/>
      <c r="DS175" s="29"/>
      <c r="DT175" s="29"/>
      <c r="DU175" s="29"/>
      <c r="DV175" s="29"/>
      <c r="DW175" s="29"/>
      <c r="DX175" s="29"/>
      <c r="DY175" s="29"/>
      <c r="DZ175" s="29"/>
      <c r="EA175" s="29"/>
      <c r="EB175" s="29"/>
      <c r="EC175" s="29"/>
      <c r="ED175" s="29"/>
      <c r="EE175" s="29"/>
      <c r="EF175" s="29"/>
      <c r="EG175" s="29"/>
      <c r="EH175" s="29"/>
      <c r="EI175" s="29"/>
      <c r="EJ175" s="29"/>
      <c r="EK175" s="29"/>
      <c r="EL175" s="29"/>
      <c r="EM175" s="29"/>
      <c r="EN175" s="29"/>
      <c r="EO175" s="29"/>
      <c r="EP175" s="29"/>
      <c r="EQ175" s="29"/>
      <c r="ER175" s="29"/>
      <c r="ES175" s="29"/>
      <c r="ET175" s="29"/>
      <c r="EU175" s="29"/>
      <c r="EV175" s="29"/>
      <c r="EW175" s="29"/>
      <c r="EX175" s="29"/>
      <c r="EY175" s="29"/>
      <c r="EZ175" s="29"/>
      <c r="FA175" s="29"/>
      <c r="FB175" s="29"/>
      <c r="FC175" s="29"/>
      <c r="FD175" s="29"/>
      <c r="FE175" s="29"/>
      <c r="FF175" s="29"/>
      <c r="FG175" s="29"/>
      <c r="FH175" s="29"/>
      <c r="FI175" s="29"/>
      <c r="FJ175" s="29"/>
      <c r="FK175" s="29"/>
      <c r="FL175" s="29"/>
      <c r="FM175" s="29"/>
      <c r="FN175" s="29"/>
      <c r="FO175" s="29"/>
      <c r="FP175" s="29"/>
      <c r="FQ175" s="29"/>
      <c r="FR175" s="29"/>
      <c r="FS175" s="29"/>
      <c r="FT175" s="29"/>
      <c r="FU175" s="29"/>
      <c r="FV175" s="29"/>
      <c r="FW175" s="29"/>
      <c r="FX175" s="29"/>
      <c r="FY175" s="29"/>
      <c r="FZ175" s="29"/>
      <c r="GA175" s="29"/>
      <c r="GB175" s="29"/>
      <c r="GC175" s="29"/>
      <c r="GD175" s="29"/>
      <c r="GE175" s="29"/>
      <c r="GF175" s="29"/>
      <c r="GG175" s="29"/>
      <c r="GH175" s="29"/>
      <c r="GI175" s="29"/>
      <c r="GJ175" s="29"/>
      <c r="GK175" s="29"/>
      <c r="GL175" s="29"/>
      <c r="GM175" s="29"/>
      <c r="GN175" s="29"/>
      <c r="GO175" s="29"/>
      <c r="GP175" s="29"/>
      <c r="GQ175" s="29"/>
      <c r="GR175" s="29"/>
      <c r="GS175" s="29"/>
      <c r="GT175" s="29"/>
      <c r="GU175" s="29"/>
      <c r="GV175" s="29"/>
      <c r="GW175" s="29"/>
      <c r="GX175" s="29"/>
      <c r="GY175" s="29"/>
      <c r="GZ175" s="29"/>
      <c r="HA175" s="29"/>
      <c r="HB175" s="29"/>
      <c r="HC175" s="29"/>
      <c r="HD175" s="29"/>
      <c r="HE175" s="29"/>
      <c r="HF175" s="29"/>
      <c r="HG175" s="29"/>
      <c r="HH175" s="29"/>
      <c r="HI175" s="29"/>
      <c r="HJ175" s="29"/>
      <c r="HK175" s="29"/>
      <c r="HL175" s="29"/>
      <c r="HM175" s="29"/>
      <c r="HN175" s="29"/>
      <c r="HO175" s="29"/>
      <c r="HP175" s="29"/>
      <c r="HQ175" s="29"/>
      <c r="HR175" s="29"/>
      <c r="HS175" s="29"/>
      <c r="HT175" s="29"/>
      <c r="HU175" s="29"/>
      <c r="HV175" s="29"/>
      <c r="HW175" s="29"/>
      <c r="HX175" s="29"/>
      <c r="HY175" s="29"/>
      <c r="HZ175" s="29"/>
      <c r="IA175" s="29"/>
      <c r="IB175" s="29"/>
      <c r="IC175" s="29"/>
      <c r="ID175" s="29"/>
      <c r="IE175" s="29"/>
      <c r="IF175" s="29"/>
      <c r="IG175" s="29"/>
      <c r="IH175" s="29"/>
      <c r="II175" s="29"/>
      <c r="IJ175" s="29"/>
      <c r="IK175" s="29"/>
      <c r="IL175" s="29"/>
      <c r="IM175" s="29"/>
      <c r="IN175" s="29"/>
      <c r="IO175" s="29"/>
      <c r="IP175" s="29"/>
      <c r="IQ175" s="29"/>
      <c r="IR175" s="29"/>
      <c r="IS175" s="29"/>
      <c r="IT175" s="29"/>
      <c r="IU175" s="29"/>
      <c r="IV175" s="29"/>
      <c r="IW175" s="29"/>
    </row>
    <row r="176" customFormat="false" ht="12.75" hidden="false" customHeight="false" outlineLevel="1" collapsed="false">
      <c r="A176" s="9" t="s">
        <v>3</v>
      </c>
      <c r="B176" s="10" t="n">
        <v>62697.0874422262</v>
      </c>
      <c r="C176" s="5"/>
      <c r="D176" s="0"/>
      <c r="E176" s="0"/>
      <c r="F176" s="0"/>
      <c r="G176" s="0"/>
      <c r="H176" s="0"/>
      <c r="I176" s="0"/>
      <c r="J176" s="0"/>
      <c r="K176" s="0"/>
      <c r="L176" s="0"/>
      <c r="M176" s="0"/>
      <c r="N176" s="0"/>
      <c r="O176" s="0"/>
      <c r="P176" s="0"/>
      <c r="Q176" s="0"/>
      <c r="R176" s="0"/>
      <c r="S176" s="0"/>
      <c r="T176" s="0"/>
      <c r="U176" s="0"/>
      <c r="V176" s="0"/>
      <c r="W176" s="0"/>
      <c r="X176" s="0"/>
      <c r="Y176" s="0"/>
      <c r="Z176" s="0"/>
      <c r="AA176" s="0"/>
      <c r="AB176" s="0"/>
      <c r="AC176" s="0"/>
      <c r="AD176" s="0"/>
      <c r="AE176" s="0"/>
      <c r="AF176" s="0"/>
      <c r="AG176" s="0"/>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c r="DP176" s="29"/>
      <c r="DQ176" s="29"/>
      <c r="DR176" s="29"/>
      <c r="DS176" s="29"/>
      <c r="DT176" s="29"/>
      <c r="DU176" s="29"/>
      <c r="DV176" s="29"/>
      <c r="DW176" s="29"/>
      <c r="DX176" s="29"/>
      <c r="DY176" s="29"/>
      <c r="DZ176" s="29"/>
      <c r="EA176" s="29"/>
      <c r="EB176" s="29"/>
      <c r="EC176" s="29"/>
      <c r="ED176" s="29"/>
      <c r="EE176" s="29"/>
      <c r="EF176" s="29"/>
      <c r="EG176" s="29"/>
      <c r="EH176" s="29"/>
      <c r="EI176" s="29"/>
      <c r="EJ176" s="29"/>
      <c r="EK176" s="29"/>
      <c r="EL176" s="29"/>
      <c r="EM176" s="29"/>
      <c r="EN176" s="29"/>
      <c r="EO176" s="29"/>
      <c r="EP176" s="29"/>
      <c r="EQ176" s="29"/>
      <c r="ER176" s="29"/>
      <c r="ES176" s="29"/>
      <c r="ET176" s="29"/>
      <c r="EU176" s="29"/>
      <c r="EV176" s="29"/>
      <c r="EW176" s="29"/>
      <c r="EX176" s="29"/>
      <c r="EY176" s="29"/>
      <c r="EZ176" s="29"/>
      <c r="FA176" s="29"/>
      <c r="FB176" s="29"/>
      <c r="FC176" s="29"/>
      <c r="FD176" s="29"/>
      <c r="FE176" s="29"/>
      <c r="FF176" s="29"/>
      <c r="FG176" s="29"/>
      <c r="FH176" s="29"/>
      <c r="FI176" s="29"/>
      <c r="FJ176" s="29"/>
      <c r="FK176" s="29"/>
      <c r="FL176" s="29"/>
      <c r="FM176" s="29"/>
      <c r="FN176" s="29"/>
      <c r="FO176" s="29"/>
      <c r="FP176" s="29"/>
      <c r="FQ176" s="29"/>
      <c r="FR176" s="29"/>
      <c r="FS176" s="29"/>
      <c r="FT176" s="29"/>
      <c r="FU176" s="29"/>
      <c r="FV176" s="29"/>
      <c r="FW176" s="29"/>
      <c r="FX176" s="29"/>
      <c r="FY176" s="29"/>
      <c r="FZ176" s="29"/>
      <c r="GA176" s="29"/>
      <c r="GB176" s="29"/>
      <c r="GC176" s="29"/>
      <c r="GD176" s="29"/>
      <c r="GE176" s="29"/>
      <c r="GF176" s="29"/>
      <c r="GG176" s="29"/>
      <c r="GH176" s="29"/>
      <c r="GI176" s="29"/>
      <c r="GJ176" s="29"/>
      <c r="GK176" s="29"/>
      <c r="GL176" s="29"/>
      <c r="GM176" s="29"/>
      <c r="GN176" s="29"/>
      <c r="GO176" s="29"/>
      <c r="GP176" s="29"/>
      <c r="GQ176" s="29"/>
      <c r="GR176" s="29"/>
      <c r="GS176" s="29"/>
      <c r="GT176" s="29"/>
      <c r="GU176" s="29"/>
      <c r="GV176" s="29"/>
      <c r="GW176" s="29"/>
      <c r="GX176" s="29"/>
      <c r="GY176" s="29"/>
      <c r="GZ176" s="29"/>
      <c r="HA176" s="29"/>
      <c r="HB176" s="29"/>
      <c r="HC176" s="29"/>
      <c r="HD176" s="29"/>
      <c r="HE176" s="29"/>
      <c r="HF176" s="29"/>
      <c r="HG176" s="29"/>
      <c r="HH176" s="29"/>
      <c r="HI176" s="29"/>
      <c r="HJ176" s="29"/>
      <c r="HK176" s="29"/>
      <c r="HL176" s="29"/>
      <c r="HM176" s="29"/>
      <c r="HN176" s="29"/>
      <c r="HO176" s="29"/>
      <c r="HP176" s="29"/>
      <c r="HQ176" s="29"/>
      <c r="HR176" s="29"/>
      <c r="HS176" s="29"/>
      <c r="HT176" s="29"/>
      <c r="HU176" s="29"/>
      <c r="HV176" s="29"/>
      <c r="HW176" s="29"/>
      <c r="HX176" s="29"/>
      <c r="HY176" s="29"/>
      <c r="HZ176" s="29"/>
      <c r="IA176" s="29"/>
      <c r="IB176" s="29"/>
      <c r="IC176" s="29"/>
      <c r="ID176" s="29"/>
      <c r="IE176" s="29"/>
      <c r="IF176" s="29"/>
      <c r="IG176" s="29"/>
      <c r="IH176" s="29"/>
      <c r="II176" s="29"/>
      <c r="IJ176" s="29"/>
      <c r="IK176" s="29"/>
      <c r="IL176" s="29"/>
      <c r="IM176" s="29"/>
      <c r="IN176" s="29"/>
      <c r="IO176" s="29"/>
      <c r="IP176" s="29"/>
      <c r="IQ176" s="29"/>
      <c r="IR176" s="29"/>
      <c r="IS176" s="29"/>
      <c r="IT176" s="29"/>
      <c r="IU176" s="29"/>
      <c r="IV176" s="29"/>
      <c r="IW176" s="29"/>
    </row>
    <row r="177" customFormat="false" ht="12.75" hidden="false" customHeight="false" outlineLevel="1" collapsed="false">
      <c r="A177" s="11" t="s">
        <v>4</v>
      </c>
      <c r="B177" s="12" t="s">
        <v>5</v>
      </c>
      <c r="C177" s="12" t="s">
        <v>6</v>
      </c>
      <c r="D177" s="13" t="n">
        <v>1999</v>
      </c>
      <c r="E177" s="14" t="n">
        <v>2000</v>
      </c>
      <c r="F177" s="14" t="n">
        <v>2001</v>
      </c>
      <c r="G177" s="14" t="n">
        <v>2002</v>
      </c>
      <c r="H177" s="14" t="n">
        <v>2003</v>
      </c>
      <c r="I177" s="14" t="n">
        <v>2004</v>
      </c>
      <c r="J177" s="14" t="n">
        <v>2005</v>
      </c>
      <c r="K177" s="14" t="n">
        <v>2006</v>
      </c>
      <c r="L177" s="14" t="n">
        <v>2007</v>
      </c>
      <c r="M177" s="14" t="n">
        <v>2008</v>
      </c>
      <c r="N177" s="14" t="n">
        <v>2009</v>
      </c>
      <c r="O177" s="15" t="n">
        <v>2010</v>
      </c>
      <c r="P177" s="16" t="n">
        <v>2011</v>
      </c>
      <c r="Q177" s="16" t="n">
        <v>2012</v>
      </c>
      <c r="R177" s="16" t="n">
        <v>2013</v>
      </c>
      <c r="S177" s="16" t="n">
        <v>2014</v>
      </c>
      <c r="T177" s="16" t="n">
        <v>2015</v>
      </c>
      <c r="U177" s="16" t="n">
        <v>2016</v>
      </c>
      <c r="V177" s="16" t="n">
        <v>2017</v>
      </c>
      <c r="W177" s="16" t="n">
        <v>2018</v>
      </c>
      <c r="X177" s="16" t="n">
        <v>2019</v>
      </c>
      <c r="Y177" s="0"/>
      <c r="Z177" s="0"/>
      <c r="AA177" s="0"/>
      <c r="AB177" s="0"/>
      <c r="AC177" s="0"/>
      <c r="AD177" s="0"/>
      <c r="AE177" s="0"/>
      <c r="AF177" s="0"/>
      <c r="AG177" s="0"/>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c r="BP177" s="29"/>
      <c r="BQ177" s="29"/>
      <c r="BR177" s="29"/>
      <c r="BS177" s="29"/>
      <c r="BT177" s="29"/>
      <c r="BU177" s="29"/>
      <c r="BV177" s="29"/>
      <c r="BW177" s="29"/>
      <c r="BX177" s="29"/>
      <c r="BY177" s="29"/>
      <c r="BZ177" s="29"/>
      <c r="CA177" s="29"/>
      <c r="CB177" s="29"/>
      <c r="CC177" s="29"/>
      <c r="CD177" s="29"/>
      <c r="CE177" s="29"/>
      <c r="CF177" s="29"/>
      <c r="CG177" s="29"/>
      <c r="CH177" s="29"/>
      <c r="CI177" s="29"/>
      <c r="CJ177" s="29"/>
      <c r="CK177" s="29"/>
      <c r="CL177" s="29"/>
      <c r="CM177" s="29"/>
      <c r="CN177" s="29"/>
      <c r="CO177" s="29"/>
      <c r="CP177" s="29"/>
      <c r="CQ177" s="29"/>
      <c r="CR177" s="29"/>
      <c r="CS177" s="29"/>
      <c r="CT177" s="29"/>
      <c r="CU177" s="29"/>
      <c r="CV177" s="29"/>
      <c r="CW177" s="29"/>
      <c r="CX177" s="29"/>
      <c r="CY177" s="29"/>
      <c r="CZ177" s="29"/>
      <c r="DA177" s="29"/>
      <c r="DB177" s="29"/>
      <c r="DC177" s="29"/>
      <c r="DD177" s="29"/>
      <c r="DE177" s="29"/>
      <c r="DF177" s="29"/>
      <c r="DG177" s="29"/>
      <c r="DH177" s="29"/>
      <c r="DI177" s="29"/>
      <c r="DJ177" s="29"/>
      <c r="DK177" s="29"/>
      <c r="DL177" s="29"/>
      <c r="DM177" s="29"/>
      <c r="DN177" s="29"/>
      <c r="DO177" s="29"/>
      <c r="DP177" s="29"/>
      <c r="DQ177" s="29"/>
      <c r="DR177" s="29"/>
      <c r="DS177" s="29"/>
      <c r="DT177" s="29"/>
      <c r="DU177" s="29"/>
      <c r="DV177" s="29"/>
      <c r="DW177" s="29"/>
      <c r="DX177" s="29"/>
      <c r="DY177" s="29"/>
      <c r="DZ177" s="29"/>
      <c r="EA177" s="29"/>
      <c r="EB177" s="29"/>
      <c r="EC177" s="29"/>
      <c r="ED177" s="29"/>
      <c r="EE177" s="29"/>
      <c r="EF177" s="29"/>
      <c r="EG177" s="29"/>
      <c r="EH177" s="29"/>
      <c r="EI177" s="29"/>
      <c r="EJ177" s="29"/>
      <c r="EK177" s="29"/>
      <c r="EL177" s="29"/>
      <c r="EM177" s="29"/>
      <c r="EN177" s="29"/>
      <c r="EO177" s="29"/>
      <c r="EP177" s="29"/>
      <c r="EQ177" s="29"/>
      <c r="ER177" s="29"/>
      <c r="ES177" s="29"/>
      <c r="ET177" s="29"/>
      <c r="EU177" s="29"/>
      <c r="EV177" s="29"/>
      <c r="EW177" s="29"/>
      <c r="EX177" s="29"/>
      <c r="EY177" s="29"/>
      <c r="EZ177" s="29"/>
      <c r="FA177" s="29"/>
      <c r="FB177" s="29"/>
      <c r="FC177" s="29"/>
      <c r="FD177" s="29"/>
      <c r="FE177" s="29"/>
      <c r="FF177" s="29"/>
      <c r="FG177" s="29"/>
      <c r="FH177" s="29"/>
      <c r="FI177" s="29"/>
      <c r="FJ177" s="29"/>
      <c r="FK177" s="29"/>
      <c r="FL177" s="29"/>
      <c r="FM177" s="29"/>
      <c r="FN177" s="29"/>
      <c r="FO177" s="29"/>
      <c r="FP177" s="29"/>
      <c r="FQ177" s="29"/>
      <c r="FR177" s="29"/>
      <c r="FS177" s="29"/>
      <c r="FT177" s="29"/>
      <c r="FU177" s="29"/>
      <c r="FV177" s="29"/>
      <c r="FW177" s="29"/>
      <c r="FX177" s="29"/>
      <c r="FY177" s="29"/>
      <c r="FZ177" s="29"/>
      <c r="GA177" s="29"/>
      <c r="GB177" s="29"/>
      <c r="GC177" s="29"/>
      <c r="GD177" s="29"/>
      <c r="GE177" s="29"/>
      <c r="GF177" s="29"/>
      <c r="GG177" s="29"/>
      <c r="GH177" s="29"/>
      <c r="GI177" s="29"/>
      <c r="GJ177" s="29"/>
      <c r="GK177" s="29"/>
      <c r="GL177" s="29"/>
      <c r="GM177" s="29"/>
      <c r="GN177" s="29"/>
      <c r="GO177" s="29"/>
      <c r="GP177" s="29"/>
      <c r="GQ177" s="29"/>
      <c r="GR177" s="29"/>
      <c r="GS177" s="29"/>
      <c r="GT177" s="29"/>
      <c r="GU177" s="29"/>
      <c r="GV177" s="29"/>
      <c r="GW177" s="29"/>
      <c r="GX177" s="29"/>
      <c r="GY177" s="29"/>
      <c r="GZ177" s="29"/>
      <c r="HA177" s="29"/>
      <c r="HB177" s="29"/>
      <c r="HC177" s="29"/>
      <c r="HD177" s="29"/>
      <c r="HE177" s="29"/>
      <c r="HF177" s="29"/>
      <c r="HG177" s="29"/>
      <c r="HH177" s="29"/>
      <c r="HI177" s="29"/>
      <c r="HJ177" s="29"/>
      <c r="HK177" s="29"/>
      <c r="HL177" s="29"/>
      <c r="HM177" s="29"/>
      <c r="HN177" s="29"/>
      <c r="HO177" s="29"/>
      <c r="HP177" s="29"/>
      <c r="HQ177" s="29"/>
      <c r="HR177" s="29"/>
      <c r="HS177" s="29"/>
      <c r="HT177" s="29"/>
      <c r="HU177" s="29"/>
      <c r="HV177" s="29"/>
      <c r="HW177" s="29"/>
      <c r="HX177" s="29"/>
      <c r="HY177" s="29"/>
      <c r="HZ177" s="29"/>
      <c r="IA177" s="29"/>
      <c r="IB177" s="29"/>
      <c r="IC177" s="29"/>
      <c r="ID177" s="29"/>
      <c r="IE177" s="29"/>
      <c r="IF177" s="29"/>
      <c r="IG177" s="29"/>
      <c r="IH177" s="29"/>
      <c r="II177" s="29"/>
      <c r="IJ177" s="29"/>
      <c r="IK177" s="29"/>
      <c r="IL177" s="29"/>
      <c r="IM177" s="29"/>
      <c r="IN177" s="29"/>
      <c r="IO177" s="29"/>
      <c r="IP177" s="29"/>
      <c r="IQ177" s="29"/>
      <c r="IR177" s="29"/>
      <c r="IS177" s="29"/>
      <c r="IT177" s="29"/>
      <c r="IU177" s="29"/>
      <c r="IV177" s="29"/>
      <c r="IW177" s="29"/>
    </row>
    <row r="178" customFormat="false" ht="12.75" hidden="false" customHeight="false" outlineLevel="1" collapsed="false">
      <c r="A178" s="11" t="s">
        <v>7</v>
      </c>
      <c r="B178" s="17" t="n">
        <f aca="false">NPV(0.1,D178:Y178)</f>
        <v>440714.407089297</v>
      </c>
      <c r="C178" s="17" t="n">
        <f aca="false">B178-B168</f>
        <v>0</v>
      </c>
      <c r="D178" s="18" t="n">
        <v>26456.1651721875</v>
      </c>
      <c r="E178" s="19" t="n">
        <v>36622.8167682054</v>
      </c>
      <c r="F178" s="19" t="n">
        <v>36899.7467266388</v>
      </c>
      <c r="G178" s="19" t="n">
        <v>37130.4608454278</v>
      </c>
      <c r="H178" s="19" t="n">
        <v>46551.6218507978</v>
      </c>
      <c r="I178" s="19" t="n">
        <v>54368.3363263156</v>
      </c>
      <c r="J178" s="19" t="n">
        <v>55774.1081752542</v>
      </c>
      <c r="K178" s="19" t="n">
        <v>56836.4340779057</v>
      </c>
      <c r="L178" s="19" t="n">
        <v>58014.036281412</v>
      </c>
      <c r="M178" s="19" t="n">
        <v>59306.2801784764</v>
      </c>
      <c r="N178" s="19" t="n">
        <v>60748.6390469201</v>
      </c>
      <c r="O178" s="20" t="n">
        <v>62343.6917451537</v>
      </c>
      <c r="P178" s="21" t="n">
        <v>64230.9099191597</v>
      </c>
      <c r="Q178" s="21" t="n">
        <v>66205.4173948106</v>
      </c>
      <c r="R178" s="21" t="n">
        <v>68260.1936842274</v>
      </c>
      <c r="S178" s="21" t="n">
        <v>70358.6179348906</v>
      </c>
      <c r="T178" s="21" t="n">
        <v>72482.4395694936</v>
      </c>
      <c r="U178" s="21" t="n">
        <v>74297.4767975085</v>
      </c>
      <c r="V178" s="21" t="n">
        <v>76073.9231579729</v>
      </c>
      <c r="W178" s="21" t="n">
        <v>77846.43841275</v>
      </c>
      <c r="X178" s="21" t="n">
        <v>78083.6229526837</v>
      </c>
      <c r="Y178" s="0"/>
      <c r="Z178" s="0"/>
      <c r="AA178" s="0"/>
      <c r="AB178" s="0"/>
      <c r="AC178" s="0"/>
      <c r="AD178" s="0"/>
      <c r="AE178" s="0"/>
      <c r="AF178" s="0"/>
      <c r="AG178" s="0"/>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c r="BN178" s="29"/>
      <c r="BO178" s="29"/>
      <c r="BP178" s="29"/>
      <c r="BQ178" s="29"/>
      <c r="BR178" s="29"/>
      <c r="BS178" s="29"/>
      <c r="BT178" s="29"/>
      <c r="BU178" s="29"/>
      <c r="BV178" s="29"/>
      <c r="BW178" s="29"/>
      <c r="BX178" s="29"/>
      <c r="BY178" s="29"/>
      <c r="BZ178" s="29"/>
      <c r="CA178" s="29"/>
      <c r="CB178" s="29"/>
      <c r="CC178" s="29"/>
      <c r="CD178" s="29"/>
      <c r="CE178" s="29"/>
      <c r="CF178" s="29"/>
      <c r="CG178" s="29"/>
      <c r="CH178" s="29"/>
      <c r="CI178" s="29"/>
      <c r="CJ178" s="29"/>
      <c r="CK178" s="29"/>
      <c r="CL178" s="29"/>
      <c r="CM178" s="29"/>
      <c r="CN178" s="29"/>
      <c r="CO178" s="29"/>
      <c r="CP178" s="29"/>
      <c r="CQ178" s="29"/>
      <c r="CR178" s="29"/>
      <c r="CS178" s="29"/>
      <c r="CT178" s="29"/>
      <c r="CU178" s="29"/>
      <c r="CV178" s="29"/>
      <c r="CW178" s="29"/>
      <c r="CX178" s="29"/>
      <c r="CY178" s="29"/>
      <c r="CZ178" s="29"/>
      <c r="DA178" s="29"/>
      <c r="DB178" s="29"/>
      <c r="DC178" s="29"/>
      <c r="DD178" s="29"/>
      <c r="DE178" s="29"/>
      <c r="DF178" s="29"/>
      <c r="DG178" s="29"/>
      <c r="DH178" s="29"/>
      <c r="DI178" s="29"/>
      <c r="DJ178" s="29"/>
      <c r="DK178" s="29"/>
      <c r="DL178" s="29"/>
      <c r="DM178" s="29"/>
      <c r="DN178" s="29"/>
      <c r="DO178" s="29"/>
      <c r="DP178" s="29"/>
      <c r="DQ178" s="29"/>
      <c r="DR178" s="29"/>
      <c r="DS178" s="29"/>
      <c r="DT178" s="29"/>
      <c r="DU178" s="29"/>
      <c r="DV178" s="29"/>
      <c r="DW178" s="29"/>
      <c r="DX178" s="29"/>
      <c r="DY178" s="29"/>
      <c r="DZ178" s="29"/>
      <c r="EA178" s="29"/>
      <c r="EB178" s="29"/>
      <c r="EC178" s="29"/>
      <c r="ED178" s="29"/>
      <c r="EE178" s="29"/>
      <c r="EF178" s="29"/>
      <c r="EG178" s="29"/>
      <c r="EH178" s="29"/>
      <c r="EI178" s="29"/>
      <c r="EJ178" s="29"/>
      <c r="EK178" s="29"/>
      <c r="EL178" s="29"/>
      <c r="EM178" s="29"/>
      <c r="EN178" s="29"/>
      <c r="EO178" s="29"/>
      <c r="EP178" s="29"/>
      <c r="EQ178" s="29"/>
      <c r="ER178" s="29"/>
      <c r="ES178" s="29"/>
      <c r="ET178" s="29"/>
      <c r="EU178" s="29"/>
      <c r="EV178" s="29"/>
      <c r="EW178" s="29"/>
      <c r="EX178" s="29"/>
      <c r="EY178" s="29"/>
      <c r="EZ178" s="29"/>
      <c r="FA178" s="29"/>
      <c r="FB178" s="29"/>
      <c r="FC178" s="29"/>
      <c r="FD178" s="29"/>
      <c r="FE178" s="29"/>
      <c r="FF178" s="29"/>
      <c r="FG178" s="29"/>
      <c r="FH178" s="29"/>
      <c r="FI178" s="29"/>
      <c r="FJ178" s="29"/>
      <c r="FK178" s="29"/>
      <c r="FL178" s="29"/>
      <c r="FM178" s="29"/>
      <c r="FN178" s="29"/>
      <c r="FO178" s="29"/>
      <c r="FP178" s="29"/>
      <c r="FQ178" s="29"/>
      <c r="FR178" s="29"/>
      <c r="FS178" s="29"/>
      <c r="FT178" s="29"/>
      <c r="FU178" s="29"/>
      <c r="FV178" s="29"/>
      <c r="FW178" s="29"/>
      <c r="FX178" s="29"/>
      <c r="FY178" s="29"/>
      <c r="FZ178" s="29"/>
      <c r="GA178" s="29"/>
      <c r="GB178" s="29"/>
      <c r="GC178" s="29"/>
      <c r="GD178" s="29"/>
      <c r="GE178" s="29"/>
      <c r="GF178" s="29"/>
      <c r="GG178" s="29"/>
      <c r="GH178" s="29"/>
      <c r="GI178" s="29"/>
      <c r="GJ178" s="29"/>
      <c r="GK178" s="29"/>
      <c r="GL178" s="29"/>
      <c r="GM178" s="29"/>
      <c r="GN178" s="29"/>
      <c r="GO178" s="29"/>
      <c r="GP178" s="29"/>
      <c r="GQ178" s="29"/>
      <c r="GR178" s="29"/>
      <c r="GS178" s="29"/>
      <c r="GT178" s="29"/>
      <c r="GU178" s="29"/>
      <c r="GV178" s="29"/>
      <c r="GW178" s="29"/>
      <c r="GX178" s="29"/>
      <c r="GY178" s="29"/>
      <c r="GZ178" s="29"/>
      <c r="HA178" s="29"/>
      <c r="HB178" s="29"/>
      <c r="HC178" s="29"/>
      <c r="HD178" s="29"/>
      <c r="HE178" s="29"/>
      <c r="HF178" s="29"/>
      <c r="HG178" s="29"/>
      <c r="HH178" s="29"/>
      <c r="HI178" s="29"/>
      <c r="HJ178" s="29"/>
      <c r="HK178" s="29"/>
      <c r="HL178" s="29"/>
      <c r="HM178" s="29"/>
      <c r="HN178" s="29"/>
      <c r="HO178" s="29"/>
      <c r="HP178" s="29"/>
      <c r="HQ178" s="29"/>
      <c r="HR178" s="29"/>
      <c r="HS178" s="29"/>
      <c r="HT178" s="29"/>
      <c r="HU178" s="29"/>
      <c r="HV178" s="29"/>
      <c r="HW178" s="29"/>
      <c r="HX178" s="29"/>
      <c r="HY178" s="29"/>
      <c r="HZ178" s="29"/>
      <c r="IA178" s="29"/>
      <c r="IB178" s="29"/>
      <c r="IC178" s="29"/>
      <c r="ID178" s="29"/>
      <c r="IE178" s="29"/>
      <c r="IF178" s="29"/>
      <c r="IG178" s="29"/>
      <c r="IH178" s="29"/>
      <c r="II178" s="29"/>
      <c r="IJ178" s="29"/>
      <c r="IK178" s="29"/>
      <c r="IL178" s="29"/>
      <c r="IM178" s="29"/>
      <c r="IN178" s="29"/>
      <c r="IO178" s="29"/>
      <c r="IP178" s="29"/>
      <c r="IQ178" s="29"/>
      <c r="IR178" s="29"/>
      <c r="IS178" s="29"/>
      <c r="IT178" s="29"/>
      <c r="IU178" s="29"/>
      <c r="IV178" s="29"/>
      <c r="IW178" s="29"/>
    </row>
    <row r="179" customFormat="false" ht="12.75" hidden="false" customHeight="false" outlineLevel="1" collapsed="false">
      <c r="A179" s="22" t="s">
        <v>8</v>
      </c>
      <c r="B179" s="17" t="n">
        <f aca="false">NPV(0.1,D179:Y179)</f>
        <v>220465.772020364</v>
      </c>
      <c r="C179" s="17" t="n">
        <f aca="false">B179-B169</f>
        <v>2233.5373540197</v>
      </c>
      <c r="D179" s="18" t="n">
        <v>17579.1733466329</v>
      </c>
      <c r="E179" s="19" t="n">
        <v>21711.3944942798</v>
      </c>
      <c r="F179" s="19" t="n">
        <v>22053.7048937646</v>
      </c>
      <c r="G179" s="19" t="n">
        <v>22352.484620969</v>
      </c>
      <c r="H179" s="19" t="n">
        <v>22715.5782220681</v>
      </c>
      <c r="I179" s="19" t="n">
        <v>23154.7010841561</v>
      </c>
      <c r="J179" s="19" t="n">
        <v>23690.6398185886</v>
      </c>
      <c r="K179" s="19" t="n">
        <v>24339.7522570116</v>
      </c>
      <c r="L179" s="19" t="n">
        <v>25110.8950859981</v>
      </c>
      <c r="M179" s="19" t="n">
        <v>26004.1517798017</v>
      </c>
      <c r="N179" s="19" t="n">
        <v>27050.3753052307</v>
      </c>
      <c r="O179" s="20" t="n">
        <v>29040.8598306649</v>
      </c>
      <c r="P179" s="21" t="n">
        <v>30351.0144819971</v>
      </c>
      <c r="Q179" s="21" t="n">
        <v>31734.6058287357</v>
      </c>
      <c r="R179" s="21" t="n">
        <v>33189.0960353656</v>
      </c>
      <c r="S179" s="21" t="n">
        <v>34707.6000124307</v>
      </c>
      <c r="T179" s="21" t="n">
        <v>36227.4548298897</v>
      </c>
      <c r="U179" s="21" t="n">
        <v>37752.3023826166</v>
      </c>
      <c r="V179" s="21" t="n">
        <v>39263.7614453543</v>
      </c>
      <c r="W179" s="21" t="n">
        <v>40895.9361479267</v>
      </c>
      <c r="X179" s="21" t="n">
        <v>40744.1957190421</v>
      </c>
      <c r="Y179" s="0"/>
      <c r="Z179" s="0"/>
      <c r="AA179" s="0"/>
      <c r="AB179" s="0"/>
      <c r="AC179" s="0"/>
      <c r="AD179" s="0"/>
      <c r="AE179" s="0"/>
      <c r="AF179" s="0"/>
      <c r="AG179" s="0"/>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c r="BM179" s="29"/>
      <c r="BN179" s="29"/>
      <c r="BO179" s="29"/>
      <c r="BP179" s="29"/>
      <c r="BQ179" s="29"/>
      <c r="BR179" s="29"/>
      <c r="BS179" s="29"/>
      <c r="BT179" s="29"/>
      <c r="BU179" s="29"/>
      <c r="BV179" s="29"/>
      <c r="BW179" s="29"/>
      <c r="BX179" s="29"/>
      <c r="BY179" s="29"/>
      <c r="BZ179" s="29"/>
      <c r="CA179" s="29"/>
      <c r="CB179" s="29"/>
      <c r="CC179" s="29"/>
      <c r="CD179" s="29"/>
      <c r="CE179" s="29"/>
      <c r="CF179" s="29"/>
      <c r="CG179" s="29"/>
      <c r="CH179" s="29"/>
      <c r="CI179" s="29"/>
      <c r="CJ179" s="29"/>
      <c r="CK179" s="29"/>
      <c r="CL179" s="29"/>
      <c r="CM179" s="29"/>
      <c r="CN179" s="29"/>
      <c r="CO179" s="29"/>
      <c r="CP179" s="29"/>
      <c r="CQ179" s="29"/>
      <c r="CR179" s="29"/>
      <c r="CS179" s="29"/>
      <c r="CT179" s="29"/>
      <c r="CU179" s="29"/>
      <c r="CV179" s="29"/>
      <c r="CW179" s="29"/>
      <c r="CX179" s="29"/>
      <c r="CY179" s="29"/>
      <c r="CZ179" s="29"/>
      <c r="DA179" s="29"/>
      <c r="DB179" s="29"/>
      <c r="DC179" s="29"/>
      <c r="DD179" s="29"/>
      <c r="DE179" s="29"/>
      <c r="DF179" s="29"/>
      <c r="DG179" s="29"/>
      <c r="DH179" s="29"/>
      <c r="DI179" s="29"/>
      <c r="DJ179" s="29"/>
      <c r="DK179" s="29"/>
      <c r="DL179" s="29"/>
      <c r="DM179" s="29"/>
      <c r="DN179" s="29"/>
      <c r="DO179" s="29"/>
      <c r="DP179" s="29"/>
      <c r="DQ179" s="29"/>
      <c r="DR179" s="29"/>
      <c r="DS179" s="29"/>
      <c r="DT179" s="29"/>
      <c r="DU179" s="29"/>
      <c r="DV179" s="29"/>
      <c r="DW179" s="29"/>
      <c r="DX179" s="29"/>
      <c r="DY179" s="29"/>
      <c r="DZ179" s="29"/>
      <c r="EA179" s="29"/>
      <c r="EB179" s="29"/>
      <c r="EC179" s="29"/>
      <c r="ED179" s="29"/>
      <c r="EE179" s="29"/>
      <c r="EF179" s="29"/>
      <c r="EG179" s="29"/>
      <c r="EH179" s="29"/>
      <c r="EI179" s="29"/>
      <c r="EJ179" s="29"/>
      <c r="EK179" s="29"/>
      <c r="EL179" s="29"/>
      <c r="EM179" s="29"/>
      <c r="EN179" s="29"/>
      <c r="EO179" s="29"/>
      <c r="EP179" s="29"/>
      <c r="EQ179" s="29"/>
      <c r="ER179" s="29"/>
      <c r="ES179" s="29"/>
      <c r="ET179" s="29"/>
      <c r="EU179" s="29"/>
      <c r="EV179" s="29"/>
      <c r="EW179" s="29"/>
      <c r="EX179" s="29"/>
      <c r="EY179" s="29"/>
      <c r="EZ179" s="29"/>
      <c r="FA179" s="29"/>
      <c r="FB179" s="29"/>
      <c r="FC179" s="29"/>
      <c r="FD179" s="29"/>
      <c r="FE179" s="29"/>
      <c r="FF179" s="29"/>
      <c r="FG179" s="29"/>
      <c r="FH179" s="29"/>
      <c r="FI179" s="29"/>
      <c r="FJ179" s="29"/>
      <c r="FK179" s="29"/>
      <c r="FL179" s="29"/>
      <c r="FM179" s="29"/>
      <c r="FN179" s="29"/>
      <c r="FO179" s="29"/>
      <c r="FP179" s="29"/>
      <c r="FQ179" s="29"/>
      <c r="FR179" s="29"/>
      <c r="FS179" s="29"/>
      <c r="FT179" s="29"/>
      <c r="FU179" s="29"/>
      <c r="FV179" s="29"/>
      <c r="FW179" s="29"/>
      <c r="FX179" s="29"/>
      <c r="FY179" s="29"/>
      <c r="FZ179" s="29"/>
      <c r="GA179" s="29"/>
      <c r="GB179" s="29"/>
      <c r="GC179" s="29"/>
      <c r="GD179" s="29"/>
      <c r="GE179" s="29"/>
      <c r="GF179" s="29"/>
      <c r="GG179" s="29"/>
      <c r="GH179" s="29"/>
      <c r="GI179" s="29"/>
      <c r="GJ179" s="29"/>
      <c r="GK179" s="29"/>
      <c r="GL179" s="29"/>
      <c r="GM179" s="29"/>
      <c r="GN179" s="29"/>
      <c r="GO179" s="29"/>
      <c r="GP179" s="29"/>
      <c r="GQ179" s="29"/>
      <c r="GR179" s="29"/>
      <c r="GS179" s="29"/>
      <c r="GT179" s="29"/>
      <c r="GU179" s="29"/>
      <c r="GV179" s="29"/>
      <c r="GW179" s="29"/>
      <c r="GX179" s="29"/>
      <c r="GY179" s="29"/>
      <c r="GZ179" s="29"/>
      <c r="HA179" s="29"/>
      <c r="HB179" s="29"/>
      <c r="HC179" s="29"/>
      <c r="HD179" s="29"/>
      <c r="HE179" s="29"/>
      <c r="HF179" s="29"/>
      <c r="HG179" s="29"/>
      <c r="HH179" s="29"/>
      <c r="HI179" s="29"/>
      <c r="HJ179" s="29"/>
      <c r="HK179" s="29"/>
      <c r="HL179" s="29"/>
      <c r="HM179" s="29"/>
      <c r="HN179" s="29"/>
      <c r="HO179" s="29"/>
      <c r="HP179" s="29"/>
      <c r="HQ179" s="29"/>
      <c r="HR179" s="29"/>
      <c r="HS179" s="29"/>
      <c r="HT179" s="29"/>
      <c r="HU179" s="29"/>
      <c r="HV179" s="29"/>
      <c r="HW179" s="29"/>
      <c r="HX179" s="29"/>
      <c r="HY179" s="29"/>
      <c r="HZ179" s="29"/>
      <c r="IA179" s="29"/>
      <c r="IB179" s="29"/>
      <c r="IC179" s="29"/>
      <c r="ID179" s="29"/>
      <c r="IE179" s="29"/>
      <c r="IF179" s="29"/>
      <c r="IG179" s="29"/>
      <c r="IH179" s="29"/>
      <c r="II179" s="29"/>
      <c r="IJ179" s="29"/>
      <c r="IK179" s="29"/>
      <c r="IL179" s="29"/>
      <c r="IM179" s="29"/>
      <c r="IN179" s="29"/>
      <c r="IO179" s="29"/>
      <c r="IP179" s="29"/>
      <c r="IQ179" s="29"/>
      <c r="IR179" s="29"/>
      <c r="IS179" s="29"/>
      <c r="IT179" s="29"/>
      <c r="IU179" s="29"/>
      <c r="IV179" s="29"/>
      <c r="IW179" s="29"/>
    </row>
    <row r="180" customFormat="false" ht="12.75" hidden="false" customHeight="false" outlineLevel="1" collapsed="false">
      <c r="A180" s="22" t="s">
        <v>9</v>
      </c>
      <c r="B180" s="17" t="n">
        <f aca="false">NPV(0.1,D180:Y180)</f>
        <v>81070.0082619552</v>
      </c>
      <c r="C180" s="17" t="n">
        <f aca="false">B180-B170</f>
        <v>-1181.84444056945</v>
      </c>
      <c r="D180" s="18" t="n">
        <v>285.456256256133</v>
      </c>
      <c r="E180" s="19" t="n">
        <v>1099.31412542007</v>
      </c>
      <c r="F180" s="19" t="n">
        <v>1182.14763625264</v>
      </c>
      <c r="G180" s="19" t="n">
        <v>1240.16608033029</v>
      </c>
      <c r="H180" s="19" t="n">
        <v>6830.67120767105</v>
      </c>
      <c r="I180" s="19" t="n">
        <v>11639.4123789142</v>
      </c>
      <c r="J180" s="19" t="n">
        <v>12548.1146894056</v>
      </c>
      <c r="K180" s="19" t="n">
        <v>13070.8472555784</v>
      </c>
      <c r="L180" s="19" t="n">
        <v>13673.7746173886</v>
      </c>
      <c r="M180" s="19" t="n">
        <v>14307.562844253</v>
      </c>
      <c r="N180" s="19" t="n">
        <v>14977.7339685146</v>
      </c>
      <c r="O180" s="20" t="n">
        <v>15142.4058558894</v>
      </c>
      <c r="P180" s="21" t="n">
        <v>15994.159650939</v>
      </c>
      <c r="Q180" s="21" t="n">
        <v>16904.7024313987</v>
      </c>
      <c r="R180" s="21" t="n">
        <v>17737.4176040136</v>
      </c>
      <c r="S180" s="21" t="n">
        <v>18713.6310288139</v>
      </c>
      <c r="T180" s="21" t="n">
        <v>19121.7671127518</v>
      </c>
      <c r="U180" s="21" t="n">
        <v>19319.534047713</v>
      </c>
      <c r="V180" s="21" t="n">
        <v>19502.2957588442</v>
      </c>
      <c r="W180" s="21" t="n">
        <v>19535.4128640668</v>
      </c>
      <c r="X180" s="21" t="n">
        <v>19795.8712292336</v>
      </c>
      <c r="Y180" s="0"/>
      <c r="Z180" s="0"/>
      <c r="AA180" s="0"/>
      <c r="AB180" s="0"/>
      <c r="AC180" s="0"/>
      <c r="AD180" s="0"/>
      <c r="AE180" s="0"/>
      <c r="AF180" s="0"/>
      <c r="AG180" s="0"/>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c r="BM180" s="29"/>
      <c r="BN180" s="29"/>
      <c r="BO180" s="29"/>
      <c r="BP180" s="29"/>
      <c r="BQ180" s="29"/>
      <c r="BR180" s="29"/>
      <c r="BS180" s="29"/>
      <c r="BT180" s="29"/>
      <c r="BU180" s="29"/>
      <c r="BV180" s="29"/>
      <c r="BW180" s="29"/>
      <c r="BX180" s="29"/>
      <c r="BY180" s="29"/>
      <c r="BZ180" s="29"/>
      <c r="CA180" s="29"/>
      <c r="CB180" s="29"/>
      <c r="CC180" s="29"/>
      <c r="CD180" s="29"/>
      <c r="CE180" s="29"/>
      <c r="CF180" s="29"/>
      <c r="CG180" s="29"/>
      <c r="CH180" s="29"/>
      <c r="CI180" s="29"/>
      <c r="CJ180" s="29"/>
      <c r="CK180" s="29"/>
      <c r="CL180" s="29"/>
      <c r="CM180" s="29"/>
      <c r="CN180" s="29"/>
      <c r="CO180" s="29"/>
      <c r="CP180" s="29"/>
      <c r="CQ180" s="29"/>
      <c r="CR180" s="29"/>
      <c r="CS180" s="29"/>
      <c r="CT180" s="29"/>
      <c r="CU180" s="29"/>
      <c r="CV180" s="29"/>
      <c r="CW180" s="29"/>
      <c r="CX180" s="29"/>
      <c r="CY180" s="29"/>
      <c r="CZ180" s="29"/>
      <c r="DA180" s="29"/>
      <c r="DB180" s="29"/>
      <c r="DC180" s="29"/>
      <c r="DD180" s="29"/>
      <c r="DE180" s="29"/>
      <c r="DF180" s="29"/>
      <c r="DG180" s="29"/>
      <c r="DH180" s="29"/>
      <c r="DI180" s="29"/>
      <c r="DJ180" s="29"/>
      <c r="DK180" s="29"/>
      <c r="DL180" s="29"/>
      <c r="DM180" s="29"/>
      <c r="DN180" s="29"/>
      <c r="DO180" s="29"/>
      <c r="DP180" s="29"/>
      <c r="DQ180" s="29"/>
      <c r="DR180" s="29"/>
      <c r="DS180" s="29"/>
      <c r="DT180" s="29"/>
      <c r="DU180" s="29"/>
      <c r="DV180" s="29"/>
      <c r="DW180" s="29"/>
      <c r="DX180" s="29"/>
      <c r="DY180" s="29"/>
      <c r="DZ180" s="29"/>
      <c r="EA180" s="29"/>
      <c r="EB180" s="29"/>
      <c r="EC180" s="29"/>
      <c r="ED180" s="29"/>
      <c r="EE180" s="29"/>
      <c r="EF180" s="29"/>
      <c r="EG180" s="29"/>
      <c r="EH180" s="29"/>
      <c r="EI180" s="29"/>
      <c r="EJ180" s="29"/>
      <c r="EK180" s="29"/>
      <c r="EL180" s="29"/>
      <c r="EM180" s="29"/>
      <c r="EN180" s="29"/>
      <c r="EO180" s="29"/>
      <c r="EP180" s="29"/>
      <c r="EQ180" s="29"/>
      <c r="ER180" s="29"/>
      <c r="ES180" s="29"/>
      <c r="ET180" s="29"/>
      <c r="EU180" s="29"/>
      <c r="EV180" s="29"/>
      <c r="EW180" s="29"/>
      <c r="EX180" s="29"/>
      <c r="EY180" s="29"/>
      <c r="EZ180" s="29"/>
      <c r="FA180" s="29"/>
      <c r="FB180" s="29"/>
      <c r="FC180" s="29"/>
      <c r="FD180" s="29"/>
      <c r="FE180" s="29"/>
      <c r="FF180" s="29"/>
      <c r="FG180" s="29"/>
      <c r="FH180" s="29"/>
      <c r="FI180" s="29"/>
      <c r="FJ180" s="29"/>
      <c r="FK180" s="29"/>
      <c r="FL180" s="29"/>
      <c r="FM180" s="29"/>
      <c r="FN180" s="29"/>
      <c r="FO180" s="29"/>
      <c r="FP180" s="29"/>
      <c r="FQ180" s="29"/>
      <c r="FR180" s="29"/>
      <c r="FS180" s="29"/>
      <c r="FT180" s="29"/>
      <c r="FU180" s="29"/>
      <c r="FV180" s="29"/>
      <c r="FW180" s="29"/>
      <c r="FX180" s="29"/>
      <c r="FY180" s="29"/>
      <c r="FZ180" s="29"/>
      <c r="GA180" s="29"/>
      <c r="GB180" s="29"/>
      <c r="GC180" s="29"/>
      <c r="GD180" s="29"/>
      <c r="GE180" s="29"/>
      <c r="GF180" s="29"/>
      <c r="GG180" s="29"/>
      <c r="GH180" s="29"/>
      <c r="GI180" s="29"/>
      <c r="GJ180" s="29"/>
      <c r="GK180" s="29"/>
      <c r="GL180" s="29"/>
      <c r="GM180" s="29"/>
      <c r="GN180" s="29"/>
      <c r="GO180" s="29"/>
      <c r="GP180" s="29"/>
      <c r="GQ180" s="29"/>
      <c r="GR180" s="29"/>
      <c r="GS180" s="29"/>
      <c r="GT180" s="29"/>
      <c r="GU180" s="29"/>
      <c r="GV180" s="29"/>
      <c r="GW180" s="29"/>
      <c r="GX180" s="29"/>
      <c r="GY180" s="29"/>
      <c r="GZ180" s="29"/>
      <c r="HA180" s="29"/>
      <c r="HB180" s="29"/>
      <c r="HC180" s="29"/>
      <c r="HD180" s="29"/>
      <c r="HE180" s="29"/>
      <c r="HF180" s="29"/>
      <c r="HG180" s="29"/>
      <c r="HH180" s="29"/>
      <c r="HI180" s="29"/>
      <c r="HJ180" s="29"/>
      <c r="HK180" s="29"/>
      <c r="HL180" s="29"/>
      <c r="HM180" s="29"/>
      <c r="HN180" s="29"/>
      <c r="HO180" s="29"/>
      <c r="HP180" s="29"/>
      <c r="HQ180" s="29"/>
      <c r="HR180" s="29"/>
      <c r="HS180" s="29"/>
      <c r="HT180" s="29"/>
      <c r="HU180" s="29"/>
      <c r="HV180" s="29"/>
      <c r="HW180" s="29"/>
      <c r="HX180" s="29"/>
      <c r="HY180" s="29"/>
      <c r="HZ180" s="29"/>
      <c r="IA180" s="29"/>
      <c r="IB180" s="29"/>
      <c r="IC180" s="29"/>
      <c r="ID180" s="29"/>
      <c r="IE180" s="29"/>
      <c r="IF180" s="29"/>
      <c r="IG180" s="29"/>
      <c r="IH180" s="29"/>
      <c r="II180" s="29"/>
      <c r="IJ180" s="29"/>
      <c r="IK180" s="29"/>
      <c r="IL180" s="29"/>
      <c r="IM180" s="29"/>
      <c r="IN180" s="29"/>
      <c r="IO180" s="29"/>
      <c r="IP180" s="29"/>
      <c r="IQ180" s="29"/>
      <c r="IR180" s="29"/>
      <c r="IS180" s="29"/>
      <c r="IT180" s="29"/>
      <c r="IU180" s="29"/>
      <c r="IV180" s="29"/>
      <c r="IW180" s="29"/>
    </row>
    <row r="181" customFormat="false" ht="12.75" hidden="false" customHeight="false" outlineLevel="0" collapsed="false">
      <c r="A181" s="22" t="s">
        <v>10</v>
      </c>
      <c r="B181" s="17" t="n">
        <f aca="false">NPV(0.1,D181:Y181)</f>
        <v>100447.587907447</v>
      </c>
      <c r="C181" s="17" t="n">
        <f aca="false">B181-B171</f>
        <v>1116.08780093509</v>
      </c>
      <c r="D181" s="23" t="n">
        <v>3100.08847658556</v>
      </c>
      <c r="E181" s="24" t="n">
        <v>5762.81311925039</v>
      </c>
      <c r="F181" s="24" t="n">
        <v>5210.12603741216</v>
      </c>
      <c r="G181" s="24" t="n">
        <v>5158.65519802155</v>
      </c>
      <c r="H181" s="24" t="n">
        <v>14554.7727693956</v>
      </c>
      <c r="I181" s="24" t="n">
        <v>18727.8864092515</v>
      </c>
      <c r="J181" s="24" t="n">
        <v>13079.7954344455</v>
      </c>
      <c r="K181" s="24" t="n">
        <v>12943.3419440821</v>
      </c>
      <c r="L181" s="24" t="n">
        <v>12831.1184183209</v>
      </c>
      <c r="M181" s="24" t="n">
        <v>12707.3474774521</v>
      </c>
      <c r="N181" s="24" t="n">
        <v>12543.2329853345</v>
      </c>
      <c r="O181" s="25" t="n">
        <v>12925.6468632951</v>
      </c>
      <c r="P181" s="21" t="n">
        <v>11920.1797611657</v>
      </c>
      <c r="Q181" s="21" t="n">
        <v>11726.7729329247</v>
      </c>
      <c r="R181" s="21" t="n">
        <v>16339.7837353942</v>
      </c>
      <c r="S181" s="21" t="n">
        <v>23620.2555236226</v>
      </c>
      <c r="T181" s="21" t="n">
        <v>22292.254525991</v>
      </c>
      <c r="U181" s="21" t="n">
        <v>22473.678849996</v>
      </c>
      <c r="V181" s="21" t="n">
        <v>22656.4405611272</v>
      </c>
      <c r="W181" s="21" t="n">
        <v>22787.6133320879</v>
      </c>
      <c r="X181" s="21" t="n">
        <v>22770.2473109967</v>
      </c>
      <c r="Y181" s="0"/>
      <c r="Z181" s="0"/>
      <c r="AA181" s="0"/>
      <c r="AB181" s="0"/>
      <c r="AC181" s="0"/>
      <c r="AD181" s="0"/>
      <c r="AE181" s="0"/>
      <c r="AF181" s="0"/>
      <c r="AG181" s="0"/>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c r="BM181" s="29"/>
      <c r="BN181" s="29"/>
      <c r="BO181" s="29"/>
      <c r="BP181" s="29"/>
      <c r="BQ181" s="29"/>
      <c r="BR181" s="29"/>
      <c r="BS181" s="29"/>
      <c r="BT181" s="29"/>
      <c r="BU181" s="29"/>
      <c r="BV181" s="29"/>
      <c r="BW181" s="29"/>
      <c r="BX181" s="29"/>
      <c r="BY181" s="29"/>
      <c r="BZ181" s="29"/>
      <c r="CA181" s="29"/>
      <c r="CB181" s="29"/>
      <c r="CC181" s="29"/>
      <c r="CD181" s="29"/>
      <c r="CE181" s="29"/>
      <c r="CF181" s="29"/>
      <c r="CG181" s="29"/>
      <c r="CH181" s="29"/>
      <c r="CI181" s="29"/>
      <c r="CJ181" s="29"/>
      <c r="CK181" s="29"/>
      <c r="CL181" s="29"/>
      <c r="CM181" s="29"/>
      <c r="CN181" s="29"/>
      <c r="CO181" s="29"/>
      <c r="CP181" s="29"/>
      <c r="CQ181" s="29"/>
      <c r="CR181" s="29"/>
      <c r="CS181" s="29"/>
      <c r="CT181" s="29"/>
      <c r="CU181" s="29"/>
      <c r="CV181" s="29"/>
      <c r="CW181" s="29"/>
      <c r="CX181" s="29"/>
      <c r="CY181" s="29"/>
      <c r="CZ181" s="29"/>
      <c r="DA181" s="29"/>
      <c r="DB181" s="29"/>
      <c r="DC181" s="29"/>
      <c r="DD181" s="29"/>
      <c r="DE181" s="29"/>
      <c r="DF181" s="29"/>
      <c r="DG181" s="29"/>
      <c r="DH181" s="29"/>
      <c r="DI181" s="29"/>
      <c r="DJ181" s="29"/>
      <c r="DK181" s="29"/>
      <c r="DL181" s="29"/>
      <c r="DM181" s="29"/>
      <c r="DN181" s="29"/>
      <c r="DO181" s="29"/>
      <c r="DP181" s="29"/>
      <c r="DQ181" s="29"/>
      <c r="DR181" s="29"/>
      <c r="DS181" s="29"/>
      <c r="DT181" s="29"/>
      <c r="DU181" s="29"/>
      <c r="DV181" s="29"/>
      <c r="DW181" s="29"/>
      <c r="DX181" s="29"/>
      <c r="DY181" s="29"/>
      <c r="DZ181" s="29"/>
      <c r="EA181" s="29"/>
      <c r="EB181" s="29"/>
      <c r="EC181" s="29"/>
      <c r="ED181" s="29"/>
      <c r="EE181" s="29"/>
      <c r="EF181" s="29"/>
      <c r="EG181" s="29"/>
      <c r="EH181" s="29"/>
      <c r="EI181" s="29"/>
      <c r="EJ181" s="29"/>
      <c r="EK181" s="29"/>
      <c r="EL181" s="29"/>
      <c r="EM181" s="29"/>
      <c r="EN181" s="29"/>
      <c r="EO181" s="29"/>
      <c r="EP181" s="29"/>
      <c r="EQ181" s="29"/>
      <c r="ER181" s="29"/>
      <c r="ES181" s="29"/>
      <c r="ET181" s="29"/>
      <c r="EU181" s="29"/>
      <c r="EV181" s="29"/>
      <c r="EW181" s="29"/>
      <c r="EX181" s="29"/>
      <c r="EY181" s="29"/>
      <c r="EZ181" s="29"/>
      <c r="FA181" s="29"/>
      <c r="FB181" s="29"/>
      <c r="FC181" s="29"/>
      <c r="FD181" s="29"/>
      <c r="FE181" s="29"/>
      <c r="FF181" s="29"/>
      <c r="FG181" s="29"/>
      <c r="FH181" s="29"/>
      <c r="FI181" s="29"/>
      <c r="FJ181" s="29"/>
      <c r="FK181" s="29"/>
      <c r="FL181" s="29"/>
      <c r="FM181" s="29"/>
      <c r="FN181" s="29"/>
      <c r="FO181" s="29"/>
      <c r="FP181" s="29"/>
      <c r="FQ181" s="29"/>
      <c r="FR181" s="29"/>
      <c r="FS181" s="29"/>
      <c r="FT181" s="29"/>
      <c r="FU181" s="29"/>
      <c r="FV181" s="29"/>
      <c r="FW181" s="29"/>
      <c r="FX181" s="29"/>
      <c r="FY181" s="29"/>
      <c r="FZ181" s="29"/>
      <c r="GA181" s="29"/>
      <c r="GB181" s="29"/>
      <c r="GC181" s="29"/>
      <c r="GD181" s="29"/>
      <c r="GE181" s="29"/>
      <c r="GF181" s="29"/>
      <c r="GG181" s="29"/>
      <c r="GH181" s="29"/>
      <c r="GI181" s="29"/>
      <c r="GJ181" s="29"/>
      <c r="GK181" s="29"/>
      <c r="GL181" s="29"/>
      <c r="GM181" s="29"/>
      <c r="GN181" s="29"/>
      <c r="GO181" s="29"/>
      <c r="GP181" s="29"/>
      <c r="GQ181" s="29"/>
      <c r="GR181" s="29"/>
      <c r="GS181" s="29"/>
      <c r="GT181" s="29"/>
      <c r="GU181" s="29"/>
      <c r="GV181" s="29"/>
      <c r="GW181" s="29"/>
      <c r="GX181" s="29"/>
      <c r="GY181" s="29"/>
      <c r="GZ181" s="29"/>
      <c r="HA181" s="29"/>
      <c r="HB181" s="29"/>
      <c r="HC181" s="29"/>
      <c r="HD181" s="29"/>
      <c r="HE181" s="29"/>
      <c r="HF181" s="29"/>
      <c r="HG181" s="29"/>
      <c r="HH181" s="29"/>
      <c r="HI181" s="29"/>
      <c r="HJ181" s="29"/>
      <c r="HK181" s="29"/>
      <c r="HL181" s="29"/>
      <c r="HM181" s="29"/>
      <c r="HN181" s="29"/>
      <c r="HO181" s="29"/>
      <c r="HP181" s="29"/>
      <c r="HQ181" s="29"/>
      <c r="HR181" s="29"/>
      <c r="HS181" s="29"/>
      <c r="HT181" s="29"/>
      <c r="HU181" s="29"/>
      <c r="HV181" s="29"/>
      <c r="HW181" s="29"/>
      <c r="HX181" s="29"/>
      <c r="HY181" s="29"/>
      <c r="HZ181" s="29"/>
      <c r="IA181" s="29"/>
      <c r="IB181" s="29"/>
      <c r="IC181" s="29"/>
      <c r="ID181" s="29"/>
      <c r="IE181" s="29"/>
      <c r="IF181" s="29"/>
      <c r="IG181" s="29"/>
      <c r="IH181" s="29"/>
      <c r="II181" s="29"/>
      <c r="IJ181" s="29"/>
      <c r="IK181" s="29"/>
      <c r="IL181" s="29"/>
      <c r="IM181" s="29"/>
      <c r="IN181" s="29"/>
      <c r="IO181" s="29"/>
      <c r="IP181" s="29"/>
      <c r="IQ181" s="29"/>
      <c r="IR181" s="29"/>
      <c r="IS181" s="29"/>
      <c r="IT181" s="29"/>
      <c r="IU181" s="29"/>
      <c r="IV181" s="29"/>
      <c r="IW181" s="29"/>
    </row>
    <row r="182" customFormat="false" ht="12.75" hidden="false" customHeight="false" outlineLevel="0" collapsed="false">
      <c r="A182" s="5"/>
      <c r="B182" s="5"/>
      <c r="C182" s="5"/>
      <c r="D182" s="0"/>
      <c r="E182" s="0"/>
      <c r="F182" s="0"/>
      <c r="G182" s="0"/>
      <c r="H182" s="0"/>
      <c r="I182" s="0"/>
      <c r="J182" s="0"/>
      <c r="K182" s="0"/>
      <c r="L182" s="0"/>
      <c r="M182" s="0"/>
      <c r="N182" s="0"/>
      <c r="O182" s="0"/>
      <c r="P182" s="0"/>
      <c r="Q182" s="0"/>
      <c r="R182" s="0"/>
      <c r="S182" s="0"/>
      <c r="T182" s="0"/>
      <c r="U182" s="0"/>
      <c r="V182" s="0"/>
      <c r="W182" s="0"/>
      <c r="X182" s="0"/>
      <c r="Y182" s="0"/>
      <c r="Z182" s="0"/>
      <c r="AA182" s="0"/>
      <c r="AB182" s="0"/>
      <c r="AC182" s="0"/>
      <c r="AD182" s="0"/>
      <c r="AE182" s="0"/>
      <c r="AF182" s="0"/>
      <c r="AG182" s="0"/>
    </row>
    <row r="183" customFormat="false" ht="12.75" hidden="false" customHeight="false" outlineLevel="0" collapsed="false">
      <c r="A183" s="26" t="s">
        <v>30</v>
      </c>
      <c r="B183" s="5"/>
      <c r="C183" s="5"/>
      <c r="D183" s="0"/>
      <c r="E183" s="0"/>
      <c r="F183" s="0"/>
      <c r="G183" s="0"/>
      <c r="H183" s="0"/>
      <c r="I183" s="0"/>
      <c r="J183" s="0"/>
      <c r="K183" s="0"/>
      <c r="L183" s="0"/>
      <c r="M183" s="0"/>
      <c r="N183" s="0"/>
      <c r="O183" s="0"/>
      <c r="P183" s="0"/>
      <c r="Q183" s="0"/>
      <c r="R183" s="0"/>
      <c r="S183" s="0"/>
      <c r="T183" s="0"/>
      <c r="U183" s="0"/>
      <c r="V183" s="0"/>
      <c r="W183" s="0"/>
      <c r="X183" s="0"/>
      <c r="Y183" s="0"/>
      <c r="Z183" s="0"/>
      <c r="AA183" s="0"/>
      <c r="AB183" s="0"/>
      <c r="AC183" s="0"/>
      <c r="AD183" s="0"/>
      <c r="AE183" s="0"/>
      <c r="AF183" s="0"/>
      <c r="AG183" s="0"/>
    </row>
    <row r="184" customFormat="false" ht="12.75" hidden="false" customHeight="false" outlineLevel="0" collapsed="false">
      <c r="A184" s="28" t="n">
        <v>36250</v>
      </c>
      <c r="B184" s="5"/>
      <c r="C184" s="5"/>
      <c r="D184" s="0"/>
      <c r="E184" s="0"/>
      <c r="F184" s="0"/>
      <c r="G184" s="0"/>
      <c r="H184" s="0"/>
      <c r="I184" s="0"/>
      <c r="J184" s="0"/>
      <c r="K184" s="0"/>
      <c r="L184" s="0"/>
      <c r="M184" s="0"/>
      <c r="N184" s="0"/>
      <c r="O184" s="0"/>
      <c r="P184" s="0"/>
      <c r="Q184" s="0"/>
      <c r="R184" s="0"/>
      <c r="S184" s="0"/>
      <c r="T184" s="0"/>
      <c r="U184" s="0"/>
      <c r="V184" s="0"/>
      <c r="W184" s="0"/>
      <c r="X184" s="0"/>
      <c r="Y184" s="0"/>
      <c r="Z184" s="0"/>
      <c r="AA184" s="0"/>
      <c r="AB184" s="0"/>
      <c r="AC184" s="0"/>
      <c r="AD184" s="0"/>
      <c r="AE184" s="0"/>
      <c r="AF184" s="0"/>
      <c r="AG184" s="0"/>
    </row>
    <row r="185" customFormat="false" ht="12.75" hidden="false" customHeight="false" outlineLevel="0" collapsed="false">
      <c r="A185" s="7" t="s">
        <v>2</v>
      </c>
      <c r="B185" s="8" t="n">
        <v>29937.9197959374</v>
      </c>
      <c r="C185" s="5" t="s">
        <v>14</v>
      </c>
      <c r="D185" s="0"/>
      <c r="E185" s="0"/>
      <c r="F185" s="0"/>
      <c r="G185" s="0"/>
      <c r="H185" s="0"/>
      <c r="I185" s="0"/>
      <c r="J185" s="0"/>
      <c r="K185" s="0"/>
      <c r="L185" s="0"/>
      <c r="M185" s="0"/>
      <c r="N185" s="0"/>
      <c r="O185" s="0"/>
      <c r="P185" s="0"/>
      <c r="Q185" s="0"/>
      <c r="R185" s="0"/>
      <c r="S185" s="0"/>
      <c r="T185" s="0"/>
      <c r="U185" s="0"/>
      <c r="V185" s="0"/>
      <c r="W185" s="0"/>
      <c r="X185" s="0"/>
      <c r="Y185" s="0"/>
      <c r="Z185" s="0"/>
      <c r="AA185" s="0"/>
      <c r="AB185" s="0"/>
      <c r="AC185" s="0"/>
      <c r="AD185" s="0"/>
      <c r="AE185" s="0"/>
      <c r="AF185" s="0"/>
      <c r="AG185" s="0"/>
    </row>
    <row r="186" customFormat="false" ht="12.75" hidden="false" customHeight="false" outlineLevel="0" collapsed="false">
      <c r="A186" s="9" t="s">
        <v>3</v>
      </c>
      <c r="B186" s="10" t="n">
        <v>62375.3789359527</v>
      </c>
      <c r="C186" s="5"/>
      <c r="D186" s="0"/>
      <c r="E186" s="0"/>
      <c r="F186" s="0"/>
      <c r="G186" s="0"/>
      <c r="H186" s="0"/>
      <c r="I186" s="0"/>
      <c r="J186" s="0"/>
      <c r="K186" s="0"/>
      <c r="L186" s="0"/>
      <c r="M186" s="0"/>
      <c r="N186" s="0"/>
      <c r="O186" s="0"/>
      <c r="P186" s="0"/>
      <c r="Q186" s="0"/>
      <c r="R186" s="0"/>
      <c r="S186" s="0"/>
      <c r="T186" s="0"/>
      <c r="U186" s="0"/>
      <c r="V186" s="0"/>
      <c r="W186" s="0"/>
      <c r="X186" s="0"/>
      <c r="Y186" s="0"/>
      <c r="Z186" s="0"/>
      <c r="AA186" s="0"/>
      <c r="AB186" s="0"/>
      <c r="AC186" s="0"/>
      <c r="AD186" s="0"/>
      <c r="AE186" s="0"/>
      <c r="AF186" s="0"/>
      <c r="AG186" s="0"/>
    </row>
    <row r="187" customFormat="false" ht="12.75" hidden="false" customHeight="false" outlineLevel="0" collapsed="false">
      <c r="A187" s="11" t="s">
        <v>4</v>
      </c>
      <c r="B187" s="12" t="s">
        <v>5</v>
      </c>
      <c r="C187" s="12" t="s">
        <v>6</v>
      </c>
      <c r="D187" s="13" t="n">
        <v>1999</v>
      </c>
      <c r="E187" s="14" t="n">
        <v>2000</v>
      </c>
      <c r="F187" s="14" t="n">
        <v>2001</v>
      </c>
      <c r="G187" s="14" t="n">
        <v>2002</v>
      </c>
      <c r="H187" s="14" t="n">
        <v>2003</v>
      </c>
      <c r="I187" s="14" t="n">
        <v>2004</v>
      </c>
      <c r="J187" s="14" t="n">
        <v>2005</v>
      </c>
      <c r="K187" s="14" t="n">
        <v>2006</v>
      </c>
      <c r="L187" s="14" t="n">
        <v>2007</v>
      </c>
      <c r="M187" s="14" t="n">
        <v>2008</v>
      </c>
      <c r="N187" s="14" t="n">
        <v>2009</v>
      </c>
      <c r="O187" s="15" t="n">
        <v>2010</v>
      </c>
      <c r="P187" s="16" t="n">
        <v>2011</v>
      </c>
      <c r="Q187" s="16" t="n">
        <v>2012</v>
      </c>
      <c r="R187" s="16" t="n">
        <v>2013</v>
      </c>
      <c r="S187" s="16" t="n">
        <v>2014</v>
      </c>
      <c r="T187" s="16" t="n">
        <v>2015</v>
      </c>
      <c r="U187" s="16" t="n">
        <v>2016</v>
      </c>
      <c r="V187" s="16" t="n">
        <v>2017</v>
      </c>
      <c r="W187" s="16" t="n">
        <v>2018</v>
      </c>
      <c r="X187" s="16" t="n">
        <v>2019</v>
      </c>
      <c r="Y187" s="0"/>
      <c r="Z187" s="0"/>
      <c r="AA187" s="0"/>
      <c r="AB187" s="0"/>
      <c r="AC187" s="0"/>
      <c r="AD187" s="0"/>
      <c r="AE187" s="0"/>
      <c r="AF187" s="0"/>
      <c r="AG187" s="0"/>
    </row>
    <row r="188" customFormat="false" ht="12.75" hidden="false" customHeight="false" outlineLevel="0" collapsed="false">
      <c r="A188" s="11" t="s">
        <v>7</v>
      </c>
      <c r="B188" s="17" t="n">
        <f aca="false">NPV(0.1,D188:Y188)</f>
        <v>440714.407089297</v>
      </c>
      <c r="C188" s="17" t="n">
        <f aca="false">B188-B178</f>
        <v>0</v>
      </c>
      <c r="D188" s="18" t="n">
        <v>26456.1651721875</v>
      </c>
      <c r="E188" s="19" t="n">
        <v>36622.8167682054</v>
      </c>
      <c r="F188" s="19" t="n">
        <v>36899.7467266388</v>
      </c>
      <c r="G188" s="19" t="n">
        <v>37130.4608454278</v>
      </c>
      <c r="H188" s="19" t="n">
        <v>46551.6218507978</v>
      </c>
      <c r="I188" s="19" t="n">
        <v>54368.3363263156</v>
      </c>
      <c r="J188" s="19" t="n">
        <v>55774.1081752542</v>
      </c>
      <c r="K188" s="19" t="n">
        <v>56836.4340779057</v>
      </c>
      <c r="L188" s="19" t="n">
        <v>58014.036281412</v>
      </c>
      <c r="M188" s="19" t="n">
        <v>59306.2801784764</v>
      </c>
      <c r="N188" s="19" t="n">
        <v>60748.6390469201</v>
      </c>
      <c r="O188" s="20" t="n">
        <v>62343.6917451537</v>
      </c>
      <c r="P188" s="21" t="n">
        <v>64230.9099191597</v>
      </c>
      <c r="Q188" s="21" t="n">
        <v>66205.4173948106</v>
      </c>
      <c r="R188" s="21" t="n">
        <v>68260.1936842274</v>
      </c>
      <c r="S188" s="21" t="n">
        <v>70358.6179348906</v>
      </c>
      <c r="T188" s="21" t="n">
        <v>72482.4395694936</v>
      </c>
      <c r="U188" s="21" t="n">
        <v>74297.4767975085</v>
      </c>
      <c r="V188" s="21" t="n">
        <v>76073.9231579729</v>
      </c>
      <c r="W188" s="21" t="n">
        <v>77846.43841275</v>
      </c>
      <c r="X188" s="21" t="n">
        <v>78083.6229526837</v>
      </c>
      <c r="Y188" s="0"/>
      <c r="Z188" s="0"/>
      <c r="AA188" s="0"/>
      <c r="AB188" s="0"/>
      <c r="AC188" s="0"/>
      <c r="AD188" s="0"/>
      <c r="AE188" s="0"/>
      <c r="AF188" s="0"/>
      <c r="AG188" s="0"/>
    </row>
    <row r="189" customFormat="false" ht="12.75" hidden="false" customHeight="false" outlineLevel="0" collapsed="false">
      <c r="A189" s="22" t="s">
        <v>8</v>
      </c>
      <c r="B189" s="17" t="n">
        <f aca="false">NPV(0.1,D189:Y189)</f>
        <v>220469.236585904</v>
      </c>
      <c r="C189" s="17" t="n">
        <f aca="false">B189-B179</f>
        <v>3.46456554011093</v>
      </c>
      <c r="D189" s="18" t="n">
        <v>17579.9151819456</v>
      </c>
      <c r="E189" s="19" t="n">
        <v>21712.1022418158</v>
      </c>
      <c r="F189" s="19" t="n">
        <v>22054.3785454518</v>
      </c>
      <c r="G189" s="19" t="n">
        <v>22353.1241689446</v>
      </c>
      <c r="H189" s="19" t="n">
        <v>22716.1836567456</v>
      </c>
      <c r="I189" s="19" t="n">
        <v>23155.1483990643</v>
      </c>
      <c r="J189" s="19" t="n">
        <v>23691.0329521358</v>
      </c>
      <c r="K189" s="19" t="n">
        <v>24340.0912175279</v>
      </c>
      <c r="L189" s="19" t="n">
        <v>25111.1798651534</v>
      </c>
      <c r="M189" s="19" t="n">
        <v>26004.3823859261</v>
      </c>
      <c r="N189" s="19" t="n">
        <v>27050.5517299941</v>
      </c>
      <c r="O189" s="20" t="n">
        <v>29040.9820823974</v>
      </c>
      <c r="P189" s="21" t="n">
        <v>30351.0825523686</v>
      </c>
      <c r="Q189" s="21" t="n">
        <v>31734.6197260762</v>
      </c>
      <c r="R189" s="21" t="n">
        <v>33189.0563411347</v>
      </c>
      <c r="S189" s="21" t="n">
        <v>34707.5409762485</v>
      </c>
      <c r="T189" s="21" t="n">
        <v>36227.4006349434</v>
      </c>
      <c r="U189" s="21" t="n">
        <v>37752.2530289062</v>
      </c>
      <c r="V189" s="21" t="n">
        <v>39263.7169328797</v>
      </c>
      <c r="W189" s="21" t="n">
        <v>40895.8964766881</v>
      </c>
      <c r="X189" s="21" t="n">
        <v>40744.1608890393</v>
      </c>
      <c r="Y189" s="0"/>
      <c r="Z189" s="0"/>
      <c r="AA189" s="0"/>
      <c r="AB189" s="0"/>
      <c r="AC189" s="0"/>
      <c r="AD189" s="0"/>
      <c r="AE189" s="0"/>
      <c r="AF189" s="0"/>
      <c r="AG189" s="0"/>
    </row>
    <row r="190" customFormat="false" ht="12.75" hidden="false" customHeight="false" outlineLevel="0" collapsed="false">
      <c r="A190" s="22" t="s">
        <v>9</v>
      </c>
      <c r="B190" s="17" t="n">
        <f aca="false">NPV(0.1,D190:Y190)</f>
        <v>80956.3948492649</v>
      </c>
      <c r="C190" s="17" t="n">
        <f aca="false">B190-B180</f>
        <v>-113.613412690276</v>
      </c>
      <c r="D190" s="18" t="n">
        <v>263.586000817247</v>
      </c>
      <c r="E190" s="19" t="n">
        <v>1085.10145586017</v>
      </c>
      <c r="F190" s="19" t="n">
        <v>1167.94017917865</v>
      </c>
      <c r="G190" s="19" t="n">
        <v>1225.96370066532</v>
      </c>
      <c r="H190" s="19" t="n">
        <v>6816.47501860025</v>
      </c>
      <c r="I190" s="19" t="n">
        <v>11625.3050853579</v>
      </c>
      <c r="J190" s="19" t="n">
        <v>12534.0345343678</v>
      </c>
      <c r="K190" s="19" t="n">
        <v>13056.7947990612</v>
      </c>
      <c r="L190" s="19" t="n">
        <v>13659.7504747288</v>
      </c>
      <c r="M190" s="19" t="n">
        <v>14293.56766948</v>
      </c>
      <c r="N190" s="19" t="n">
        <v>14963.7684785144</v>
      </c>
      <c r="O190" s="20" t="n">
        <v>15128.4708143645</v>
      </c>
      <c r="P190" s="21" t="n">
        <v>15980.2558932225</v>
      </c>
      <c r="Q190" s="21" t="n">
        <v>16890.8308491161</v>
      </c>
      <c r="R190" s="21" t="n">
        <v>17723.5853619712</v>
      </c>
      <c r="S190" s="21" t="n">
        <v>18709.023760795</v>
      </c>
      <c r="T190" s="21" t="n">
        <v>19123.7370724919</v>
      </c>
      <c r="U190" s="21" t="n">
        <v>19321.50101799</v>
      </c>
      <c r="V190" s="21" t="n">
        <v>19504.259739658</v>
      </c>
      <c r="W190" s="21" t="n">
        <v>19537.3738554174</v>
      </c>
      <c r="X190" s="21" t="n">
        <v>19797.829231121</v>
      </c>
      <c r="Y190" s="0"/>
      <c r="Z190" s="0"/>
      <c r="AA190" s="0"/>
      <c r="AB190" s="0"/>
      <c r="AC190" s="0"/>
      <c r="AD190" s="0"/>
      <c r="AE190" s="0"/>
      <c r="AF190" s="0"/>
      <c r="AG190" s="0"/>
    </row>
    <row r="191" customFormat="false" ht="12.75" hidden="false" customHeight="false" outlineLevel="0" collapsed="false">
      <c r="A191" s="22" t="s">
        <v>10</v>
      </c>
      <c r="B191" s="17" t="n">
        <f aca="false">NPV(0.1,D191:Y191)</f>
        <v>100500.265719317</v>
      </c>
      <c r="C191" s="17" t="n">
        <f aca="false">B191-B181</f>
        <v>52.6778118694347</v>
      </c>
      <c r="D191" s="23" t="n">
        <v>3099.83500535703</v>
      </c>
      <c r="E191" s="24" t="n">
        <v>5762.56658719203</v>
      </c>
      <c r="F191" s="24" t="n">
        <v>5209.89087063672</v>
      </c>
      <c r="G191" s="24" t="n">
        <v>5158.43139914996</v>
      </c>
      <c r="H191" s="24" t="n">
        <v>14554.3988923761</v>
      </c>
      <c r="I191" s="24" t="n">
        <v>18777.1549277041</v>
      </c>
      <c r="J191" s="24" t="n">
        <v>13087.5042878896</v>
      </c>
      <c r="K191" s="24" t="n">
        <v>12951.0628119369</v>
      </c>
      <c r="L191" s="24" t="n">
        <v>12838.8575884737</v>
      </c>
      <c r="M191" s="24" t="n">
        <v>12715.097875728</v>
      </c>
      <c r="N191" s="24" t="n">
        <v>12551.000836718</v>
      </c>
      <c r="O191" s="25" t="n">
        <v>12933.425025676</v>
      </c>
      <c r="P191" s="21" t="n">
        <v>11927.9743861583</v>
      </c>
      <c r="Q191" s="21" t="n">
        <v>11734.5767991792</v>
      </c>
      <c r="R191" s="21" t="n">
        <v>16347.3734203333</v>
      </c>
      <c r="S191" s="21" t="n">
        <v>23623.3850361757</v>
      </c>
      <c r="T191" s="21" t="n">
        <v>22292.2879913704</v>
      </c>
      <c r="U191" s="21" t="n">
        <v>22473.7093259122</v>
      </c>
      <c r="V191" s="21" t="n">
        <v>22656.4680475802</v>
      </c>
      <c r="W191" s="21" t="n">
        <v>22787.6378290777</v>
      </c>
      <c r="X191" s="21" t="n">
        <v>22770.2688185234</v>
      </c>
      <c r="Y191" s="0"/>
      <c r="Z191" s="0"/>
      <c r="AA191" s="0"/>
      <c r="AB191" s="0"/>
      <c r="AC191" s="0"/>
      <c r="AD191" s="0"/>
      <c r="AE191" s="0"/>
      <c r="AF191" s="0"/>
      <c r="AG191" s="0"/>
    </row>
    <row r="192" customFormat="false" ht="12.75" hidden="false" customHeight="false" outlineLevel="0" collapsed="false">
      <c r="A192" s="5"/>
      <c r="B192" s="5"/>
      <c r="C192" s="5"/>
      <c r="D192" s="0"/>
      <c r="E192" s="0"/>
      <c r="F192" s="0"/>
      <c r="G192" s="0"/>
      <c r="H192" s="0"/>
      <c r="I192" s="0"/>
      <c r="J192" s="0"/>
      <c r="K192" s="0"/>
      <c r="L192" s="0"/>
      <c r="M192" s="0"/>
      <c r="N192" s="0"/>
      <c r="O192" s="0"/>
      <c r="P192" s="0"/>
      <c r="Q192" s="0"/>
      <c r="R192" s="0"/>
      <c r="S192" s="0"/>
      <c r="T192" s="0"/>
      <c r="U192" s="0"/>
      <c r="V192" s="0"/>
      <c r="W192" s="0"/>
      <c r="X192" s="0"/>
      <c r="Y192" s="0"/>
      <c r="Z192" s="0"/>
      <c r="AA192" s="0"/>
      <c r="AB192" s="0"/>
      <c r="AC192" s="0"/>
      <c r="AD192" s="0"/>
      <c r="AE192" s="0"/>
      <c r="AF192" s="0"/>
      <c r="AG192" s="0"/>
    </row>
    <row r="193" customFormat="false" ht="12.75" hidden="false" customHeight="false" outlineLevel="0" collapsed="false">
      <c r="A193" s="26" t="s">
        <v>31</v>
      </c>
      <c r="B193" s="5"/>
      <c r="C193" s="5"/>
      <c r="D193" s="0"/>
      <c r="E193" s="0"/>
      <c r="F193" s="0"/>
      <c r="G193" s="0"/>
      <c r="H193" s="0"/>
      <c r="I193" s="0"/>
      <c r="J193" s="0"/>
      <c r="K193" s="0"/>
      <c r="L193" s="0"/>
      <c r="M193" s="0"/>
      <c r="N193" s="0"/>
      <c r="O193" s="0"/>
      <c r="P193" s="0"/>
      <c r="Q193" s="0"/>
      <c r="R193" s="0"/>
      <c r="S193" s="0"/>
      <c r="T193" s="0"/>
      <c r="U193" s="0"/>
      <c r="V193" s="0"/>
      <c r="W193" s="0"/>
      <c r="X193" s="0"/>
      <c r="Y193" s="0"/>
      <c r="Z193" s="0"/>
      <c r="AA193" s="0"/>
      <c r="AB193" s="0"/>
      <c r="AC193" s="0"/>
      <c r="AD193" s="0"/>
      <c r="AE193" s="0"/>
      <c r="AF193" s="0"/>
      <c r="AG193" s="0"/>
    </row>
    <row r="194" customFormat="false" ht="12.75" hidden="false" customHeight="false" outlineLevel="0" collapsed="false">
      <c r="A194" s="28" t="n">
        <v>36257</v>
      </c>
      <c r="B194" s="5"/>
      <c r="C194" s="5"/>
      <c r="D194" s="0"/>
      <c r="E194" s="0"/>
      <c r="F194" s="0"/>
      <c r="G194" s="0"/>
      <c r="H194" s="0"/>
      <c r="I194" s="0"/>
      <c r="J194" s="0"/>
      <c r="K194" s="0"/>
      <c r="L194" s="0"/>
      <c r="M194" s="0"/>
      <c r="N194" s="0"/>
      <c r="O194" s="0"/>
      <c r="P194" s="0"/>
      <c r="Q194" s="0"/>
      <c r="R194" s="0"/>
      <c r="S194" s="0"/>
      <c r="T194" s="0"/>
      <c r="U194" s="0"/>
      <c r="V194" s="0"/>
      <c r="W194" s="0"/>
      <c r="X194" s="0"/>
      <c r="Y194" s="0"/>
      <c r="Z194" s="0"/>
      <c r="AA194" s="0"/>
      <c r="AB194" s="0"/>
      <c r="AC194" s="0"/>
      <c r="AD194" s="0"/>
      <c r="AE194" s="0"/>
      <c r="AF194" s="0"/>
      <c r="AG194" s="0"/>
    </row>
    <row r="195" customFormat="false" ht="9.75" hidden="false" customHeight="true" outlineLevel="1" collapsed="false">
      <c r="A195" s="7" t="s">
        <v>2</v>
      </c>
      <c r="B195" s="8" t="n">
        <v>29837.5705505784</v>
      </c>
      <c r="C195" s="5" t="s">
        <v>14</v>
      </c>
      <c r="D195" s="0"/>
      <c r="E195" s="0"/>
      <c r="F195" s="0"/>
      <c r="G195" s="0"/>
      <c r="H195" s="0"/>
      <c r="I195" s="0"/>
      <c r="J195" s="0"/>
      <c r="K195" s="0"/>
      <c r="L195" s="0"/>
      <c r="M195" s="0"/>
      <c r="N195" s="0"/>
      <c r="O195" s="0"/>
      <c r="P195" s="0"/>
      <c r="Q195" s="0"/>
      <c r="R195" s="0"/>
      <c r="S195" s="0"/>
      <c r="T195" s="0"/>
      <c r="U195" s="0"/>
      <c r="V195" s="0"/>
      <c r="W195" s="0"/>
      <c r="X195" s="0"/>
      <c r="Y195" s="0"/>
      <c r="Z195" s="0"/>
      <c r="AA195" s="0"/>
      <c r="AB195" s="0"/>
      <c r="AC195" s="0"/>
      <c r="AD195" s="0"/>
      <c r="AE195" s="0"/>
      <c r="AF195" s="0"/>
      <c r="AG195" s="0"/>
    </row>
    <row r="196" customFormat="false" ht="12.75" hidden="false" customHeight="false" outlineLevel="1" collapsed="false">
      <c r="A196" s="9" t="s">
        <v>3</v>
      </c>
      <c r="B196" s="10" t="n">
        <v>62285.1017360659</v>
      </c>
      <c r="C196" s="5"/>
      <c r="D196" s="0"/>
      <c r="E196" s="0"/>
      <c r="F196" s="0"/>
      <c r="G196" s="0"/>
      <c r="H196" s="0"/>
      <c r="I196" s="0"/>
      <c r="J196" s="0"/>
      <c r="K196" s="0"/>
      <c r="L196" s="0"/>
      <c r="M196" s="0"/>
      <c r="N196" s="0"/>
      <c r="O196" s="0"/>
      <c r="P196" s="0"/>
      <c r="Q196" s="0"/>
      <c r="R196" s="0"/>
      <c r="S196" s="0"/>
      <c r="T196" s="0"/>
      <c r="U196" s="0"/>
      <c r="V196" s="0"/>
      <c r="W196" s="0"/>
      <c r="X196" s="0"/>
      <c r="Y196" s="0"/>
      <c r="Z196" s="0"/>
      <c r="AA196" s="0"/>
      <c r="AB196" s="0"/>
      <c r="AC196" s="0"/>
      <c r="AD196" s="0"/>
      <c r="AE196" s="0"/>
      <c r="AF196" s="0"/>
      <c r="AG196" s="0"/>
    </row>
    <row r="197" customFormat="false" ht="12.75" hidden="false" customHeight="false" outlineLevel="1" collapsed="false">
      <c r="A197" s="11" t="s">
        <v>4</v>
      </c>
      <c r="B197" s="12" t="s">
        <v>5</v>
      </c>
      <c r="C197" s="12" t="s">
        <v>6</v>
      </c>
      <c r="D197" s="13" t="n">
        <v>1999</v>
      </c>
      <c r="E197" s="14" t="n">
        <v>2000</v>
      </c>
      <c r="F197" s="14" t="n">
        <v>2001</v>
      </c>
      <c r="G197" s="14" t="n">
        <v>2002</v>
      </c>
      <c r="H197" s="14" t="n">
        <v>2003</v>
      </c>
      <c r="I197" s="14" t="n">
        <v>2004</v>
      </c>
      <c r="J197" s="14" t="n">
        <v>2005</v>
      </c>
      <c r="K197" s="14" t="n">
        <v>2006</v>
      </c>
      <c r="L197" s="14" t="n">
        <v>2007</v>
      </c>
      <c r="M197" s="14" t="n">
        <v>2008</v>
      </c>
      <c r="N197" s="14" t="n">
        <v>2009</v>
      </c>
      <c r="O197" s="15" t="n">
        <v>2010</v>
      </c>
      <c r="P197" s="16" t="n">
        <v>2011</v>
      </c>
      <c r="Q197" s="16" t="n">
        <v>2012</v>
      </c>
      <c r="R197" s="16" t="n">
        <v>2013</v>
      </c>
      <c r="S197" s="16" t="n">
        <v>2014</v>
      </c>
      <c r="T197" s="16" t="n">
        <v>2015</v>
      </c>
      <c r="U197" s="16" t="n">
        <v>2016</v>
      </c>
      <c r="V197" s="16" t="n">
        <v>2017</v>
      </c>
      <c r="W197" s="16" t="n">
        <v>2018</v>
      </c>
      <c r="X197" s="16" t="n">
        <v>2019</v>
      </c>
      <c r="Y197" s="0"/>
      <c r="Z197" s="0"/>
      <c r="AA197" s="0"/>
      <c r="AB197" s="0"/>
      <c r="AC197" s="0"/>
      <c r="AD197" s="0"/>
      <c r="AE197" s="0"/>
      <c r="AF197" s="0"/>
      <c r="AG197" s="0"/>
    </row>
    <row r="198" customFormat="false" ht="12.75" hidden="false" customHeight="false" outlineLevel="1" collapsed="false">
      <c r="A198" s="11" t="s">
        <v>7</v>
      </c>
      <c r="B198" s="17" t="n">
        <f aca="false">NPV(0.1,D198:Y198)</f>
        <v>440714.407089297</v>
      </c>
      <c r="C198" s="17" t="n">
        <f aca="false">B198-B188</f>
        <v>0</v>
      </c>
      <c r="D198" s="18" t="n">
        <v>26456.1651721875</v>
      </c>
      <c r="E198" s="19" t="n">
        <v>36622.8167682054</v>
      </c>
      <c r="F198" s="19" t="n">
        <v>36899.7467266388</v>
      </c>
      <c r="G198" s="19" t="n">
        <v>37130.4608454278</v>
      </c>
      <c r="H198" s="19" t="n">
        <v>46551.6218507978</v>
      </c>
      <c r="I198" s="19" t="n">
        <v>54368.3363263156</v>
      </c>
      <c r="J198" s="19" t="n">
        <v>55774.1081752542</v>
      </c>
      <c r="K198" s="19" t="n">
        <v>56836.4340779057</v>
      </c>
      <c r="L198" s="19" t="n">
        <v>58014.036281412</v>
      </c>
      <c r="M198" s="19" t="n">
        <v>59306.2801784764</v>
      </c>
      <c r="N198" s="19" t="n">
        <v>60748.6390469201</v>
      </c>
      <c r="O198" s="20" t="n">
        <v>62343.6917451537</v>
      </c>
      <c r="P198" s="21" t="n">
        <v>64230.9099191597</v>
      </c>
      <c r="Q198" s="21" t="n">
        <v>66205.4173948106</v>
      </c>
      <c r="R198" s="21" t="n">
        <v>68260.1936842274</v>
      </c>
      <c r="S198" s="21" t="n">
        <v>70358.6179348906</v>
      </c>
      <c r="T198" s="21" t="n">
        <v>72482.4395694936</v>
      </c>
      <c r="U198" s="21" t="n">
        <v>74297.4767975085</v>
      </c>
      <c r="V198" s="21" t="n">
        <v>76073.9231579729</v>
      </c>
      <c r="W198" s="21" t="n">
        <v>77846.43841275</v>
      </c>
      <c r="X198" s="21" t="n">
        <v>78083.6229526837</v>
      </c>
      <c r="Y198" s="0"/>
      <c r="Z198" s="0"/>
      <c r="AA198" s="0"/>
      <c r="AB198" s="0"/>
      <c r="AC198" s="0"/>
      <c r="AD198" s="0"/>
      <c r="AE198" s="0"/>
      <c r="AF198" s="0"/>
      <c r="AG198" s="0"/>
    </row>
    <row r="199" customFormat="false" ht="12.75" hidden="false" customHeight="false" outlineLevel="1" collapsed="false">
      <c r="A199" s="22" t="s">
        <v>8</v>
      </c>
      <c r="B199" s="17" t="n">
        <f aca="false">NPV(0.1,D199:Y199)</f>
        <v>220564.288828292</v>
      </c>
      <c r="C199" s="17" t="n">
        <f aca="false">B199-B189</f>
        <v>95.052242387872</v>
      </c>
      <c r="D199" s="18" t="n">
        <v>17581.7857667884</v>
      </c>
      <c r="E199" s="19" t="n">
        <v>21715.3151487295</v>
      </c>
      <c r="F199" s="19" t="n">
        <v>22058.9350013684</v>
      </c>
      <c r="G199" s="19" t="n">
        <v>22359.0254639272</v>
      </c>
      <c r="H199" s="19" t="n">
        <v>22723.4310592325</v>
      </c>
      <c r="I199" s="19" t="n">
        <v>23164.1075583024</v>
      </c>
      <c r="J199" s="19" t="n">
        <v>23701.2942655326</v>
      </c>
      <c r="K199" s="19" t="n">
        <v>24351.6546175513</v>
      </c>
      <c r="L199" s="19" t="n">
        <v>25124.0454193355</v>
      </c>
      <c r="M199" s="19" t="n">
        <v>26018.5500267348</v>
      </c>
      <c r="N199" s="19" t="n">
        <v>27066.0215249615</v>
      </c>
      <c r="O199" s="20" t="n">
        <v>29057.7539639914</v>
      </c>
      <c r="P199" s="21" t="n">
        <v>30369.1565881213</v>
      </c>
      <c r="Q199" s="21" t="n">
        <v>31753.9958484555</v>
      </c>
      <c r="R199" s="21" t="n">
        <v>33209.7372950952</v>
      </c>
      <c r="S199" s="21" t="n">
        <v>34729.5440063643</v>
      </c>
      <c r="T199" s="21" t="n">
        <v>36250.7456632111</v>
      </c>
      <c r="U199" s="21" t="n">
        <v>37776.9400553258</v>
      </c>
      <c r="V199" s="21" t="n">
        <v>39289.7459574514</v>
      </c>
      <c r="W199" s="21" t="n">
        <v>40923.2674994117</v>
      </c>
      <c r="X199" s="21" t="n">
        <v>40772.8739099149</v>
      </c>
      <c r="Y199" s="0"/>
      <c r="Z199" s="0"/>
      <c r="AA199" s="0"/>
      <c r="AB199" s="0"/>
      <c r="AC199" s="0"/>
      <c r="AD199" s="0"/>
      <c r="AE199" s="0"/>
      <c r="AF199" s="0"/>
      <c r="AG199" s="0"/>
    </row>
    <row r="200" customFormat="false" ht="12.75" hidden="false" customHeight="false" outlineLevel="1" collapsed="false">
      <c r="A200" s="22" t="s">
        <v>9</v>
      </c>
      <c r="B200" s="17" t="n">
        <f aca="false">NPV(0.1,D200:Y200)</f>
        <v>85745.0173831412</v>
      </c>
      <c r="C200" s="17" t="n">
        <f aca="false">B200-B190</f>
        <v>4788.62253387626</v>
      </c>
      <c r="D200" s="18" t="n">
        <v>1012.67712526995</v>
      </c>
      <c r="E200" s="19" t="n">
        <v>1621.69154546038</v>
      </c>
      <c r="F200" s="19" t="n">
        <v>1703.73797542712</v>
      </c>
      <c r="G200" s="19" t="n">
        <v>1760.92843661904</v>
      </c>
      <c r="H200" s="19" t="n">
        <v>7350.62065835941</v>
      </c>
      <c r="I200" s="19" t="n">
        <v>12158.3986194152</v>
      </c>
      <c r="J200" s="19" t="n">
        <v>13066.2954603381</v>
      </c>
      <c r="K200" s="19" t="n">
        <v>13588.1951458479</v>
      </c>
      <c r="L200" s="19" t="n">
        <v>14190.2599481438</v>
      </c>
      <c r="M200" s="19" t="n">
        <v>14823.1536372039</v>
      </c>
      <c r="N200" s="19" t="n">
        <v>15492.3956122384</v>
      </c>
      <c r="O200" s="20" t="n">
        <v>15656.101044919</v>
      </c>
      <c r="P200" s="21" t="n">
        <v>16506.8480205005</v>
      </c>
      <c r="Q200" s="21" t="n">
        <v>17416.3404624057</v>
      </c>
      <c r="R200" s="21" t="n">
        <v>18247.9925185418</v>
      </c>
      <c r="S200" s="21" t="n">
        <v>19232.2361504783</v>
      </c>
      <c r="T200" s="21" t="n">
        <v>19646.1207783164</v>
      </c>
      <c r="U200" s="21" t="n">
        <v>19843.0560399557</v>
      </c>
      <c r="V200" s="21" t="n">
        <v>20024.9860777649</v>
      </c>
      <c r="W200" s="21" t="n">
        <v>20057.2715096655</v>
      </c>
      <c r="X200" s="21" t="n">
        <v>20316.8982015103</v>
      </c>
      <c r="Y200" s="0"/>
      <c r="Z200" s="0"/>
      <c r="AA200" s="0"/>
      <c r="AB200" s="0"/>
      <c r="AC200" s="0"/>
      <c r="AD200" s="0"/>
      <c r="AE200" s="0"/>
      <c r="AF200" s="0"/>
      <c r="AG200" s="0"/>
    </row>
    <row r="201" customFormat="false" ht="12.75" hidden="false" customHeight="false" outlineLevel="1" collapsed="false">
      <c r="A201" s="22" t="s">
        <v>10</v>
      </c>
      <c r="B201" s="17" t="n">
        <f aca="false">NPV(0.1,D201:Y201)</f>
        <v>100432.19809845</v>
      </c>
      <c r="C201" s="17" t="n">
        <f aca="false">B201-B191</f>
        <v>-68.0676208672085</v>
      </c>
      <c r="D201" s="23" t="n">
        <v>3099.1833641406</v>
      </c>
      <c r="E201" s="24" t="n">
        <v>5761.44742461708</v>
      </c>
      <c r="F201" s="24" t="n">
        <v>5208.32385839414</v>
      </c>
      <c r="G201" s="24" t="n">
        <v>5156.41610721875</v>
      </c>
      <c r="H201" s="24" t="n">
        <v>14550.0022572803</v>
      </c>
      <c r="I201" s="24" t="n">
        <v>18626.1232489913</v>
      </c>
      <c r="J201" s="24" t="n">
        <v>13100.0480987767</v>
      </c>
      <c r="K201" s="24" t="n">
        <v>12963.3854550409</v>
      </c>
      <c r="L201" s="24" t="n">
        <v>12850.9237627478</v>
      </c>
      <c r="M201" s="24" t="n">
        <v>12726.9818609868</v>
      </c>
      <c r="N201" s="24" t="n">
        <v>12562.6704502161</v>
      </c>
      <c r="O201" s="25" t="n">
        <v>12944.9579149937</v>
      </c>
      <c r="P201" s="21" t="n">
        <v>11939.3420057369</v>
      </c>
      <c r="Q201" s="21" t="n">
        <v>11745.8607247607</v>
      </c>
      <c r="R201" s="21" t="n">
        <v>16357.5075570133</v>
      </c>
      <c r="S201" s="21" t="n">
        <v>23617.7669637205</v>
      </c>
      <c r="T201" s="21" t="n">
        <v>22277.8724364151</v>
      </c>
      <c r="U201" s="21" t="n">
        <v>22458.465087098</v>
      </c>
      <c r="V201" s="21" t="n">
        <v>22640.3951249072</v>
      </c>
      <c r="W201" s="21" t="n">
        <v>22770.7362225459</v>
      </c>
      <c r="X201" s="21" t="n">
        <v>22752.5385281327</v>
      </c>
      <c r="Y201" s="0"/>
      <c r="Z201" s="0"/>
      <c r="AA201" s="0"/>
      <c r="AB201" s="0"/>
      <c r="AC201" s="0"/>
      <c r="AD201" s="0"/>
      <c r="AE201" s="0"/>
      <c r="AF201" s="0"/>
      <c r="AG201" s="0"/>
    </row>
    <row r="202" customFormat="false" ht="12.75" hidden="false" customHeight="false" outlineLevel="1" collapsed="false">
      <c r="A202" s="5"/>
      <c r="B202" s="5"/>
      <c r="C202" s="5"/>
      <c r="D202" s="0"/>
      <c r="E202" s="0"/>
      <c r="F202" s="0"/>
      <c r="G202" s="0"/>
      <c r="H202" s="0"/>
      <c r="I202" s="0"/>
      <c r="J202" s="0"/>
      <c r="K202" s="0"/>
      <c r="L202" s="0"/>
      <c r="M202" s="0"/>
      <c r="N202" s="0"/>
      <c r="O202" s="0"/>
      <c r="P202" s="0"/>
      <c r="Q202" s="0"/>
      <c r="R202" s="0"/>
      <c r="S202" s="0"/>
      <c r="T202" s="0"/>
      <c r="U202" s="0"/>
      <c r="V202" s="0"/>
      <c r="W202" s="0"/>
      <c r="X202" s="0"/>
      <c r="Y202" s="0"/>
      <c r="Z202" s="0"/>
      <c r="AA202" s="0"/>
      <c r="AB202" s="0"/>
      <c r="AC202" s="0"/>
      <c r="AD202" s="0"/>
      <c r="AE202" s="0"/>
      <c r="AF202" s="0"/>
      <c r="AG202" s="0"/>
    </row>
    <row r="203" customFormat="false" ht="12.75" hidden="false" customHeight="false" outlineLevel="1" collapsed="false">
      <c r="A203" s="26" t="s">
        <v>32</v>
      </c>
      <c r="B203" s="5"/>
      <c r="C203" s="5"/>
      <c r="D203" s="0"/>
      <c r="E203" s="0"/>
      <c r="F203" s="0"/>
      <c r="G203" s="0"/>
      <c r="H203" s="0"/>
      <c r="I203" s="0"/>
      <c r="J203" s="0"/>
      <c r="K203" s="0"/>
      <c r="L203" s="0"/>
      <c r="M203" s="0"/>
      <c r="N203" s="0"/>
      <c r="O203" s="0"/>
      <c r="P203" s="0"/>
      <c r="Q203" s="0"/>
      <c r="R203" s="0"/>
      <c r="S203" s="0"/>
      <c r="T203" s="0"/>
      <c r="U203" s="0"/>
      <c r="V203" s="0"/>
      <c r="W203" s="0"/>
      <c r="X203" s="0"/>
      <c r="Y203" s="0"/>
      <c r="Z203" s="0"/>
      <c r="AA203" s="0"/>
      <c r="AB203" s="0"/>
      <c r="AC203" s="0"/>
      <c r="AD203" s="0"/>
      <c r="AE203" s="0"/>
      <c r="AF203" s="0"/>
      <c r="AG203" s="0"/>
    </row>
    <row r="204" customFormat="false" ht="12.75" hidden="false" customHeight="false" outlineLevel="1" collapsed="false">
      <c r="A204" s="28" t="n">
        <v>36257</v>
      </c>
      <c r="B204" s="5"/>
      <c r="C204" s="5"/>
      <c r="D204" s="0"/>
      <c r="E204" s="0"/>
      <c r="F204" s="0"/>
      <c r="G204" s="0"/>
      <c r="H204" s="0"/>
      <c r="I204" s="0"/>
      <c r="J204" s="0"/>
      <c r="K204" s="0"/>
      <c r="L204" s="0"/>
      <c r="M204" s="0"/>
      <c r="N204" s="0"/>
      <c r="O204" s="0"/>
      <c r="P204" s="0"/>
      <c r="Q204" s="0"/>
      <c r="R204" s="0"/>
      <c r="S204" s="0"/>
      <c r="T204" s="0"/>
      <c r="U204" s="0"/>
      <c r="V204" s="0"/>
      <c r="W204" s="0"/>
      <c r="X204" s="0"/>
      <c r="Y204" s="0"/>
      <c r="Z204" s="0"/>
      <c r="AA204" s="0"/>
      <c r="AB204" s="0"/>
      <c r="AC204" s="0"/>
      <c r="AD204" s="0"/>
      <c r="AE204" s="0"/>
      <c r="AF204" s="0"/>
      <c r="AG204" s="0"/>
    </row>
    <row r="205" customFormat="false" ht="12.75" hidden="false" customHeight="false" outlineLevel="1" collapsed="false">
      <c r="A205" s="7" t="s">
        <v>2</v>
      </c>
      <c r="B205" s="8" t="n">
        <v>30190.5343337636</v>
      </c>
      <c r="C205" s="5" t="s">
        <v>14</v>
      </c>
      <c r="D205" s="0"/>
      <c r="E205" s="0"/>
      <c r="F205" s="0"/>
      <c r="G205" s="0"/>
      <c r="H205" s="0"/>
      <c r="I205" s="0"/>
      <c r="J205" s="0"/>
      <c r="K205" s="0"/>
      <c r="L205" s="0"/>
      <c r="M205" s="0"/>
      <c r="N205" s="0"/>
      <c r="O205" s="0"/>
      <c r="P205" s="0"/>
      <c r="Q205" s="0"/>
      <c r="R205" s="0"/>
      <c r="S205" s="0"/>
      <c r="T205" s="0"/>
      <c r="U205" s="0"/>
      <c r="V205" s="0"/>
      <c r="W205" s="0"/>
      <c r="X205" s="0"/>
      <c r="Y205" s="0"/>
      <c r="Z205" s="0"/>
      <c r="AA205" s="0"/>
      <c r="AB205" s="0"/>
      <c r="AC205" s="0"/>
      <c r="AD205" s="0"/>
      <c r="AE205" s="0"/>
      <c r="AF205" s="0"/>
      <c r="AG205" s="0"/>
    </row>
    <row r="206" customFormat="false" ht="12.75" hidden="false" customHeight="false" outlineLevel="1" collapsed="false">
      <c r="A206" s="9" t="s">
        <v>3</v>
      </c>
      <c r="B206" s="10" t="n">
        <v>62892.1078530464</v>
      </c>
      <c r="C206" s="5"/>
      <c r="D206" s="0"/>
      <c r="E206" s="0"/>
      <c r="F206" s="0"/>
      <c r="G206" s="0"/>
      <c r="H206" s="0"/>
      <c r="I206" s="0"/>
      <c r="J206" s="0"/>
      <c r="K206" s="0"/>
      <c r="L206" s="0"/>
      <c r="M206" s="0"/>
      <c r="N206" s="0"/>
      <c r="O206" s="0"/>
      <c r="P206" s="0"/>
      <c r="Q206" s="0"/>
      <c r="R206" s="0"/>
      <c r="S206" s="0"/>
      <c r="T206" s="0"/>
      <c r="U206" s="0"/>
      <c r="V206" s="0"/>
      <c r="W206" s="0"/>
      <c r="X206" s="0"/>
      <c r="Y206" s="0"/>
      <c r="Z206" s="0"/>
      <c r="AA206" s="0"/>
      <c r="AB206" s="0"/>
      <c r="AC206" s="0"/>
      <c r="AD206" s="0"/>
      <c r="AE206" s="0"/>
      <c r="AF206" s="0"/>
      <c r="AG206" s="0"/>
    </row>
    <row r="207" customFormat="false" ht="12.75" hidden="false" customHeight="false" outlineLevel="1" collapsed="false">
      <c r="A207" s="11" t="s">
        <v>4</v>
      </c>
      <c r="B207" s="12" t="s">
        <v>5</v>
      </c>
      <c r="C207" s="12" t="s">
        <v>6</v>
      </c>
      <c r="D207" s="13" t="n">
        <v>1999</v>
      </c>
      <c r="E207" s="14" t="n">
        <v>2000</v>
      </c>
      <c r="F207" s="14" t="n">
        <v>2001</v>
      </c>
      <c r="G207" s="14" t="n">
        <v>2002</v>
      </c>
      <c r="H207" s="14" t="n">
        <v>2003</v>
      </c>
      <c r="I207" s="14" t="n">
        <v>2004</v>
      </c>
      <c r="J207" s="14" t="n">
        <v>2005</v>
      </c>
      <c r="K207" s="14" t="n">
        <v>2006</v>
      </c>
      <c r="L207" s="14" t="n">
        <v>2007</v>
      </c>
      <c r="M207" s="14" t="n">
        <v>2008</v>
      </c>
      <c r="N207" s="14" t="n">
        <v>2009</v>
      </c>
      <c r="O207" s="15" t="n">
        <v>2010</v>
      </c>
      <c r="P207" s="16" t="n">
        <v>2011</v>
      </c>
      <c r="Q207" s="16" t="n">
        <v>2012</v>
      </c>
      <c r="R207" s="16" t="n">
        <v>2013</v>
      </c>
      <c r="S207" s="16" t="n">
        <v>2014</v>
      </c>
      <c r="T207" s="16" t="n">
        <v>2015</v>
      </c>
      <c r="U207" s="16" t="n">
        <v>2016</v>
      </c>
      <c r="V207" s="16" t="n">
        <v>2017</v>
      </c>
      <c r="W207" s="16" t="n">
        <v>2018</v>
      </c>
      <c r="X207" s="16" t="n">
        <v>2019</v>
      </c>
      <c r="Y207" s="0"/>
      <c r="Z207" s="0"/>
      <c r="AA207" s="0"/>
      <c r="AB207" s="0"/>
      <c r="AC207" s="0"/>
      <c r="AD207" s="0"/>
      <c r="AE207" s="0"/>
      <c r="AF207" s="0"/>
      <c r="AG207" s="0"/>
    </row>
    <row r="208" customFormat="false" ht="12.75" hidden="false" customHeight="false" outlineLevel="1" collapsed="false">
      <c r="A208" s="11" t="s">
        <v>7</v>
      </c>
      <c r="B208" s="17" t="n">
        <f aca="false">NPV(0.1,D208:Y208)</f>
        <v>440714.407089297</v>
      </c>
      <c r="C208" s="17" t="n">
        <f aca="false">B208-B198</f>
        <v>0</v>
      </c>
      <c r="D208" s="18" t="n">
        <v>26456.1651721875</v>
      </c>
      <c r="E208" s="19" t="n">
        <v>36622.8167682054</v>
      </c>
      <c r="F208" s="19" t="n">
        <v>36899.7467266388</v>
      </c>
      <c r="G208" s="19" t="n">
        <v>37130.4608454278</v>
      </c>
      <c r="H208" s="19" t="n">
        <v>46551.6218507978</v>
      </c>
      <c r="I208" s="19" t="n">
        <v>54368.3363263156</v>
      </c>
      <c r="J208" s="19" t="n">
        <v>55774.1081752542</v>
      </c>
      <c r="K208" s="19" t="n">
        <v>56836.4340779057</v>
      </c>
      <c r="L208" s="19" t="n">
        <v>58014.036281412</v>
      </c>
      <c r="M208" s="19" t="n">
        <v>59306.2801784764</v>
      </c>
      <c r="N208" s="19" t="n">
        <v>60748.6390469201</v>
      </c>
      <c r="O208" s="20" t="n">
        <v>62343.6917451537</v>
      </c>
      <c r="P208" s="21" t="n">
        <v>64230.9099191597</v>
      </c>
      <c r="Q208" s="21" t="n">
        <v>66205.4173948106</v>
      </c>
      <c r="R208" s="21" t="n">
        <v>68260.1936842274</v>
      </c>
      <c r="S208" s="21" t="n">
        <v>70358.6179348906</v>
      </c>
      <c r="T208" s="21" t="n">
        <v>72482.4395694936</v>
      </c>
      <c r="U208" s="21" t="n">
        <v>74297.4767975085</v>
      </c>
      <c r="V208" s="21" t="n">
        <v>76073.9231579729</v>
      </c>
      <c r="W208" s="21" t="n">
        <v>77846.43841275</v>
      </c>
      <c r="X208" s="21" t="n">
        <v>78083.6229526837</v>
      </c>
      <c r="Y208" s="0"/>
      <c r="Z208" s="0"/>
      <c r="AA208" s="0"/>
      <c r="AB208" s="0"/>
      <c r="AC208" s="0"/>
      <c r="AD208" s="0"/>
      <c r="AE208" s="0"/>
      <c r="AF208" s="0"/>
      <c r="AG208" s="0"/>
    </row>
    <row r="209" customFormat="false" ht="12.75" hidden="false" customHeight="false" outlineLevel="1" collapsed="false">
      <c r="A209" s="22" t="s">
        <v>8</v>
      </c>
      <c r="B209" s="17" t="n">
        <f aca="false">NPV(0.1,D209:Y209)</f>
        <v>220564.805815968</v>
      </c>
      <c r="C209" s="17" t="n">
        <f aca="false">B209-B199</f>
        <v>0.516987676062854</v>
      </c>
      <c r="D209" s="18" t="n">
        <v>17581.8145117148</v>
      </c>
      <c r="E209" s="19" t="n">
        <v>21715.4076731881</v>
      </c>
      <c r="F209" s="19" t="n">
        <v>22059.1106485303</v>
      </c>
      <c r="G209" s="19" t="n">
        <v>22359.2576015961</v>
      </c>
      <c r="H209" s="19" t="n">
        <v>22723.6309970939</v>
      </c>
      <c r="I209" s="19" t="n">
        <v>23164.1074811987</v>
      </c>
      <c r="J209" s="19" t="n">
        <v>23701.2941884289</v>
      </c>
      <c r="K209" s="19" t="n">
        <v>24351.6545404476</v>
      </c>
      <c r="L209" s="19" t="n">
        <v>25124.0453422318</v>
      </c>
      <c r="M209" s="19" t="n">
        <v>26018.5499496311</v>
      </c>
      <c r="N209" s="19" t="n">
        <v>27066.0214478578</v>
      </c>
      <c r="O209" s="20" t="n">
        <v>29057.7538868877</v>
      </c>
      <c r="P209" s="21" t="n">
        <v>30369.1565110176</v>
      </c>
      <c r="Q209" s="21" t="n">
        <v>31753.9957713518</v>
      </c>
      <c r="R209" s="21" t="n">
        <v>33209.7372950952</v>
      </c>
      <c r="S209" s="21" t="n">
        <v>34729.5440063643</v>
      </c>
      <c r="T209" s="21" t="n">
        <v>36250.7456632111</v>
      </c>
      <c r="U209" s="21" t="n">
        <v>37776.9400553258</v>
      </c>
      <c r="V209" s="21" t="n">
        <v>39289.7459574514</v>
      </c>
      <c r="W209" s="21" t="n">
        <v>40923.2674994117</v>
      </c>
      <c r="X209" s="21" t="n">
        <v>40772.8739099149</v>
      </c>
      <c r="Y209" s="0"/>
      <c r="Z209" s="0"/>
      <c r="AA209" s="0"/>
      <c r="AB209" s="0"/>
      <c r="AC209" s="0"/>
      <c r="AD209" s="0"/>
      <c r="AE209" s="0"/>
      <c r="AF209" s="0"/>
      <c r="AG209" s="0"/>
    </row>
    <row r="210" customFormat="false" ht="12.75" hidden="false" customHeight="false" outlineLevel="1" collapsed="false">
      <c r="A210" s="22" t="s">
        <v>9</v>
      </c>
      <c r="B210" s="17" t="n">
        <f aca="false">NPV(0.1,D210:Y210)</f>
        <v>86225.6302390752</v>
      </c>
      <c r="C210" s="17" t="n">
        <f aca="false">B210-B200</f>
        <v>480.61285593397</v>
      </c>
      <c r="D210" s="18" t="n">
        <v>994.065252284209</v>
      </c>
      <c r="E210" s="19" t="n">
        <v>1580.50580822343</v>
      </c>
      <c r="F210" s="19" t="n">
        <v>1650.06135398553</v>
      </c>
      <c r="G210" s="19" t="n">
        <v>1724.4495994117</v>
      </c>
      <c r="H210" s="19" t="n">
        <v>7371.41373666913</v>
      </c>
      <c r="I210" s="19" t="n">
        <v>12223.2188867921</v>
      </c>
      <c r="J210" s="19" t="n">
        <v>13124.4012817468</v>
      </c>
      <c r="K210" s="19" t="n">
        <v>13687.0349403898</v>
      </c>
      <c r="L210" s="19" t="n">
        <v>14277.9914235368</v>
      </c>
      <c r="M210" s="19" t="n">
        <v>14899.2920367877</v>
      </c>
      <c r="N210" s="19" t="n">
        <v>15556.4790290293</v>
      </c>
      <c r="O210" s="20" t="n">
        <v>15759.390076357</v>
      </c>
      <c r="P210" s="21" t="n">
        <v>16598.5588347431</v>
      </c>
      <c r="Q210" s="21" t="n">
        <v>17496.0993009707</v>
      </c>
      <c r="R210" s="21" t="n">
        <v>18453.4572613774</v>
      </c>
      <c r="S210" s="21" t="n">
        <v>19489.7395245014</v>
      </c>
      <c r="T210" s="21" t="n">
        <v>19890.2418287191</v>
      </c>
      <c r="U210" s="21" t="n">
        <v>20070.8317855271</v>
      </c>
      <c r="V210" s="21" t="n">
        <v>20235.6647433391</v>
      </c>
      <c r="W210" s="21" t="n">
        <v>20322.5662187243</v>
      </c>
      <c r="X210" s="21" t="n">
        <v>20564.8873323342</v>
      </c>
      <c r="Y210" s="0"/>
      <c r="Z210" s="0"/>
      <c r="AA210" s="0"/>
      <c r="AB210" s="0"/>
      <c r="AC210" s="0"/>
      <c r="AD210" s="0"/>
      <c r="AE210" s="0"/>
      <c r="AF210" s="0"/>
      <c r="AG210" s="0"/>
    </row>
    <row r="211" customFormat="false" ht="12.75" hidden="false" customHeight="false" outlineLevel="1" collapsed="false">
      <c r="A211" s="22" t="s">
        <v>10</v>
      </c>
      <c r="B211" s="17" t="n">
        <f aca="false">NPV(0.1,D211:Y211)</f>
        <v>100894.226344103</v>
      </c>
      <c r="C211" s="17" t="n">
        <f aca="false">B211-B201</f>
        <v>462.028245653361</v>
      </c>
      <c r="D211" s="23" t="n">
        <v>3069.04627008016</v>
      </c>
      <c r="E211" s="24" t="n">
        <v>5694.78514025301</v>
      </c>
      <c r="F211" s="24" t="n">
        <v>5121.49156970826</v>
      </c>
      <c r="G211" s="24" t="n">
        <v>5097.47938118755</v>
      </c>
      <c r="H211" s="24" t="n">
        <v>14583.7493239227</v>
      </c>
      <c r="I211" s="24" t="n">
        <v>18770.9494869963</v>
      </c>
      <c r="J211" s="24" t="n">
        <v>13158.1539035227</v>
      </c>
      <c r="K211" s="24" t="n">
        <v>13062.2252315871</v>
      </c>
      <c r="L211" s="24" t="n">
        <v>12938.6552187054</v>
      </c>
      <c r="M211" s="24" t="n">
        <v>12803.1202395804</v>
      </c>
      <c r="N211" s="24" t="n">
        <v>12626.7538443376</v>
      </c>
      <c r="O211" s="25" t="n">
        <v>13048.2469219488</v>
      </c>
      <c r="P211" s="21" t="n">
        <v>12031.0527935379</v>
      </c>
      <c r="Q211" s="21" t="n">
        <v>11825.6195347687</v>
      </c>
      <c r="R211" s="21" t="n">
        <v>16562.9414583626</v>
      </c>
      <c r="S211" s="21" t="n">
        <v>23875.2703377435</v>
      </c>
      <c r="T211" s="21" t="n">
        <v>22521.9934868177</v>
      </c>
      <c r="U211" s="21" t="n">
        <v>22686.2408326694</v>
      </c>
      <c r="V211" s="21" t="n">
        <v>22851.0737904814</v>
      </c>
      <c r="W211" s="21" t="n">
        <v>23036.0309316047</v>
      </c>
      <c r="X211" s="21" t="n">
        <v>23000.5276589566</v>
      </c>
      <c r="Y211" s="0"/>
      <c r="Z211" s="0"/>
      <c r="AA211" s="0"/>
      <c r="AB211" s="0"/>
      <c r="AC211" s="0"/>
      <c r="AD211" s="0"/>
      <c r="AE211" s="0"/>
      <c r="AF211" s="0"/>
      <c r="AG211" s="0"/>
    </row>
    <row r="212" customFormat="false" ht="12.75" hidden="false" customHeight="false" outlineLevel="1" collapsed="false">
      <c r="A212" s="5"/>
      <c r="B212" s="5"/>
      <c r="C212" s="5"/>
      <c r="D212" s="0"/>
      <c r="E212" s="0"/>
      <c r="F212" s="0"/>
      <c r="G212" s="0"/>
      <c r="H212" s="0"/>
      <c r="I212" s="0"/>
      <c r="J212" s="0"/>
      <c r="K212" s="0"/>
      <c r="L212" s="0"/>
      <c r="M212" s="0"/>
      <c r="N212" s="0"/>
      <c r="O212" s="0"/>
      <c r="P212" s="0"/>
      <c r="Q212" s="0"/>
      <c r="R212" s="0"/>
      <c r="S212" s="0"/>
      <c r="T212" s="0"/>
      <c r="U212" s="0"/>
      <c r="V212" s="0"/>
      <c r="W212" s="0"/>
      <c r="X212" s="0"/>
      <c r="Y212" s="0"/>
      <c r="Z212" s="0"/>
      <c r="AA212" s="0"/>
      <c r="AB212" s="0"/>
      <c r="AC212" s="0"/>
      <c r="AD212" s="0"/>
      <c r="AE212" s="0"/>
      <c r="AF212" s="0"/>
      <c r="AG212" s="0"/>
    </row>
    <row r="213" customFormat="false" ht="12.75" hidden="false" customHeight="false" outlineLevel="1" collapsed="false">
      <c r="A213" s="26" t="s">
        <v>33</v>
      </c>
      <c r="B213" s="5"/>
      <c r="C213" s="5"/>
      <c r="D213" s="0"/>
      <c r="E213" s="0"/>
      <c r="F213" s="0"/>
      <c r="G213" s="0"/>
      <c r="H213" s="0"/>
      <c r="I213" s="0"/>
      <c r="J213" s="0"/>
      <c r="K213" s="0"/>
      <c r="L213" s="0"/>
      <c r="M213" s="0"/>
      <c r="N213" s="0"/>
      <c r="O213" s="0"/>
      <c r="P213" s="0"/>
      <c r="Q213" s="0"/>
      <c r="R213" s="0"/>
      <c r="S213" s="0"/>
      <c r="T213" s="0"/>
      <c r="U213" s="0"/>
      <c r="V213" s="0"/>
      <c r="W213" s="0"/>
      <c r="X213" s="0"/>
      <c r="Y213" s="0"/>
      <c r="Z213" s="0"/>
      <c r="AA213" s="0"/>
      <c r="AB213" s="0"/>
      <c r="AC213" s="0"/>
      <c r="AD213" s="0"/>
      <c r="AE213" s="0"/>
      <c r="AF213" s="0"/>
      <c r="AG213" s="0"/>
    </row>
    <row r="214" customFormat="false" ht="12.75" hidden="false" customHeight="false" outlineLevel="1" collapsed="false">
      <c r="A214" s="28" t="n">
        <v>36257</v>
      </c>
      <c r="B214" s="5"/>
      <c r="C214" s="5"/>
      <c r="D214" s="0"/>
      <c r="E214" s="0"/>
      <c r="F214" s="0"/>
      <c r="G214" s="0"/>
      <c r="H214" s="0"/>
      <c r="I214" s="0"/>
      <c r="J214" s="0"/>
      <c r="K214" s="0"/>
      <c r="L214" s="0"/>
      <c r="M214" s="0"/>
      <c r="N214" s="0"/>
      <c r="O214" s="0"/>
      <c r="P214" s="0"/>
      <c r="Q214" s="0"/>
      <c r="R214" s="0"/>
      <c r="S214" s="0"/>
      <c r="T214" s="0"/>
      <c r="U214" s="0"/>
      <c r="V214" s="0"/>
      <c r="W214" s="0"/>
      <c r="X214" s="0"/>
      <c r="Y214" s="0"/>
      <c r="Z214" s="0"/>
      <c r="AA214" s="0"/>
      <c r="AB214" s="0"/>
      <c r="AC214" s="0"/>
      <c r="AD214" s="0"/>
      <c r="AE214" s="0"/>
      <c r="AF214" s="0"/>
      <c r="AG214" s="0"/>
    </row>
    <row r="215" customFormat="false" ht="12.75" hidden="false" customHeight="false" outlineLevel="1" collapsed="false">
      <c r="A215" s="7" t="s">
        <v>2</v>
      </c>
      <c r="B215" s="8" t="n">
        <v>29033.6076913069</v>
      </c>
      <c r="C215" s="5" t="s">
        <v>14</v>
      </c>
      <c r="D215" s="0"/>
      <c r="E215" s="0"/>
      <c r="F215" s="0"/>
      <c r="G215" s="0"/>
      <c r="H215" s="0"/>
      <c r="I215" s="0"/>
      <c r="J215" s="0"/>
      <c r="K215" s="0"/>
      <c r="L215" s="0"/>
      <c r="M215" s="0"/>
      <c r="N215" s="0"/>
      <c r="O215" s="0"/>
      <c r="P215" s="0"/>
      <c r="Q215" s="0"/>
      <c r="R215" s="0"/>
      <c r="S215" s="0"/>
      <c r="T215" s="0"/>
      <c r="U215" s="0"/>
      <c r="V215" s="0"/>
      <c r="W215" s="0"/>
      <c r="X215" s="0"/>
      <c r="Y215" s="0"/>
      <c r="Z215" s="0"/>
      <c r="AA215" s="0"/>
      <c r="AB215" s="0"/>
      <c r="AC215" s="0"/>
      <c r="AD215" s="0"/>
      <c r="AE215" s="0"/>
      <c r="AF215" s="0"/>
      <c r="AG215" s="0"/>
    </row>
    <row r="216" customFormat="false" ht="12.75" hidden="false" customHeight="false" outlineLevel="1" collapsed="false">
      <c r="A216" s="9" t="s">
        <v>3</v>
      </c>
      <c r="B216" s="10" t="n">
        <v>61327.5132872281</v>
      </c>
      <c r="C216" s="5"/>
      <c r="D216" s="0"/>
      <c r="E216" s="0"/>
      <c r="F216" s="0"/>
      <c r="G216" s="0"/>
      <c r="H216" s="0"/>
      <c r="I216" s="0"/>
      <c r="J216" s="0"/>
      <c r="K216" s="0"/>
      <c r="L216" s="0"/>
      <c r="M216" s="0"/>
      <c r="N216" s="0"/>
      <c r="O216" s="0"/>
      <c r="P216" s="0"/>
      <c r="Q216" s="0"/>
      <c r="R216" s="0"/>
      <c r="S216" s="0"/>
      <c r="T216" s="0"/>
      <c r="U216" s="0"/>
      <c r="V216" s="0"/>
      <c r="W216" s="0"/>
      <c r="X216" s="0"/>
      <c r="Y216" s="0"/>
      <c r="Z216" s="0"/>
      <c r="AA216" s="0"/>
      <c r="AB216" s="0"/>
      <c r="AC216" s="0"/>
      <c r="AD216" s="0"/>
      <c r="AE216" s="0"/>
      <c r="AF216" s="0"/>
      <c r="AG216" s="0"/>
    </row>
    <row r="217" customFormat="false" ht="12.75" hidden="false" customHeight="false" outlineLevel="1" collapsed="false">
      <c r="A217" s="11" t="s">
        <v>4</v>
      </c>
      <c r="B217" s="12" t="s">
        <v>5</v>
      </c>
      <c r="C217" s="12" t="s">
        <v>6</v>
      </c>
      <c r="D217" s="13" t="n">
        <v>1999</v>
      </c>
      <c r="E217" s="14" t="n">
        <v>2000</v>
      </c>
      <c r="F217" s="14" t="n">
        <v>2001</v>
      </c>
      <c r="G217" s="14" t="n">
        <v>2002</v>
      </c>
      <c r="H217" s="14" t="n">
        <v>2003</v>
      </c>
      <c r="I217" s="14" t="n">
        <v>2004</v>
      </c>
      <c r="J217" s="14" t="n">
        <v>2005</v>
      </c>
      <c r="K217" s="14" t="n">
        <v>2006</v>
      </c>
      <c r="L217" s="14" t="n">
        <v>2007</v>
      </c>
      <c r="M217" s="14" t="n">
        <v>2008</v>
      </c>
      <c r="N217" s="14" t="n">
        <v>2009</v>
      </c>
      <c r="O217" s="15" t="n">
        <v>2010</v>
      </c>
      <c r="P217" s="16" t="n">
        <v>2011</v>
      </c>
      <c r="Q217" s="16" t="n">
        <v>2012</v>
      </c>
      <c r="R217" s="16" t="n">
        <v>2013</v>
      </c>
      <c r="S217" s="16" t="n">
        <v>2014</v>
      </c>
      <c r="T217" s="16" t="n">
        <v>2015</v>
      </c>
      <c r="U217" s="16" t="n">
        <v>2016</v>
      </c>
      <c r="V217" s="16" t="n">
        <v>2017</v>
      </c>
      <c r="W217" s="16" t="n">
        <v>2018</v>
      </c>
      <c r="X217" s="16" t="n">
        <v>2019</v>
      </c>
      <c r="Y217" s="0"/>
      <c r="Z217" s="0"/>
      <c r="AA217" s="0"/>
      <c r="AB217" s="0"/>
      <c r="AC217" s="0"/>
      <c r="AD217" s="0"/>
      <c r="AE217" s="0"/>
      <c r="AF217" s="0"/>
      <c r="AG217" s="0"/>
    </row>
    <row r="218" customFormat="false" ht="12.75" hidden="false" customHeight="false" outlineLevel="1" collapsed="false">
      <c r="A218" s="11" t="s">
        <v>7</v>
      </c>
      <c r="B218" s="17" t="n">
        <f aca="false">NPV(0.1,D218:Y218)</f>
        <v>440714.407089297</v>
      </c>
      <c r="C218" s="17" t="n">
        <f aca="false">B218-B208</f>
        <v>0</v>
      </c>
      <c r="D218" s="18" t="n">
        <v>26456.1651721875</v>
      </c>
      <c r="E218" s="19" t="n">
        <v>36622.8167682054</v>
      </c>
      <c r="F218" s="19" t="n">
        <v>36899.7467266388</v>
      </c>
      <c r="G218" s="19" t="n">
        <v>37130.4608454278</v>
      </c>
      <c r="H218" s="19" t="n">
        <v>46551.6218507978</v>
      </c>
      <c r="I218" s="19" t="n">
        <v>54368.3363263156</v>
      </c>
      <c r="J218" s="19" t="n">
        <v>55774.1081752542</v>
      </c>
      <c r="K218" s="19" t="n">
        <v>56836.4340779057</v>
      </c>
      <c r="L218" s="19" t="n">
        <v>58014.036281412</v>
      </c>
      <c r="M218" s="19" t="n">
        <v>59306.2801784764</v>
      </c>
      <c r="N218" s="19" t="n">
        <v>60748.6390469201</v>
      </c>
      <c r="O218" s="20" t="n">
        <v>62343.6917451537</v>
      </c>
      <c r="P218" s="21" t="n">
        <v>64230.9099191597</v>
      </c>
      <c r="Q218" s="21" t="n">
        <v>66205.4173948106</v>
      </c>
      <c r="R218" s="21" t="n">
        <v>68260.1936842274</v>
      </c>
      <c r="S218" s="21" t="n">
        <v>70358.6179348906</v>
      </c>
      <c r="T218" s="21" t="n">
        <v>72482.4395694936</v>
      </c>
      <c r="U218" s="21" t="n">
        <v>74297.4767975085</v>
      </c>
      <c r="V218" s="21" t="n">
        <v>76073.9231579729</v>
      </c>
      <c r="W218" s="21" t="n">
        <v>77846.43841275</v>
      </c>
      <c r="X218" s="21" t="n">
        <v>78083.6229526837</v>
      </c>
      <c r="Y218" s="0"/>
      <c r="Z218" s="0"/>
      <c r="AA218" s="0"/>
      <c r="AB218" s="0"/>
      <c r="AC218" s="0"/>
      <c r="AD218" s="0"/>
      <c r="AE218" s="0"/>
      <c r="AF218" s="0"/>
      <c r="AG218" s="0"/>
    </row>
    <row r="219" customFormat="false" ht="12.75" hidden="false" customHeight="false" outlineLevel="1" collapsed="false">
      <c r="A219" s="22" t="s">
        <v>8</v>
      </c>
      <c r="B219" s="17" t="n">
        <f aca="false">NPV(0.1,D219:Y219)</f>
        <v>222171.032215386</v>
      </c>
      <c r="C219" s="17" t="n">
        <f aca="false">B219-B209</f>
        <v>1606.22639941736</v>
      </c>
      <c r="D219" s="18" t="n">
        <v>17672.5660404112</v>
      </c>
      <c r="E219" s="19" t="n">
        <v>21875.8098190312</v>
      </c>
      <c r="F219" s="19" t="n">
        <v>22224.4330944397</v>
      </c>
      <c r="G219" s="19" t="n">
        <v>22529.6538037357</v>
      </c>
      <c r="H219" s="19" t="n">
        <v>22899.2581088528</v>
      </c>
      <c r="I219" s="19" t="n">
        <v>23344.4836167006</v>
      </c>
      <c r="J219" s="19" t="n">
        <v>23887.0856180495</v>
      </c>
      <c r="K219" s="19" t="n">
        <v>24543.0237230104</v>
      </c>
      <c r="L219" s="19" t="n">
        <v>25321.1596103252</v>
      </c>
      <c r="M219" s="19" t="n">
        <v>26221.5816558209</v>
      </c>
      <c r="N219" s="19" t="n">
        <v>27275.148115287</v>
      </c>
      <c r="O219" s="20" t="n">
        <v>29273.1583643934</v>
      </c>
      <c r="P219" s="21" t="n">
        <v>30591.0271329021</v>
      </c>
      <c r="Q219" s="21" t="n">
        <v>31982.5265219465</v>
      </c>
      <c r="R219" s="21" t="n">
        <v>33445.2616467162</v>
      </c>
      <c r="S219" s="21" t="n">
        <v>34972.134088534</v>
      </c>
      <c r="T219" s="21" t="n">
        <v>36500.6134478459</v>
      </c>
      <c r="U219" s="21" t="n">
        <v>38034.3038734996</v>
      </c>
      <c r="V219" s="21" t="n">
        <v>39554.8306901704</v>
      </c>
      <c r="W219" s="21" t="n">
        <v>41196.3047741123</v>
      </c>
      <c r="X219" s="21" t="n">
        <v>41054.1023028565</v>
      </c>
      <c r="Y219" s="0"/>
      <c r="Z219" s="0"/>
      <c r="AA219" s="0"/>
      <c r="AB219" s="0"/>
      <c r="AC219" s="0"/>
      <c r="AD219" s="0"/>
      <c r="AE219" s="0"/>
      <c r="AF219" s="0"/>
      <c r="AG219" s="0"/>
    </row>
    <row r="220" customFormat="false" ht="12.75" hidden="false" customHeight="false" outlineLevel="1" collapsed="false">
      <c r="A220" s="22" t="s">
        <v>9</v>
      </c>
      <c r="B220" s="17" t="n">
        <f aca="false">NPV(0.1,D220:Y220)</f>
        <v>85406.883968202</v>
      </c>
      <c r="C220" s="17" t="n">
        <f aca="false">B220-B210</f>
        <v>-818.746270873162</v>
      </c>
      <c r="D220" s="18" t="n">
        <v>958.712078154122</v>
      </c>
      <c r="E220" s="19" t="n">
        <v>1515.64384310706</v>
      </c>
      <c r="F220" s="19" t="n">
        <v>1579.75102417779</v>
      </c>
      <c r="G220" s="19" t="n">
        <v>1648.25414535361</v>
      </c>
      <c r="H220" s="19" t="n">
        <v>7289.74195245046</v>
      </c>
      <c r="I220" s="19" t="n">
        <v>12137.3582184817</v>
      </c>
      <c r="J220" s="19" t="n">
        <v>13033.7437474717</v>
      </c>
      <c r="K220" s="19" t="n">
        <v>13591.2590718321</v>
      </c>
      <c r="L220" s="19" t="n">
        <v>14176.7519033418</v>
      </c>
      <c r="M220" s="19" t="n">
        <v>14792.2178466941</v>
      </c>
      <c r="N220" s="19" t="n">
        <v>15443.1714515309</v>
      </c>
      <c r="O220" s="20" t="n">
        <v>15639.4205382297</v>
      </c>
      <c r="P220" s="21" t="n">
        <v>16471.4665798379</v>
      </c>
      <c r="Q220" s="21" t="n">
        <v>17361.3888786677</v>
      </c>
      <c r="R220" s="21" t="n">
        <v>18310.5122439846</v>
      </c>
      <c r="S220" s="21" t="n">
        <v>19338.0676565648</v>
      </c>
      <c r="T220" s="21" t="n">
        <v>19734.0198047445</v>
      </c>
      <c r="U220" s="21" t="n">
        <v>19909.9231008333</v>
      </c>
      <c r="V220" s="21" t="n">
        <v>20069.9287981044</v>
      </c>
      <c r="W220" s="21" t="n">
        <v>20151.8581951326</v>
      </c>
      <c r="X220" s="21" t="n">
        <v>20389.0580680347</v>
      </c>
      <c r="Y220" s="0"/>
      <c r="Z220" s="0"/>
      <c r="AA220" s="0"/>
      <c r="AB220" s="0"/>
      <c r="AC220" s="0"/>
      <c r="AD220" s="0"/>
      <c r="AE220" s="0"/>
      <c r="AF220" s="0"/>
      <c r="AG220" s="0"/>
    </row>
    <row r="221" customFormat="false" ht="12.75" hidden="false" customHeight="false" outlineLevel="1" collapsed="false">
      <c r="A221" s="22" t="s">
        <v>10</v>
      </c>
      <c r="B221" s="17" t="n">
        <f aca="false">NPV(0.1,D221:Y221)</f>
        <v>100383.440100366</v>
      </c>
      <c r="C221" s="17" t="n">
        <f aca="false">B221-B211</f>
        <v>-510.786243737166</v>
      </c>
      <c r="D221" s="23" t="n">
        <v>3037.66136640598</v>
      </c>
      <c r="E221" s="24" t="n">
        <v>5639.31273148228</v>
      </c>
      <c r="F221" s="24" t="n">
        <v>5064.3175571646</v>
      </c>
      <c r="G221" s="24" t="n">
        <v>5038.55069461428</v>
      </c>
      <c r="H221" s="24" t="n">
        <v>14476.1777179704</v>
      </c>
      <c r="I221" s="24" t="n">
        <v>18917.0713974149</v>
      </c>
      <c r="J221" s="24" t="n">
        <v>13100.5129392934</v>
      </c>
      <c r="K221" s="24" t="n">
        <v>13004.3383598557</v>
      </c>
      <c r="L221" s="24" t="n">
        <v>12880.633849295</v>
      </c>
      <c r="M221" s="24" t="n">
        <v>12745.0886275729</v>
      </c>
      <c r="N221" s="24" t="n">
        <v>12568.8502356678</v>
      </c>
      <c r="O221" s="25" t="n">
        <v>12990.624794187</v>
      </c>
      <c r="P221" s="21" t="n">
        <v>11973.882199579</v>
      </c>
      <c r="Q221" s="21" t="n">
        <v>11769.0885577718</v>
      </c>
      <c r="R221" s="21" t="n">
        <v>16453.7603003632</v>
      </c>
      <c r="S221" s="21" t="n">
        <v>23723.598469807</v>
      </c>
      <c r="T221" s="21" t="n">
        <v>22365.7714628431</v>
      </c>
      <c r="U221" s="21" t="n">
        <v>22525.3321479755</v>
      </c>
      <c r="V221" s="21" t="n">
        <v>22685.3378452467</v>
      </c>
      <c r="W221" s="21" t="n">
        <v>22865.322908013</v>
      </c>
      <c r="X221" s="21" t="n">
        <v>22824.6983946572</v>
      </c>
      <c r="Y221" s="0"/>
      <c r="Z221" s="0"/>
      <c r="AA221" s="0"/>
      <c r="AB221" s="0"/>
      <c r="AC221" s="0"/>
      <c r="AD221" s="0"/>
      <c r="AE221" s="0"/>
      <c r="AF221" s="0"/>
      <c r="AG221" s="0"/>
    </row>
    <row r="222" customFormat="false" ht="12.75" hidden="false" customHeight="false" outlineLevel="1" collapsed="false">
      <c r="A222" s="5"/>
      <c r="B222" s="5"/>
      <c r="C222" s="5"/>
      <c r="D222" s="0"/>
      <c r="E222" s="0"/>
      <c r="F222" s="0"/>
      <c r="G222" s="0"/>
      <c r="H222" s="0"/>
      <c r="I222" s="0"/>
      <c r="J222" s="0"/>
      <c r="K222" s="0"/>
      <c r="L222" s="0"/>
      <c r="M222" s="0"/>
      <c r="N222" s="0"/>
      <c r="O222" s="0"/>
      <c r="P222" s="0"/>
      <c r="Q222" s="0"/>
      <c r="R222" s="0"/>
      <c r="S222" s="0"/>
      <c r="T222" s="0"/>
      <c r="U222" s="0"/>
      <c r="V222" s="0"/>
      <c r="W222" s="0"/>
      <c r="X222" s="0"/>
      <c r="Y222" s="0"/>
      <c r="Z222" s="0"/>
      <c r="AA222" s="0"/>
      <c r="AB222" s="0"/>
      <c r="AC222" s="0"/>
      <c r="AD222" s="0"/>
      <c r="AE222" s="0"/>
      <c r="AF222" s="0"/>
      <c r="AG222" s="0"/>
    </row>
    <row r="223" customFormat="false" ht="12.75" hidden="false" customHeight="false" outlineLevel="1" collapsed="false">
      <c r="A223" s="26" t="s">
        <v>34</v>
      </c>
      <c r="B223" s="5"/>
      <c r="C223" s="5"/>
      <c r="D223" s="0"/>
      <c r="E223" s="0"/>
      <c r="F223" s="0"/>
      <c r="G223" s="0"/>
      <c r="H223" s="0"/>
      <c r="I223" s="0"/>
      <c r="J223" s="0"/>
      <c r="K223" s="0"/>
      <c r="L223" s="0"/>
      <c r="M223" s="0"/>
      <c r="N223" s="0"/>
      <c r="O223" s="0"/>
      <c r="P223" s="0"/>
      <c r="Q223" s="0"/>
      <c r="R223" s="0"/>
      <c r="S223" s="0"/>
      <c r="T223" s="0"/>
      <c r="U223" s="0"/>
      <c r="V223" s="0"/>
      <c r="W223" s="0"/>
      <c r="X223" s="0"/>
      <c r="Y223" s="0"/>
      <c r="Z223" s="0"/>
      <c r="AA223" s="0"/>
      <c r="AB223" s="0"/>
      <c r="AC223" s="0"/>
      <c r="AD223" s="0"/>
      <c r="AE223" s="0"/>
      <c r="AF223" s="0"/>
      <c r="AG223" s="0"/>
    </row>
    <row r="224" customFormat="false" ht="12.75" hidden="false" customHeight="false" outlineLevel="1" collapsed="false">
      <c r="A224" s="28" t="n">
        <v>36258</v>
      </c>
      <c r="B224" s="5"/>
      <c r="D224" s="0"/>
      <c r="E224" s="0"/>
      <c r="F224" s="0"/>
      <c r="G224" s="0"/>
      <c r="H224" s="0"/>
      <c r="I224" s="0"/>
      <c r="J224" s="0"/>
      <c r="K224" s="0"/>
      <c r="L224" s="0"/>
      <c r="M224" s="0"/>
      <c r="N224" s="0"/>
      <c r="O224" s="0"/>
      <c r="P224" s="0"/>
      <c r="Q224" s="0"/>
      <c r="R224" s="0"/>
      <c r="S224" s="0"/>
      <c r="T224" s="0"/>
      <c r="U224" s="0"/>
      <c r="V224" s="0"/>
      <c r="W224" s="0"/>
      <c r="X224" s="0"/>
      <c r="Y224" s="0"/>
      <c r="Z224" s="0"/>
      <c r="AA224" s="0"/>
      <c r="AB224" s="0"/>
      <c r="AC224" s="0"/>
      <c r="AD224" s="0"/>
      <c r="AE224" s="0"/>
      <c r="AF224" s="0"/>
      <c r="AG224" s="0"/>
    </row>
    <row r="225" customFormat="false" ht="12.75" hidden="false" customHeight="false" outlineLevel="1" collapsed="false">
      <c r="A225" s="7" t="s">
        <v>2</v>
      </c>
      <c r="B225" s="8" t="n">
        <v>25547.320093842</v>
      </c>
      <c r="C225" s="5" t="s">
        <v>14</v>
      </c>
      <c r="D225" s="0"/>
      <c r="E225" s="0"/>
      <c r="F225" s="0"/>
      <c r="G225" s="0"/>
      <c r="H225" s="0"/>
      <c r="I225" s="0"/>
      <c r="J225" s="0"/>
      <c r="K225" s="0"/>
      <c r="L225" s="0"/>
      <c r="M225" s="0"/>
      <c r="N225" s="0"/>
      <c r="O225" s="0"/>
      <c r="P225" s="0"/>
      <c r="Q225" s="0"/>
      <c r="R225" s="0"/>
      <c r="S225" s="0"/>
      <c r="T225" s="0"/>
      <c r="U225" s="0"/>
      <c r="V225" s="0"/>
      <c r="W225" s="0"/>
      <c r="X225" s="0"/>
      <c r="Y225" s="0"/>
      <c r="Z225" s="0"/>
      <c r="AA225" s="0"/>
      <c r="AB225" s="0"/>
      <c r="AC225" s="0"/>
      <c r="AD225" s="0"/>
      <c r="AE225" s="0"/>
      <c r="AF225" s="0"/>
      <c r="AG225" s="0"/>
    </row>
    <row r="226" customFormat="false" ht="12.75" hidden="false" customHeight="false" outlineLevel="1" collapsed="false">
      <c r="A226" s="9" t="s">
        <v>3</v>
      </c>
      <c r="B226" s="10" t="n">
        <v>56648.6411927301</v>
      </c>
      <c r="C226" s="5"/>
      <c r="D226" s="0"/>
      <c r="E226" s="0"/>
      <c r="F226" s="0"/>
      <c r="G226" s="0"/>
      <c r="H226" s="0"/>
      <c r="I226" s="0"/>
      <c r="J226" s="0"/>
      <c r="K226" s="0"/>
      <c r="L226" s="0"/>
      <c r="M226" s="0"/>
      <c r="N226" s="0"/>
      <c r="O226" s="0"/>
      <c r="P226" s="0"/>
      <c r="Q226" s="0"/>
      <c r="R226" s="0"/>
      <c r="S226" s="0"/>
      <c r="T226" s="0"/>
      <c r="U226" s="0"/>
      <c r="V226" s="0"/>
      <c r="W226" s="0"/>
      <c r="X226" s="0"/>
      <c r="Y226" s="0"/>
      <c r="Z226" s="0"/>
      <c r="AA226" s="0"/>
      <c r="AB226" s="0"/>
      <c r="AC226" s="0"/>
      <c r="AD226" s="0"/>
      <c r="AE226" s="0"/>
      <c r="AF226" s="0"/>
      <c r="AG226" s="0"/>
    </row>
    <row r="227" customFormat="false" ht="12.75" hidden="false" customHeight="false" outlineLevel="1" collapsed="false">
      <c r="A227" s="11" t="s">
        <v>4</v>
      </c>
      <c r="B227" s="12" t="s">
        <v>5</v>
      </c>
      <c r="C227" s="12" t="s">
        <v>6</v>
      </c>
      <c r="D227" s="13" t="n">
        <v>1999</v>
      </c>
      <c r="E227" s="14" t="n">
        <v>2000</v>
      </c>
      <c r="F227" s="14" t="n">
        <v>2001</v>
      </c>
      <c r="G227" s="14" t="n">
        <v>2002</v>
      </c>
      <c r="H227" s="14" t="n">
        <v>2003</v>
      </c>
      <c r="I227" s="14" t="n">
        <v>2004</v>
      </c>
      <c r="J227" s="14" t="n">
        <v>2005</v>
      </c>
      <c r="K227" s="14" t="n">
        <v>2006</v>
      </c>
      <c r="L227" s="14" t="n">
        <v>2007</v>
      </c>
      <c r="M227" s="14" t="n">
        <v>2008</v>
      </c>
      <c r="N227" s="14" t="n">
        <v>2009</v>
      </c>
      <c r="O227" s="15" t="n">
        <v>2010</v>
      </c>
      <c r="P227" s="16" t="n">
        <v>2011</v>
      </c>
      <c r="Q227" s="16" t="n">
        <v>2012</v>
      </c>
      <c r="R227" s="16" t="n">
        <v>2013</v>
      </c>
      <c r="S227" s="16" t="n">
        <v>2014</v>
      </c>
      <c r="T227" s="16" t="n">
        <v>2015</v>
      </c>
      <c r="U227" s="16" t="n">
        <v>2016</v>
      </c>
      <c r="V227" s="16" t="n">
        <v>2017</v>
      </c>
      <c r="W227" s="16" t="n">
        <v>2018</v>
      </c>
      <c r="X227" s="16" t="n">
        <v>2019</v>
      </c>
      <c r="Y227" s="0"/>
      <c r="Z227" s="0"/>
      <c r="AA227" s="0"/>
      <c r="AB227" s="0"/>
      <c r="AC227" s="0"/>
      <c r="AD227" s="0"/>
      <c r="AE227" s="0"/>
      <c r="AF227" s="0"/>
      <c r="AG227" s="0"/>
    </row>
    <row r="228" customFormat="false" ht="12.75" hidden="false" customHeight="false" outlineLevel="1" collapsed="false">
      <c r="A228" s="11" t="s">
        <v>7</v>
      </c>
      <c r="B228" s="17" t="n">
        <f aca="false">NPV(0.1,D228:Y228)</f>
        <v>432622.107163976</v>
      </c>
      <c r="C228" s="17" t="n">
        <f aca="false">B228-B218</f>
        <v>-8092.29992532102</v>
      </c>
      <c r="D228" s="18" t="n">
        <v>25974.4544072663</v>
      </c>
      <c r="E228" s="19" t="n">
        <v>35952.1597383308</v>
      </c>
      <c r="F228" s="19" t="n">
        <v>36224.2443330746</v>
      </c>
      <c r="G228" s="19" t="n">
        <v>36450.9715769277</v>
      </c>
      <c r="H228" s="19" t="n">
        <v>45696.6164332411</v>
      </c>
      <c r="I228" s="19" t="n">
        <v>53367.7927508937</v>
      </c>
      <c r="J228" s="19" t="n">
        <v>54747.7259390378</v>
      </c>
      <c r="K228" s="19" t="n">
        <v>55790.6622246329</v>
      </c>
      <c r="L228" s="19" t="n">
        <v>56946.7621391597</v>
      </c>
      <c r="M228" s="19" t="n">
        <v>58215.4031894874</v>
      </c>
      <c r="N228" s="19" t="n">
        <v>59631.4059937226</v>
      </c>
      <c r="O228" s="20" t="n">
        <v>61197.3023953461</v>
      </c>
      <c r="P228" s="21" t="n">
        <v>63049.9608626444</v>
      </c>
      <c r="Q228" s="21" t="n">
        <v>64988.3114147008</v>
      </c>
      <c r="R228" s="21" t="n">
        <v>67005.4632450853</v>
      </c>
      <c r="S228" s="21" t="n">
        <v>69065.4701787962</v>
      </c>
      <c r="T228" s="21" t="n">
        <v>71150.4181137386</v>
      </c>
      <c r="U228" s="21" t="n">
        <v>72932.3614770831</v>
      </c>
      <c r="V228" s="21" t="n">
        <v>74676.4416488071</v>
      </c>
      <c r="W228" s="21" t="n">
        <v>76416.6810008714</v>
      </c>
      <c r="X228" s="21" t="n">
        <v>76649.8756589461</v>
      </c>
      <c r="Y228" s="0"/>
      <c r="Z228" s="0"/>
      <c r="AA228" s="0"/>
      <c r="AB228" s="0"/>
      <c r="AC228" s="0"/>
      <c r="AD228" s="0"/>
      <c r="AE228" s="0"/>
      <c r="AF228" s="0"/>
      <c r="AG228" s="0"/>
    </row>
    <row r="229" customFormat="false" ht="12.75" hidden="false" customHeight="false" outlineLevel="0" collapsed="false">
      <c r="A229" s="22" t="s">
        <v>8</v>
      </c>
      <c r="B229" s="17" t="n">
        <f aca="false">NPV(0.1,D229:Y229)</f>
        <v>218861.797425635</v>
      </c>
      <c r="C229" s="17" t="n">
        <f aca="false">B229-B219</f>
        <v>-3309.23478975013</v>
      </c>
      <c r="D229" s="18" t="n">
        <v>17394.7711189735</v>
      </c>
      <c r="E229" s="19" t="n">
        <v>21554.9496279581</v>
      </c>
      <c r="F229" s="19" t="n">
        <v>21898.8220111487</v>
      </c>
      <c r="G229" s="19" t="n">
        <v>22200.1530312028</v>
      </c>
      <c r="H229" s="19" t="n">
        <v>22564.7480203184</v>
      </c>
      <c r="I229" s="19" t="n">
        <v>23003.4622409384</v>
      </c>
      <c r="J229" s="19" t="n">
        <v>23536.467156775</v>
      </c>
      <c r="K229" s="19" t="n">
        <v>24182.0084052622</v>
      </c>
      <c r="L229" s="19" t="n">
        <v>24947.5658800701</v>
      </c>
      <c r="M229" s="19" t="n">
        <v>25833.2278446606</v>
      </c>
      <c r="N229" s="19" t="n">
        <v>26869.1869969809</v>
      </c>
      <c r="O229" s="20" t="n">
        <v>28846.6820987561</v>
      </c>
      <c r="P229" s="21" t="n">
        <v>30141.1277569637</v>
      </c>
      <c r="Q229" s="21" t="n">
        <v>31507.6268304811</v>
      </c>
      <c r="R229" s="21" t="n">
        <v>32944.1967910756</v>
      </c>
      <c r="S229" s="21" t="n">
        <v>34443.8215332746</v>
      </c>
      <c r="T229" s="21" t="n">
        <v>35944.5886882743</v>
      </c>
      <c r="U229" s="21" t="n">
        <v>37450.2595488977</v>
      </c>
      <c r="V229" s="21" t="n">
        <v>38943.10053742</v>
      </c>
      <c r="W229" s="21" t="n">
        <v>40556.5569369801</v>
      </c>
      <c r="X229" s="21" t="n">
        <v>40414.1711190756</v>
      </c>
      <c r="Y229" s="0"/>
      <c r="Z229" s="0"/>
      <c r="AA229" s="0"/>
      <c r="AB229" s="0"/>
      <c r="AC229" s="0"/>
      <c r="AD229" s="0"/>
      <c r="AE229" s="0"/>
      <c r="AF229" s="0"/>
      <c r="AG229" s="0"/>
    </row>
    <row r="230" customFormat="false" ht="12.75" hidden="false" customHeight="false" outlineLevel="0" collapsed="false">
      <c r="A230" s="22" t="s">
        <v>9</v>
      </c>
      <c r="B230" s="17" t="n">
        <f aca="false">NPV(0.1,D230:Y230)</f>
        <v>83005.8412607743</v>
      </c>
      <c r="C230" s="17" t="n">
        <f aca="false">B230-B220</f>
        <v>-2401.0427074277</v>
      </c>
      <c r="D230" s="18" t="n">
        <v>892.301314519022</v>
      </c>
      <c r="E230" s="19" t="n">
        <v>1399.88303818106</v>
      </c>
      <c r="F230" s="19" t="n">
        <v>1460.748929419</v>
      </c>
      <c r="G230" s="19" t="n">
        <v>1525.75942734711</v>
      </c>
      <c r="H230" s="19" t="n">
        <v>7059.93009660818</v>
      </c>
      <c r="I230" s="19" t="n">
        <v>11817.9880953135</v>
      </c>
      <c r="J230" s="19" t="n">
        <v>12698.6249700103</v>
      </c>
      <c r="K230" s="19" t="n">
        <v>13244.1552720636</v>
      </c>
      <c r="L230" s="19" t="n">
        <v>13817.019445572</v>
      </c>
      <c r="M230" s="19" t="n">
        <v>14419.1671643692</v>
      </c>
      <c r="N230" s="19" t="n">
        <v>15056.0634227182</v>
      </c>
      <c r="O230" s="20" t="n">
        <v>15237.4625691312</v>
      </c>
      <c r="P230" s="21" t="n">
        <v>16052.1719344713</v>
      </c>
      <c r="Q230" s="21" t="n">
        <v>16923.6950768316</v>
      </c>
      <c r="R230" s="21" t="n">
        <v>17853.0956787738</v>
      </c>
      <c r="S230" s="21" t="n">
        <v>18859.8783483428</v>
      </c>
      <c r="T230" s="21" t="n">
        <v>19248.8521203526</v>
      </c>
      <c r="U230" s="21" t="n">
        <v>19421.5828691633</v>
      </c>
      <c r="V230" s="21" t="n">
        <v>19578.6623172357</v>
      </c>
      <c r="W230" s="21" t="n">
        <v>19657.9293963216</v>
      </c>
      <c r="X230" s="21" t="n">
        <v>19892.7493520377</v>
      </c>
      <c r="Y230" s="0"/>
      <c r="Z230" s="0"/>
      <c r="AA230" s="0"/>
      <c r="AB230" s="0"/>
      <c r="AC230" s="0"/>
      <c r="AD230" s="0"/>
      <c r="AE230" s="0"/>
      <c r="AF230" s="0"/>
      <c r="AG230" s="0"/>
    </row>
    <row r="231" customFormat="false" ht="12.75" hidden="false" customHeight="false" outlineLevel="0" collapsed="false">
      <c r="A231" s="22" t="s">
        <v>10</v>
      </c>
      <c r="B231" s="17" t="n">
        <f aca="false">NPV(0.1,D231:Y231)</f>
        <v>98757.2193017003</v>
      </c>
      <c r="C231" s="17" t="n">
        <f aca="false">B231-B221</f>
        <v>-1626.2207986655</v>
      </c>
      <c r="D231" s="23" t="n">
        <v>2967.14047053459</v>
      </c>
      <c r="E231" s="24" t="n">
        <v>5518.34132473011</v>
      </c>
      <c r="F231" s="24" t="n">
        <v>4943.31347902849</v>
      </c>
      <c r="G231" s="24" t="n">
        <v>4917.51300642562</v>
      </c>
      <c r="H231" s="24" t="n">
        <v>14157.3743289443</v>
      </c>
      <c r="I231" s="24" t="n">
        <v>18587.2573633767</v>
      </c>
      <c r="J231" s="24" t="n">
        <v>13422.6638202975</v>
      </c>
      <c r="K231" s="24" t="n">
        <v>12799.9325987076</v>
      </c>
      <c r="L231" s="24" t="n">
        <v>12678.5848238244</v>
      </c>
      <c r="M231" s="24" t="n">
        <v>12545.8731584635</v>
      </c>
      <c r="N231" s="24" t="n">
        <v>12372.983739953</v>
      </c>
      <c r="O231" s="25" t="n">
        <v>12798.6641405459</v>
      </c>
      <c r="P231" s="21" t="n">
        <v>11785.8392934689</v>
      </c>
      <c r="Q231" s="21" t="n">
        <v>11585.6092775598</v>
      </c>
      <c r="R231" s="21" t="n">
        <v>16158.8801901821</v>
      </c>
      <c r="S231" s="21" t="n">
        <v>23245.4091615849</v>
      </c>
      <c r="T231" s="21" t="n">
        <v>21880.6037784512</v>
      </c>
      <c r="U231" s="21" t="n">
        <v>22036.9919163055</v>
      </c>
      <c r="V231" s="21" t="n">
        <v>22194.071364378</v>
      </c>
      <c r="W231" s="21" t="n">
        <v>22371.394109202</v>
      </c>
      <c r="X231" s="21" t="n">
        <v>22328.3896786602</v>
      </c>
      <c r="Y231" s="0"/>
      <c r="Z231" s="0"/>
      <c r="AA231" s="0"/>
      <c r="AB231" s="0"/>
      <c r="AC231" s="0"/>
      <c r="AD231" s="0"/>
      <c r="AE231" s="0"/>
      <c r="AF231" s="0"/>
      <c r="AG231" s="0"/>
    </row>
    <row r="232" customFormat="false" ht="12.75" hidden="false" customHeight="false" outlineLevel="0" collapsed="false">
      <c r="A232" s="22"/>
      <c r="B232" s="30"/>
      <c r="C232" s="30"/>
      <c r="D232" s="19"/>
      <c r="E232" s="19"/>
      <c r="F232" s="19"/>
      <c r="G232" s="19"/>
      <c r="H232" s="19"/>
      <c r="I232" s="19"/>
      <c r="J232" s="19"/>
      <c r="K232" s="19"/>
      <c r="L232" s="19"/>
      <c r="M232" s="19"/>
      <c r="N232" s="19"/>
      <c r="O232" s="19"/>
      <c r="P232" s="21"/>
      <c r="Q232" s="21"/>
      <c r="R232" s="21"/>
      <c r="S232" s="21"/>
      <c r="T232" s="21"/>
      <c r="U232" s="21"/>
      <c r="V232" s="21"/>
      <c r="W232" s="21"/>
      <c r="X232" s="21"/>
      <c r="Y232" s="0"/>
      <c r="Z232" s="0"/>
      <c r="AA232" s="0"/>
      <c r="AB232" s="0"/>
      <c r="AC232" s="0"/>
      <c r="AD232" s="0"/>
      <c r="AE232" s="0"/>
      <c r="AF232" s="0"/>
      <c r="AG232" s="0"/>
    </row>
    <row r="233" customFormat="false" ht="12.75" hidden="false" customHeight="false" outlineLevel="0" collapsed="false">
      <c r="A233" s="26" t="s">
        <v>35</v>
      </c>
      <c r="B233" s="30"/>
      <c r="D233" s="19"/>
      <c r="E233" s="19"/>
      <c r="F233" s="19"/>
      <c r="G233" s="19"/>
      <c r="H233" s="19"/>
      <c r="I233" s="19"/>
      <c r="J233" s="19"/>
      <c r="K233" s="19"/>
      <c r="L233" s="19"/>
      <c r="M233" s="19"/>
      <c r="N233" s="19"/>
      <c r="O233" s="19"/>
      <c r="P233" s="21"/>
      <c r="Q233" s="21"/>
      <c r="R233" s="21"/>
      <c r="S233" s="21"/>
      <c r="T233" s="21"/>
      <c r="U233" s="21"/>
      <c r="V233" s="21"/>
      <c r="W233" s="21"/>
      <c r="X233" s="21"/>
      <c r="Y233" s="0"/>
      <c r="Z233" s="0"/>
      <c r="AA233" s="0"/>
      <c r="AB233" s="0"/>
      <c r="AC233" s="0"/>
      <c r="AD233" s="0"/>
      <c r="AE233" s="0"/>
      <c r="AF233" s="0"/>
      <c r="AG233" s="0"/>
    </row>
    <row r="234" customFormat="false" ht="12.75" hidden="false" customHeight="false" outlineLevel="0" collapsed="false">
      <c r="A234" s="28" t="n">
        <v>36258</v>
      </c>
      <c r="B234" s="5"/>
      <c r="C234" s="5"/>
      <c r="D234" s="0"/>
      <c r="E234" s="0"/>
      <c r="F234" s="0"/>
      <c r="G234" s="0"/>
      <c r="H234" s="0"/>
      <c r="I234" s="0"/>
      <c r="J234" s="0"/>
      <c r="K234" s="0"/>
      <c r="L234" s="0"/>
      <c r="M234" s="0"/>
      <c r="N234" s="0"/>
      <c r="O234" s="0"/>
      <c r="P234" s="0"/>
      <c r="Q234" s="0"/>
      <c r="R234" s="0"/>
      <c r="S234" s="0"/>
      <c r="T234" s="0"/>
      <c r="U234" s="0"/>
      <c r="V234" s="0"/>
      <c r="W234" s="0"/>
      <c r="X234" s="0"/>
      <c r="Y234" s="0"/>
      <c r="Z234" s="0"/>
      <c r="AA234" s="0"/>
      <c r="AB234" s="0"/>
      <c r="AC234" s="0"/>
      <c r="AD234" s="0"/>
      <c r="AE234" s="0"/>
      <c r="AF234" s="0"/>
      <c r="AG234" s="0"/>
    </row>
    <row r="235" customFormat="false" ht="12.75" hidden="false" customHeight="false" outlineLevel="0" collapsed="false">
      <c r="A235" s="7" t="s">
        <v>2</v>
      </c>
      <c r="B235" s="8" t="n">
        <v>25547.320093842</v>
      </c>
      <c r="C235" s="5" t="s">
        <v>14</v>
      </c>
      <c r="D235" s="0"/>
      <c r="E235" s="0"/>
      <c r="F235" s="0"/>
      <c r="G235" s="0"/>
      <c r="H235" s="0"/>
      <c r="I235" s="0"/>
      <c r="J235" s="0"/>
      <c r="K235" s="0"/>
      <c r="L235" s="0"/>
      <c r="M235" s="0"/>
      <c r="N235" s="0"/>
      <c r="O235" s="0"/>
      <c r="P235" s="0"/>
      <c r="Q235" s="0"/>
      <c r="R235" s="0"/>
      <c r="S235" s="0"/>
      <c r="T235" s="0"/>
      <c r="U235" s="0"/>
      <c r="V235" s="0"/>
      <c r="W235" s="0"/>
      <c r="X235" s="0"/>
      <c r="Y235" s="0"/>
      <c r="Z235" s="0"/>
      <c r="AA235" s="0"/>
      <c r="AB235" s="0"/>
      <c r="AC235" s="0"/>
      <c r="AD235" s="0"/>
      <c r="AE235" s="0"/>
      <c r="AF235" s="0"/>
      <c r="AG235" s="0"/>
    </row>
    <row r="236" customFormat="false" ht="12.75" hidden="false" customHeight="false" outlineLevel="0" collapsed="false">
      <c r="A236" s="9" t="s">
        <v>3</v>
      </c>
      <c r="B236" s="10" t="n">
        <v>56648.6411927301</v>
      </c>
      <c r="C236" s="5"/>
      <c r="D236" s="0"/>
      <c r="E236" s="0"/>
      <c r="F236" s="0"/>
      <c r="G236" s="0"/>
      <c r="H236" s="0"/>
      <c r="I236" s="0"/>
      <c r="J236" s="0"/>
      <c r="K236" s="0"/>
      <c r="L236" s="0"/>
      <c r="M236" s="0"/>
      <c r="N236" s="0"/>
      <c r="O236" s="0"/>
      <c r="P236" s="0"/>
      <c r="Q236" s="0"/>
      <c r="R236" s="0"/>
      <c r="S236" s="0"/>
      <c r="T236" s="0"/>
      <c r="U236" s="0"/>
      <c r="V236" s="0"/>
      <c r="W236" s="0"/>
      <c r="X236" s="0"/>
      <c r="Y236" s="0"/>
      <c r="Z236" s="0"/>
      <c r="AA236" s="0"/>
      <c r="AB236" s="0"/>
      <c r="AC236" s="0"/>
      <c r="AD236" s="0"/>
      <c r="AE236" s="0"/>
      <c r="AF236" s="0"/>
      <c r="AG236" s="0"/>
    </row>
    <row r="237" customFormat="false" ht="12.75" hidden="false" customHeight="false" outlineLevel="0" collapsed="false">
      <c r="A237" s="11" t="s">
        <v>4</v>
      </c>
      <c r="B237" s="12" t="s">
        <v>5</v>
      </c>
      <c r="C237" s="12" t="s">
        <v>6</v>
      </c>
      <c r="D237" s="13" t="n">
        <v>1999</v>
      </c>
      <c r="E237" s="14" t="n">
        <v>2000</v>
      </c>
      <c r="F237" s="14" t="n">
        <v>2001</v>
      </c>
      <c r="G237" s="14" t="n">
        <v>2002</v>
      </c>
      <c r="H237" s="14" t="n">
        <v>2003</v>
      </c>
      <c r="I237" s="14" t="n">
        <v>2004</v>
      </c>
      <c r="J237" s="14" t="n">
        <v>2005</v>
      </c>
      <c r="K237" s="14" t="n">
        <v>2006</v>
      </c>
      <c r="L237" s="14" t="n">
        <v>2007</v>
      </c>
      <c r="M237" s="14" t="n">
        <v>2008</v>
      </c>
      <c r="N237" s="14" t="n">
        <v>2009</v>
      </c>
      <c r="O237" s="15" t="n">
        <v>2010</v>
      </c>
      <c r="P237" s="16" t="n">
        <v>2011</v>
      </c>
      <c r="Q237" s="16" t="n">
        <v>2012</v>
      </c>
      <c r="R237" s="16" t="n">
        <v>2013</v>
      </c>
      <c r="S237" s="16" t="n">
        <v>2014</v>
      </c>
      <c r="T237" s="16" t="n">
        <v>2015</v>
      </c>
      <c r="U237" s="16" t="n">
        <v>2016</v>
      </c>
      <c r="V237" s="16" t="n">
        <v>2017</v>
      </c>
      <c r="W237" s="16" t="n">
        <v>2018</v>
      </c>
      <c r="X237" s="16" t="n">
        <v>2019</v>
      </c>
      <c r="Y237" s="0"/>
      <c r="Z237" s="0"/>
      <c r="AA237" s="0"/>
      <c r="AB237" s="0"/>
      <c r="AC237" s="0"/>
      <c r="AD237" s="0"/>
      <c r="AE237" s="0"/>
      <c r="AF237" s="0"/>
      <c r="AG237" s="0"/>
    </row>
    <row r="238" customFormat="false" ht="12.75" hidden="false" customHeight="false" outlineLevel="0" collapsed="false">
      <c r="A238" s="11" t="s">
        <v>7</v>
      </c>
      <c r="B238" s="17" t="n">
        <f aca="false">NPV(0.1,D238:Y238)</f>
        <v>418177.497978711</v>
      </c>
      <c r="C238" s="17" t="n">
        <f aca="false">B238-B228</f>
        <v>-14444.6091852651</v>
      </c>
      <c r="D238" s="18" t="n">
        <v>30097.72587676</v>
      </c>
      <c r="E238" s="19" t="n">
        <v>37840.00666396</v>
      </c>
      <c r="F238" s="19" t="n">
        <v>37854.715874776</v>
      </c>
      <c r="G238" s="19" t="n">
        <v>37869.8663619165</v>
      </c>
      <c r="H238" s="19" t="n">
        <v>46835.5590462382</v>
      </c>
      <c r="I238" s="19" t="n">
        <v>54149.3770613945</v>
      </c>
      <c r="J238" s="19" t="n">
        <v>55094.5458165377</v>
      </c>
      <c r="K238" s="19" t="n">
        <v>55589.8337288127</v>
      </c>
      <c r="L238" s="19" t="n">
        <v>56082.1760742624</v>
      </c>
      <c r="M238" s="19" t="n">
        <v>56570.9503597561</v>
      </c>
      <c r="N238" s="19" t="n">
        <v>57055.4993935858</v>
      </c>
      <c r="O238" s="20" t="n">
        <v>57535.1297637946</v>
      </c>
      <c r="P238" s="21" t="n">
        <v>58146.7099386689</v>
      </c>
      <c r="Q238" s="21" t="n">
        <v>58760.1255569213</v>
      </c>
      <c r="R238" s="21" t="n">
        <v>59374.9363229972</v>
      </c>
      <c r="S238" s="21" t="n">
        <v>59990.6738717095</v>
      </c>
      <c r="T238" s="21" t="n">
        <v>60606.8404803269</v>
      </c>
      <c r="U238" s="21" t="n">
        <v>60903.8762401579</v>
      </c>
      <c r="V238" s="21" t="n">
        <v>61181.1102388195</v>
      </c>
      <c r="W238" s="21" t="n">
        <v>61437.0870384578</v>
      </c>
      <c r="X238" s="21" t="n">
        <v>42867.7820597725</v>
      </c>
      <c r="Y238" s="0"/>
      <c r="Z238" s="0"/>
      <c r="AA238" s="0"/>
      <c r="AB238" s="0"/>
      <c r="AC238" s="0"/>
      <c r="AD238" s="0"/>
      <c r="AE238" s="0"/>
      <c r="AF238" s="0"/>
      <c r="AG238" s="0"/>
    </row>
    <row r="239" customFormat="false" ht="12.75" hidden="false" customHeight="false" outlineLevel="0" collapsed="false">
      <c r="A239" s="22" t="s">
        <v>8</v>
      </c>
      <c r="B239" s="17" t="n">
        <f aca="false">NPV(0.1,D239:Y239)</f>
        <v>204417.18824037</v>
      </c>
      <c r="C239" s="17" t="n">
        <f aca="false">B239-B229</f>
        <v>-14444.6091852651</v>
      </c>
      <c r="D239" s="18" t="n">
        <v>21518.0425884672</v>
      </c>
      <c r="E239" s="19" t="n">
        <v>23442.7965535873</v>
      </c>
      <c r="F239" s="19" t="n">
        <v>23529.29355285</v>
      </c>
      <c r="G239" s="19" t="n">
        <v>23619.0478161916</v>
      </c>
      <c r="H239" s="19" t="n">
        <v>23703.6906333155</v>
      </c>
      <c r="I239" s="19" t="n">
        <v>23785.0465514392</v>
      </c>
      <c r="J239" s="19" t="n">
        <v>23883.2870342749</v>
      </c>
      <c r="K239" s="19" t="n">
        <v>23981.179909442</v>
      </c>
      <c r="L239" s="19" t="n">
        <v>24082.9798151727</v>
      </c>
      <c r="M239" s="19" t="n">
        <v>24188.7750149293</v>
      </c>
      <c r="N239" s="19" t="n">
        <v>24293.2803968441</v>
      </c>
      <c r="O239" s="20" t="n">
        <v>25184.5094672046</v>
      </c>
      <c r="P239" s="21" t="n">
        <v>25237.8768329882</v>
      </c>
      <c r="Q239" s="21" t="n">
        <v>25279.4409727016</v>
      </c>
      <c r="R239" s="21" t="n">
        <v>25313.6698689875</v>
      </c>
      <c r="S239" s="21" t="n">
        <v>25369.0252261879</v>
      </c>
      <c r="T239" s="21" t="n">
        <v>25401.0110548626</v>
      </c>
      <c r="U239" s="21" t="n">
        <v>25421.7743119724</v>
      </c>
      <c r="V239" s="21" t="n">
        <v>25447.7691274323</v>
      </c>
      <c r="W239" s="21" t="n">
        <v>25576.9629745666</v>
      </c>
      <c r="X239" s="21" t="n">
        <v>6632.07751990202</v>
      </c>
      <c r="Y239" s="0"/>
      <c r="Z239" s="0"/>
      <c r="AA239" s="0"/>
      <c r="AB239" s="0"/>
      <c r="AC239" s="0"/>
      <c r="AD239" s="0"/>
      <c r="AE239" s="0"/>
      <c r="AF239" s="0"/>
      <c r="AG239" s="0"/>
    </row>
    <row r="240" customFormat="false" ht="12.75" hidden="false" customHeight="false" outlineLevel="0" collapsed="false">
      <c r="A240" s="22" t="s">
        <v>9</v>
      </c>
      <c r="B240" s="17" t="n">
        <f aca="false">NPV(0.1,D240:Y240)</f>
        <v>83005.8412607743</v>
      </c>
      <c r="C240" s="17" t="n">
        <f aca="false">B240-B230</f>
        <v>0</v>
      </c>
      <c r="D240" s="18" t="n">
        <v>892.301314519024</v>
      </c>
      <c r="E240" s="19" t="n">
        <v>1399.88303818106</v>
      </c>
      <c r="F240" s="19" t="n">
        <v>1460.74892941901</v>
      </c>
      <c r="G240" s="19" t="n">
        <v>1525.75942734711</v>
      </c>
      <c r="H240" s="19" t="n">
        <v>7059.93009660817</v>
      </c>
      <c r="I240" s="19" t="n">
        <v>11817.9880953135</v>
      </c>
      <c r="J240" s="19" t="n">
        <v>12698.6249700103</v>
      </c>
      <c r="K240" s="19" t="n">
        <v>13244.1552720636</v>
      </c>
      <c r="L240" s="19" t="n">
        <v>13817.019445572</v>
      </c>
      <c r="M240" s="19" t="n">
        <v>14419.1671643692</v>
      </c>
      <c r="N240" s="19" t="n">
        <v>15056.0634227182</v>
      </c>
      <c r="O240" s="20" t="n">
        <v>15237.4625691312</v>
      </c>
      <c r="P240" s="21" t="n">
        <v>16052.1719344713</v>
      </c>
      <c r="Q240" s="21" t="n">
        <v>16923.6950768316</v>
      </c>
      <c r="R240" s="21" t="n">
        <v>17853.0956787738</v>
      </c>
      <c r="S240" s="21" t="n">
        <v>18859.8783483428</v>
      </c>
      <c r="T240" s="21" t="n">
        <v>19248.8521203526</v>
      </c>
      <c r="U240" s="21" t="n">
        <v>19421.5828691633</v>
      </c>
      <c r="V240" s="21" t="n">
        <v>19578.6623172357</v>
      </c>
      <c r="W240" s="21" t="n">
        <v>19657.9293963216</v>
      </c>
      <c r="X240" s="21" t="n">
        <v>19892.7493520377</v>
      </c>
      <c r="Y240" s="0"/>
      <c r="Z240" s="0"/>
      <c r="AA240" s="0"/>
      <c r="AB240" s="0"/>
      <c r="AC240" s="0"/>
      <c r="AD240" s="0"/>
      <c r="AE240" s="0"/>
      <c r="AF240" s="0"/>
      <c r="AG240" s="0"/>
    </row>
    <row r="241" customFormat="false" ht="12.75" hidden="false" customHeight="false" outlineLevel="0" collapsed="false">
      <c r="A241" s="22" t="s">
        <v>10</v>
      </c>
      <c r="B241" s="17" t="n">
        <f aca="false">NPV(0.1,D241:Y241)</f>
        <v>98757.2193017003</v>
      </c>
      <c r="C241" s="17" t="n">
        <f aca="false">B241-B231</f>
        <v>0</v>
      </c>
      <c r="D241" s="23" t="n">
        <v>2967.14047053459</v>
      </c>
      <c r="E241" s="24" t="n">
        <v>5518.34132473011</v>
      </c>
      <c r="F241" s="24" t="n">
        <v>4943.31347902849</v>
      </c>
      <c r="G241" s="24" t="n">
        <v>4917.51300642561</v>
      </c>
      <c r="H241" s="24" t="n">
        <v>14157.3743289443</v>
      </c>
      <c r="I241" s="24" t="n">
        <v>18587.2573633767</v>
      </c>
      <c r="J241" s="24" t="n">
        <v>13422.6638202975</v>
      </c>
      <c r="K241" s="24" t="n">
        <v>12799.9325987076</v>
      </c>
      <c r="L241" s="24" t="n">
        <v>12678.5848238244</v>
      </c>
      <c r="M241" s="24" t="n">
        <v>12545.8731584635</v>
      </c>
      <c r="N241" s="24" t="n">
        <v>12372.983739953</v>
      </c>
      <c r="O241" s="25" t="n">
        <v>12798.6641405458</v>
      </c>
      <c r="P241" s="21" t="n">
        <v>11785.8392934689</v>
      </c>
      <c r="Q241" s="21" t="n">
        <v>11585.6092775598</v>
      </c>
      <c r="R241" s="21" t="n">
        <v>16158.8801901821</v>
      </c>
      <c r="S241" s="21" t="n">
        <v>23245.4091615849</v>
      </c>
      <c r="T241" s="21" t="n">
        <v>21880.6037784512</v>
      </c>
      <c r="U241" s="21" t="n">
        <v>22036.9919163056</v>
      </c>
      <c r="V241" s="21" t="n">
        <v>22194.071364378</v>
      </c>
      <c r="W241" s="21" t="n">
        <v>22371.394109202</v>
      </c>
      <c r="X241" s="21" t="n">
        <v>22328.3896786602</v>
      </c>
      <c r="Y241" s="0"/>
      <c r="Z241" s="0"/>
      <c r="AA241" s="0"/>
      <c r="AB241" s="0"/>
      <c r="AC241" s="0"/>
      <c r="AD241" s="0"/>
      <c r="AE241" s="0"/>
      <c r="AF241" s="0"/>
      <c r="AG241" s="0"/>
    </row>
    <row r="242" customFormat="false" ht="12.75" hidden="false" customHeight="false" outlineLevel="0" collapsed="false">
      <c r="A242" s="5"/>
      <c r="B242" s="5"/>
      <c r="C242" s="5"/>
      <c r="D242" s="0"/>
      <c r="E242" s="0"/>
      <c r="F242" s="0"/>
      <c r="G242" s="0"/>
      <c r="H242" s="0"/>
      <c r="I242" s="0"/>
      <c r="J242" s="0"/>
      <c r="K242" s="0"/>
      <c r="L242" s="0"/>
      <c r="M242" s="0"/>
      <c r="N242" s="0"/>
      <c r="O242" s="0"/>
      <c r="P242" s="0"/>
      <c r="Q242" s="0"/>
      <c r="R242" s="0"/>
      <c r="S242" s="0"/>
      <c r="T242" s="0"/>
      <c r="U242" s="0"/>
      <c r="V242" s="0"/>
      <c r="W242" s="0"/>
      <c r="X242" s="0"/>
      <c r="Y242" s="0"/>
      <c r="Z242" s="0"/>
      <c r="AA242" s="0"/>
      <c r="AB242" s="0"/>
      <c r="AC242" s="0"/>
      <c r="AD242" s="0"/>
      <c r="AE242" s="0"/>
      <c r="AF242" s="0"/>
      <c r="AG242" s="0"/>
    </row>
    <row r="243" customFormat="false" ht="12.75" hidden="false" customHeight="false" outlineLevel="0" collapsed="false">
      <c r="A243" s="26" t="s">
        <v>36</v>
      </c>
      <c r="B243" s="5"/>
      <c r="C243" s="5"/>
      <c r="D243" s="0"/>
      <c r="E243" s="0"/>
      <c r="F243" s="0"/>
      <c r="G243" s="0"/>
      <c r="H243" s="0"/>
      <c r="I243" s="0"/>
      <c r="J243" s="0"/>
      <c r="K243" s="0"/>
      <c r="L243" s="0"/>
      <c r="M243" s="0"/>
      <c r="N243" s="0"/>
      <c r="O243" s="0"/>
      <c r="P243" s="0"/>
      <c r="Q243" s="0"/>
      <c r="R243" s="0"/>
      <c r="S243" s="0"/>
      <c r="T243" s="0"/>
      <c r="U243" s="0"/>
      <c r="V243" s="0"/>
      <c r="W243" s="0"/>
      <c r="X243" s="0"/>
      <c r="Y243" s="0"/>
      <c r="Z243" s="0"/>
      <c r="AA243" s="0"/>
      <c r="AB243" s="0"/>
      <c r="AC243" s="0"/>
      <c r="AD243" s="0"/>
      <c r="AE243" s="0"/>
      <c r="AF243" s="0"/>
      <c r="AG243" s="0"/>
    </row>
    <row r="244" customFormat="false" ht="12.75" hidden="false" customHeight="false" outlineLevel="0" collapsed="false">
      <c r="A244" s="28" t="n">
        <v>36263</v>
      </c>
      <c r="B244" s="5"/>
      <c r="C244" s="5"/>
      <c r="D244" s="0"/>
      <c r="E244" s="0"/>
      <c r="F244" s="0"/>
      <c r="G244" s="0"/>
      <c r="H244" s="0"/>
      <c r="I244" s="0"/>
      <c r="J244" s="0"/>
      <c r="K244" s="0"/>
      <c r="L244" s="0"/>
      <c r="M244" s="0"/>
      <c r="N244" s="0"/>
      <c r="O244" s="0"/>
      <c r="P244" s="0"/>
      <c r="Q244" s="0"/>
      <c r="R244" s="0"/>
      <c r="S244" s="0"/>
      <c r="T244" s="0"/>
      <c r="U244" s="0"/>
      <c r="V244" s="0"/>
      <c r="W244" s="0"/>
      <c r="X244" s="0"/>
      <c r="Y244" s="0"/>
      <c r="Z244" s="0"/>
      <c r="AA244" s="0"/>
      <c r="AB244" s="0"/>
      <c r="AC244" s="0"/>
      <c r="AD244" s="0"/>
      <c r="AE244" s="0"/>
      <c r="AF244" s="0"/>
      <c r="AG244" s="0"/>
    </row>
    <row r="245" customFormat="false" ht="12.75" hidden="false" customHeight="false" outlineLevel="0" collapsed="false">
      <c r="A245" s="7" t="s">
        <v>2</v>
      </c>
      <c r="B245" s="8" t="n">
        <v>32624.3285588575</v>
      </c>
      <c r="C245" s="5" t="s">
        <v>14</v>
      </c>
      <c r="D245" s="0"/>
      <c r="E245" s="0"/>
      <c r="F245" s="0"/>
      <c r="G245" s="0"/>
      <c r="H245" s="0"/>
      <c r="I245" s="0"/>
      <c r="J245" s="0"/>
      <c r="K245" s="0"/>
      <c r="L245" s="0"/>
      <c r="M245" s="0"/>
      <c r="N245" s="0"/>
      <c r="O245" s="0"/>
      <c r="P245" s="0"/>
      <c r="Q245" s="0"/>
      <c r="R245" s="0"/>
      <c r="S245" s="0"/>
      <c r="T245" s="0"/>
      <c r="U245" s="0"/>
      <c r="V245" s="0"/>
      <c r="W245" s="0"/>
      <c r="X245" s="0"/>
      <c r="Y245" s="0"/>
      <c r="Z245" s="0"/>
      <c r="AA245" s="0"/>
      <c r="AB245" s="0"/>
      <c r="AC245" s="0"/>
      <c r="AD245" s="0"/>
      <c r="AE245" s="0"/>
      <c r="AF245" s="0"/>
      <c r="AG245" s="0"/>
    </row>
    <row r="246" customFormat="false" ht="12.75" hidden="false" customHeight="false" outlineLevel="0" collapsed="false">
      <c r="A246" s="9" t="s">
        <v>3</v>
      </c>
      <c r="B246" s="10" t="n">
        <v>66267.6148466216</v>
      </c>
      <c r="C246" s="5"/>
      <c r="D246" s="0"/>
      <c r="E246" s="0"/>
      <c r="F246" s="0"/>
      <c r="G246" s="0"/>
      <c r="H246" s="0"/>
      <c r="I246" s="0"/>
      <c r="J246" s="0"/>
      <c r="K246" s="0"/>
      <c r="L246" s="0"/>
      <c r="M246" s="0"/>
      <c r="N246" s="0"/>
      <c r="O246" s="0"/>
      <c r="P246" s="0"/>
      <c r="Q246" s="0"/>
      <c r="R246" s="0"/>
      <c r="S246" s="0"/>
      <c r="T246" s="0"/>
      <c r="U246" s="0"/>
      <c r="V246" s="0"/>
      <c r="W246" s="0"/>
      <c r="X246" s="0"/>
      <c r="Y246" s="0"/>
      <c r="Z246" s="0"/>
      <c r="AA246" s="0"/>
      <c r="AB246" s="0"/>
      <c r="AC246" s="0"/>
      <c r="AD246" s="0"/>
      <c r="AE246" s="0"/>
      <c r="AF246" s="0"/>
      <c r="AG246" s="0"/>
    </row>
    <row r="247" customFormat="false" ht="12.75" hidden="false" customHeight="false" outlineLevel="0" collapsed="false">
      <c r="A247" s="11" t="s">
        <v>4</v>
      </c>
      <c r="B247" s="12" t="s">
        <v>5</v>
      </c>
      <c r="C247" s="12" t="s">
        <v>6</v>
      </c>
      <c r="D247" s="13" t="n">
        <v>1999</v>
      </c>
      <c r="E247" s="14" t="n">
        <v>2000</v>
      </c>
      <c r="F247" s="14" t="n">
        <v>2001</v>
      </c>
      <c r="G247" s="14" t="n">
        <v>2002</v>
      </c>
      <c r="H247" s="14" t="n">
        <v>2003</v>
      </c>
      <c r="I247" s="14" t="n">
        <v>2004</v>
      </c>
      <c r="J247" s="14" t="n">
        <v>2005</v>
      </c>
      <c r="K247" s="14" t="n">
        <v>2006</v>
      </c>
      <c r="L247" s="14" t="n">
        <v>2007</v>
      </c>
      <c r="M247" s="14" t="n">
        <v>2008</v>
      </c>
      <c r="N247" s="14" t="n">
        <v>2009</v>
      </c>
      <c r="O247" s="15" t="n">
        <v>2010</v>
      </c>
      <c r="P247" s="16" t="n">
        <v>2011</v>
      </c>
      <c r="Q247" s="16" t="n">
        <v>2012</v>
      </c>
      <c r="R247" s="16" t="n">
        <v>2013</v>
      </c>
      <c r="S247" s="16" t="n">
        <v>2014</v>
      </c>
      <c r="T247" s="16" t="n">
        <v>2015</v>
      </c>
      <c r="U247" s="16" t="n">
        <v>2016</v>
      </c>
      <c r="V247" s="16" t="n">
        <v>2017</v>
      </c>
      <c r="W247" s="16" t="n">
        <v>2018</v>
      </c>
      <c r="X247" s="16" t="n">
        <v>2019</v>
      </c>
      <c r="Y247" s="0"/>
      <c r="Z247" s="0"/>
      <c r="AA247" s="0"/>
      <c r="AB247" s="0"/>
      <c r="AC247" s="0"/>
      <c r="AD247" s="0"/>
      <c r="AE247" s="0"/>
      <c r="AF247" s="0"/>
      <c r="AG247" s="0"/>
    </row>
    <row r="248" customFormat="false" ht="12.75" hidden="false" customHeight="false" outlineLevel="0" collapsed="false">
      <c r="A248" s="11" t="s">
        <v>7</v>
      </c>
      <c r="B248" s="17" t="n">
        <f aca="false">NPV(0.1,D248:Y248)</f>
        <v>428603.021955068</v>
      </c>
      <c r="C248" s="17" t="n">
        <f aca="false">B248-B238</f>
        <v>10425.5239763577</v>
      </c>
      <c r="D248" s="18" t="n">
        <v>30674.26982176</v>
      </c>
      <c r="E248" s="19" t="n">
        <v>37905.02900896</v>
      </c>
      <c r="F248" s="19" t="n">
        <v>37961.430971776</v>
      </c>
      <c r="G248" s="19" t="n">
        <v>38019.5249934765</v>
      </c>
      <c r="H248" s="19" t="n">
        <v>47802.249518395</v>
      </c>
      <c r="I248" s="19" t="n">
        <v>55713.626329366</v>
      </c>
      <c r="J248" s="19" t="n">
        <v>56705.7206441984</v>
      </c>
      <c r="K248" s="19" t="n">
        <v>57249.3418829532</v>
      </c>
      <c r="L248" s="19" t="n">
        <v>57791.467554677</v>
      </c>
      <c r="M248" s="19" t="n">
        <v>58331.5186662333</v>
      </c>
      <c r="N248" s="19" t="n">
        <v>58868.8828309073</v>
      </c>
      <c r="O248" s="20" t="n">
        <v>59402.9127858857</v>
      </c>
      <c r="P248" s="21" t="n">
        <v>60070.5245330727</v>
      </c>
      <c r="Q248" s="21" t="n">
        <v>60741.6526708073</v>
      </c>
      <c r="R248" s="21" t="n">
        <v>61415.9073319497</v>
      </c>
      <c r="S248" s="21" t="n">
        <v>62092.8720925806</v>
      </c>
      <c r="T248" s="21" t="n">
        <v>62772.1027294741</v>
      </c>
      <c r="U248" s="21" t="n">
        <v>63134.0944384295</v>
      </c>
      <c r="V248" s="21" t="n">
        <v>63478.2330646893</v>
      </c>
      <c r="W248" s="21" t="n">
        <v>63803.1216307537</v>
      </c>
      <c r="X248" s="21" t="n">
        <v>45566.9063264873</v>
      </c>
      <c r="Y248" s="0"/>
      <c r="Z248" s="0"/>
      <c r="AA248" s="0"/>
      <c r="AB248" s="0"/>
      <c r="AC248" s="0"/>
      <c r="AD248" s="0"/>
      <c r="AE248" s="0"/>
      <c r="AF248" s="0"/>
      <c r="AG248" s="0"/>
    </row>
    <row r="249" customFormat="false" ht="12.75" hidden="false" customHeight="false" outlineLevel="0" collapsed="false">
      <c r="A249" s="22" t="s">
        <v>8</v>
      </c>
      <c r="B249" s="17" t="n">
        <f aca="false">NPV(0.1,D249:Y249)</f>
        <v>204933.13378442</v>
      </c>
      <c r="C249" s="17" t="n">
        <f aca="false">B249-B239</f>
        <v>515.945544049202</v>
      </c>
      <c r="D249" s="18" t="n">
        <v>22080.6741570773</v>
      </c>
      <c r="E249" s="19" t="n">
        <v>23443.5845776174</v>
      </c>
      <c r="F249" s="19" t="n">
        <v>23530.301041989</v>
      </c>
      <c r="G249" s="19" t="n">
        <v>23620.2526902921</v>
      </c>
      <c r="H249" s="19" t="n">
        <v>23704.3312824085</v>
      </c>
      <c r="I249" s="19" t="n">
        <v>23784.5429779175</v>
      </c>
      <c r="J249" s="19" t="n">
        <v>23883.7388425187</v>
      </c>
      <c r="K249" s="19" t="n">
        <v>23981.6417477251</v>
      </c>
      <c r="L249" s="19" t="n">
        <v>24083.4519843963</v>
      </c>
      <c r="M249" s="19" t="n">
        <v>24189.2578250215</v>
      </c>
      <c r="N249" s="19" t="n">
        <v>24293.7741670311</v>
      </c>
      <c r="O249" s="20" t="n">
        <v>25185.0145262892</v>
      </c>
      <c r="P249" s="21" t="n">
        <v>25238.3935196373</v>
      </c>
      <c r="Q249" s="21" t="n">
        <v>25279.9696357422</v>
      </c>
      <c r="R249" s="21" t="n">
        <v>25314.1573391105</v>
      </c>
      <c r="S249" s="21" t="n">
        <v>25369.5254020645</v>
      </c>
      <c r="T249" s="21" t="n">
        <v>25401.5243176655</v>
      </c>
      <c r="U249" s="21" t="n">
        <v>25422.3010543095</v>
      </c>
      <c r="V249" s="21" t="n">
        <v>25448.3097536895</v>
      </c>
      <c r="W249" s="21" t="n">
        <v>25577.5179012614</v>
      </c>
      <c r="X249" s="21" t="n">
        <v>6632.58323104772</v>
      </c>
      <c r="Y249" s="0"/>
      <c r="Z249" s="0"/>
      <c r="AA249" s="0"/>
      <c r="AB249" s="0"/>
      <c r="AC249" s="0"/>
      <c r="AD249" s="0"/>
      <c r="AE249" s="0"/>
      <c r="AF249" s="0"/>
      <c r="AG249" s="0"/>
    </row>
    <row r="250" customFormat="false" ht="12.75" hidden="false" customHeight="false" outlineLevel="0" collapsed="false">
      <c r="A250" s="22" t="s">
        <v>9</v>
      </c>
      <c r="B250" s="17" t="n">
        <f aca="false">NPV(0.1,D250:Y250)</f>
        <v>87865.5149003511</v>
      </c>
      <c r="C250" s="17" t="n">
        <f aca="false">B250-B240</f>
        <v>4859.67363957682</v>
      </c>
      <c r="D250" s="18" t="n">
        <v>794.94671594672</v>
      </c>
      <c r="E250" s="19" t="n">
        <v>1250.46337258671</v>
      </c>
      <c r="F250" s="19" t="n">
        <v>1324.61601991707</v>
      </c>
      <c r="G250" s="19" t="n">
        <v>1404.05242038714</v>
      </c>
      <c r="H250" s="19" t="n">
        <v>7430.20661115572</v>
      </c>
      <c r="I250" s="19" t="n">
        <v>12562.9768313072</v>
      </c>
      <c r="J250" s="19" t="n">
        <v>13484.6087129607</v>
      </c>
      <c r="K250" s="19" t="n">
        <v>14074.4938936864</v>
      </c>
      <c r="L250" s="19" t="n">
        <v>14694.7055729489</v>
      </c>
      <c r="M250" s="19" t="n">
        <v>15347.4161618519</v>
      </c>
      <c r="N250" s="19" t="n">
        <v>16038.3307107235</v>
      </c>
      <c r="O250" s="20" t="n">
        <v>16277.4623134334</v>
      </c>
      <c r="P250" s="21" t="n">
        <v>17153.8972151826</v>
      </c>
      <c r="Q250" s="21" t="n">
        <v>18091.4396549814</v>
      </c>
      <c r="R250" s="21" t="n">
        <v>19091.5109549022</v>
      </c>
      <c r="S250" s="21" t="n">
        <v>20173.8993729116</v>
      </c>
      <c r="T250" s="21" t="n">
        <v>20602.2937756585</v>
      </c>
      <c r="U250" s="21" t="n">
        <v>20815.6277741284</v>
      </c>
      <c r="V250" s="21" t="n">
        <v>21014.5285693497</v>
      </c>
      <c r="W250" s="21" t="n">
        <v>21136.8716359991</v>
      </c>
      <c r="X250" s="21" t="n">
        <v>21579.9762720774</v>
      </c>
      <c r="Y250" s="0"/>
      <c r="Z250" s="0"/>
      <c r="AA250" s="0"/>
      <c r="AB250" s="0"/>
      <c r="AC250" s="0"/>
      <c r="AD250" s="0"/>
      <c r="AE250" s="0"/>
      <c r="AF250" s="0"/>
      <c r="AG250" s="0"/>
    </row>
    <row r="251" customFormat="false" ht="12.75" hidden="false" customHeight="false" outlineLevel="0" collapsed="false">
      <c r="A251" s="22" t="s">
        <v>10</v>
      </c>
      <c r="B251" s="17" t="n">
        <f aca="false">NPV(0.1,D251:Y251)</f>
        <v>102670.005865249</v>
      </c>
      <c r="C251" s="17" t="n">
        <f aca="false">B251-B241</f>
        <v>3912.78656354868</v>
      </c>
      <c r="D251" s="23" t="n">
        <v>2971.95183403611</v>
      </c>
      <c r="E251" s="24" t="n">
        <v>5540.55569406552</v>
      </c>
      <c r="F251" s="24" t="n">
        <v>4979.87069341376</v>
      </c>
      <c r="G251" s="24" t="n">
        <v>4968.85326421371</v>
      </c>
      <c r="H251" s="24" t="n">
        <v>14749.0798455709</v>
      </c>
      <c r="I251" s="24" t="n">
        <v>19545.6684787913</v>
      </c>
      <c r="J251" s="24" t="n">
        <v>13544.1097005889</v>
      </c>
      <c r="K251" s="24" t="n">
        <v>13301.7591590395</v>
      </c>
      <c r="L251" s="24" t="n">
        <v>13181.5687268736</v>
      </c>
      <c r="M251" s="24" t="n">
        <v>13048.9372795949</v>
      </c>
      <c r="N251" s="24" t="n">
        <v>12874.9296931991</v>
      </c>
      <c r="O251" s="25" t="n">
        <v>13298.1615249592</v>
      </c>
      <c r="P251" s="21" t="n">
        <v>12281.4140476009</v>
      </c>
      <c r="Q251" s="21" t="n">
        <v>12075.6310697677</v>
      </c>
      <c r="R251" s="21" t="n">
        <v>16662.9722626229</v>
      </c>
      <c r="S251" s="21" t="n">
        <v>24559.4301861538</v>
      </c>
      <c r="T251" s="21" t="n">
        <v>23234.0454337571</v>
      </c>
      <c r="U251" s="21" t="n">
        <v>23431.0368212707</v>
      </c>
      <c r="V251" s="21" t="n">
        <v>23629.937616492</v>
      </c>
      <c r="W251" s="21" t="n">
        <v>23850.3363488794</v>
      </c>
      <c r="X251" s="21" t="n">
        <v>24015.6165986998</v>
      </c>
      <c r="Y251" s="0"/>
      <c r="Z251" s="0"/>
      <c r="AA251" s="0"/>
      <c r="AB251" s="0"/>
      <c r="AC251" s="0"/>
      <c r="AD251" s="0"/>
      <c r="AE251" s="0"/>
      <c r="AF251" s="0"/>
      <c r="AG251" s="0"/>
    </row>
    <row r="252" customFormat="false" ht="12.75" hidden="false" customHeight="false" outlineLevel="0" collapsed="false">
      <c r="A252" s="5"/>
      <c r="B252" s="5"/>
      <c r="C252" s="5"/>
      <c r="D252" s="0"/>
      <c r="E252" s="0"/>
      <c r="F252" s="0"/>
      <c r="G252" s="0"/>
      <c r="H252" s="0"/>
      <c r="I252" s="0"/>
      <c r="J252" s="0"/>
      <c r="K252" s="0"/>
      <c r="L252" s="0"/>
      <c r="M252" s="0"/>
      <c r="N252" s="0"/>
      <c r="O252" s="0"/>
      <c r="P252" s="0"/>
      <c r="Q252" s="0"/>
      <c r="R252" s="0"/>
      <c r="S252" s="0"/>
      <c r="T252" s="0"/>
      <c r="U252" s="0"/>
      <c r="V252" s="0"/>
      <c r="W252" s="0"/>
      <c r="X252" s="0"/>
      <c r="Y252" s="0"/>
      <c r="Z252" s="0"/>
      <c r="AA252" s="0"/>
      <c r="AB252" s="0"/>
      <c r="AC252" s="0"/>
      <c r="AD252" s="0"/>
      <c r="AE252" s="0"/>
      <c r="AF252" s="0"/>
      <c r="AG252" s="0"/>
    </row>
    <row r="253" customFormat="false" ht="12.75" hidden="false" customHeight="false" outlineLevel="0" collapsed="false">
      <c r="A253" s="26" t="s">
        <v>37</v>
      </c>
      <c r="B253" s="5"/>
      <c r="C253" s="5"/>
      <c r="D253" s="0"/>
      <c r="E253" s="0"/>
      <c r="F253" s="0"/>
      <c r="G253" s="0"/>
      <c r="H253" s="0"/>
      <c r="I253" s="0"/>
      <c r="J253" s="0"/>
      <c r="K253" s="0"/>
      <c r="L253" s="0"/>
      <c r="M253" s="0"/>
      <c r="N253" s="0"/>
      <c r="O253" s="0"/>
      <c r="P253" s="0"/>
      <c r="Q253" s="0"/>
      <c r="R253" s="0"/>
      <c r="S253" s="0"/>
      <c r="T253" s="0"/>
      <c r="U253" s="0"/>
      <c r="V253" s="0"/>
      <c r="W253" s="0"/>
      <c r="X253" s="0"/>
      <c r="Y253" s="0"/>
      <c r="Z253" s="0"/>
      <c r="AA253" s="0"/>
      <c r="AB253" s="0"/>
      <c r="AC253" s="0"/>
      <c r="AD253" s="0"/>
      <c r="AE253" s="0"/>
      <c r="AF253" s="0"/>
      <c r="AG253" s="0"/>
    </row>
    <row r="254" customFormat="false" ht="12.75" hidden="false" customHeight="false" outlineLevel="0" collapsed="false">
      <c r="A254" s="28" t="n">
        <v>36264</v>
      </c>
      <c r="B254" s="5"/>
      <c r="C254" s="5"/>
      <c r="D254" s="0"/>
      <c r="E254" s="0"/>
      <c r="F254" s="0"/>
      <c r="G254" s="0"/>
      <c r="H254" s="0"/>
      <c r="I254" s="0"/>
      <c r="J254" s="0"/>
      <c r="K254" s="0"/>
      <c r="L254" s="0"/>
      <c r="M254" s="0"/>
      <c r="N254" s="0"/>
      <c r="O254" s="0"/>
      <c r="P254" s="0"/>
      <c r="Q254" s="0"/>
      <c r="R254" s="0"/>
      <c r="S254" s="0"/>
      <c r="T254" s="0"/>
      <c r="U254" s="0"/>
      <c r="V254" s="0"/>
      <c r="W254" s="0"/>
      <c r="X254" s="0"/>
      <c r="Y254" s="0"/>
      <c r="Z254" s="0"/>
      <c r="AA254" s="0"/>
      <c r="AB254" s="0"/>
      <c r="AC254" s="0"/>
      <c r="AD254" s="0"/>
      <c r="AE254" s="0"/>
      <c r="AF254" s="0"/>
      <c r="AG254" s="0"/>
    </row>
    <row r="255" customFormat="false" ht="12.75" hidden="false" customHeight="false" outlineLevel="0" collapsed="false">
      <c r="A255" s="7" t="s">
        <v>2</v>
      </c>
      <c r="B255" s="8" t="n">
        <v>37981.4985036708</v>
      </c>
      <c r="C255" s="5" t="s">
        <v>14</v>
      </c>
      <c r="D255" s="0"/>
      <c r="E255" s="0"/>
      <c r="F255" s="0"/>
      <c r="G255" s="0"/>
      <c r="H255" s="0"/>
      <c r="I255" s="0"/>
      <c r="J255" s="0"/>
      <c r="K255" s="0"/>
      <c r="L255" s="0"/>
      <c r="M255" s="0"/>
      <c r="N255" s="0"/>
      <c r="O255" s="0"/>
      <c r="P255" s="0"/>
      <c r="Q255" s="0"/>
      <c r="R255" s="0"/>
      <c r="S255" s="0"/>
      <c r="T255" s="0"/>
      <c r="U255" s="0"/>
      <c r="V255" s="0"/>
      <c r="W255" s="0"/>
      <c r="X255" s="0"/>
      <c r="Y255" s="0"/>
      <c r="Z255" s="0"/>
      <c r="AA255" s="0"/>
      <c r="AB255" s="0"/>
      <c r="AC255" s="0"/>
      <c r="AD255" s="0"/>
      <c r="AE255" s="0"/>
      <c r="AF255" s="0"/>
      <c r="AG255" s="0"/>
    </row>
    <row r="256" customFormat="false" ht="12.75" hidden="false" customHeight="false" outlineLevel="0" collapsed="false">
      <c r="A256" s="9" t="s">
        <v>3</v>
      </c>
      <c r="B256" s="10" t="n">
        <v>71878.6932850109</v>
      </c>
      <c r="C256" s="5"/>
      <c r="D256" s="0"/>
      <c r="E256" s="0"/>
      <c r="F256" s="0"/>
      <c r="G256" s="0"/>
      <c r="H256" s="0"/>
      <c r="I256" s="0"/>
      <c r="J256" s="0"/>
      <c r="K256" s="0"/>
      <c r="L256" s="0"/>
      <c r="M256" s="0"/>
      <c r="N256" s="0"/>
      <c r="O256" s="0"/>
      <c r="P256" s="0"/>
      <c r="Q256" s="0"/>
      <c r="R256" s="0"/>
      <c r="S256" s="0"/>
      <c r="T256" s="0"/>
      <c r="U256" s="0"/>
      <c r="V256" s="0"/>
      <c r="W256" s="0"/>
      <c r="X256" s="0"/>
      <c r="Y256" s="0"/>
      <c r="Z256" s="0"/>
      <c r="AA256" s="0"/>
      <c r="AB256" s="0"/>
      <c r="AC256" s="0"/>
      <c r="AD256" s="0"/>
      <c r="AE256" s="0"/>
      <c r="AF256" s="0"/>
      <c r="AG256" s="0"/>
    </row>
    <row r="257" customFormat="false" ht="12.75" hidden="false" customHeight="false" outlineLevel="0" collapsed="false">
      <c r="A257" s="11" t="s">
        <v>4</v>
      </c>
      <c r="B257" s="12" t="s">
        <v>5</v>
      </c>
      <c r="C257" s="12" t="s">
        <v>6</v>
      </c>
      <c r="D257" s="13" t="n">
        <v>1999</v>
      </c>
      <c r="E257" s="14" t="n">
        <v>2000</v>
      </c>
      <c r="F257" s="14" t="n">
        <v>2001</v>
      </c>
      <c r="G257" s="14" t="n">
        <v>2002</v>
      </c>
      <c r="H257" s="14" t="n">
        <v>2003</v>
      </c>
      <c r="I257" s="14" t="n">
        <v>2004</v>
      </c>
      <c r="J257" s="14" t="n">
        <v>2005</v>
      </c>
      <c r="K257" s="14" t="n">
        <v>2006</v>
      </c>
      <c r="L257" s="14" t="n">
        <v>2007</v>
      </c>
      <c r="M257" s="14" t="n">
        <v>2008</v>
      </c>
      <c r="N257" s="14" t="n">
        <v>2009</v>
      </c>
      <c r="O257" s="15" t="n">
        <v>2010</v>
      </c>
      <c r="P257" s="16" t="n">
        <v>2011</v>
      </c>
      <c r="Q257" s="16" t="n">
        <v>2012</v>
      </c>
      <c r="R257" s="16" t="n">
        <v>2013</v>
      </c>
      <c r="S257" s="16" t="n">
        <v>2014</v>
      </c>
      <c r="T257" s="16" t="n">
        <v>2015</v>
      </c>
      <c r="U257" s="16" t="n">
        <v>2016</v>
      </c>
      <c r="V257" s="16" t="n">
        <v>2017</v>
      </c>
      <c r="W257" s="16" t="n">
        <v>2018</v>
      </c>
      <c r="X257" s="16" t="n">
        <v>2019</v>
      </c>
      <c r="Y257" s="0"/>
      <c r="Z257" s="0"/>
      <c r="AA257" s="0"/>
      <c r="AB257" s="0"/>
      <c r="AC257" s="0"/>
      <c r="AD257" s="0"/>
      <c r="AE257" s="0"/>
      <c r="AF257" s="0"/>
      <c r="AG257" s="0"/>
    </row>
    <row r="258" customFormat="false" ht="12.75" hidden="false" customHeight="false" outlineLevel="0" collapsed="false">
      <c r="A258" s="11" t="s">
        <v>7</v>
      </c>
      <c r="B258" s="17" t="n">
        <f aca="false">NPV(0.1,D258:Y258)</f>
        <v>428603.021955068</v>
      </c>
      <c r="C258" s="17" t="n">
        <f aca="false">B258-B248</f>
        <v>0</v>
      </c>
      <c r="D258" s="18" t="n">
        <v>30674.26982176</v>
      </c>
      <c r="E258" s="19" t="n">
        <v>37905.02900896</v>
      </c>
      <c r="F258" s="19" t="n">
        <v>37961.430971776</v>
      </c>
      <c r="G258" s="19" t="n">
        <v>38019.5249934765</v>
      </c>
      <c r="H258" s="19" t="n">
        <v>47802.249518395</v>
      </c>
      <c r="I258" s="19" t="n">
        <v>55713.626329366</v>
      </c>
      <c r="J258" s="19" t="n">
        <v>56705.7206441984</v>
      </c>
      <c r="K258" s="19" t="n">
        <v>57249.3418829532</v>
      </c>
      <c r="L258" s="19" t="n">
        <v>57791.467554677</v>
      </c>
      <c r="M258" s="19" t="n">
        <v>58331.5186662333</v>
      </c>
      <c r="N258" s="19" t="n">
        <v>58868.8828309073</v>
      </c>
      <c r="O258" s="20" t="n">
        <v>59402.9127858857</v>
      </c>
      <c r="P258" s="21" t="n">
        <v>60070.5245330727</v>
      </c>
      <c r="Q258" s="21" t="n">
        <v>60741.6526708073</v>
      </c>
      <c r="R258" s="21" t="n">
        <v>61415.9073319497</v>
      </c>
      <c r="S258" s="21" t="n">
        <v>62092.8720925806</v>
      </c>
      <c r="T258" s="21" t="n">
        <v>62772.1027294741</v>
      </c>
      <c r="U258" s="21" t="n">
        <v>63134.0944384295</v>
      </c>
      <c r="V258" s="21" t="n">
        <v>63478.2330646893</v>
      </c>
      <c r="W258" s="21" t="n">
        <v>63803.1216307537</v>
      </c>
      <c r="X258" s="21" t="n">
        <v>45566.9063264873</v>
      </c>
      <c r="Y258" s="0"/>
      <c r="Z258" s="0"/>
      <c r="AA258" s="0"/>
      <c r="AB258" s="0"/>
      <c r="AC258" s="0"/>
      <c r="AD258" s="0"/>
      <c r="AE258" s="0"/>
      <c r="AF258" s="0"/>
      <c r="AG258" s="0"/>
    </row>
    <row r="259" customFormat="false" ht="12.75" hidden="false" customHeight="false" outlineLevel="0" collapsed="false">
      <c r="A259" s="22" t="s">
        <v>8</v>
      </c>
      <c r="B259" s="17" t="n">
        <f aca="false">NPV(0.1,D259:Y259)</f>
        <v>204852.994577107</v>
      </c>
      <c r="C259" s="17" t="n">
        <f aca="false">B259-B249</f>
        <v>-80.1392073124007</v>
      </c>
      <c r="D259" s="18" t="n">
        <v>22064.5879338725</v>
      </c>
      <c r="E259" s="19" t="n">
        <v>23427.4715163349</v>
      </c>
      <c r="F259" s="19" t="n">
        <v>23514.2130179909</v>
      </c>
      <c r="G259" s="19" t="n">
        <v>23604.1892423125</v>
      </c>
      <c r="H259" s="19" t="n">
        <v>23688.2920088914</v>
      </c>
      <c r="I259" s="19" t="n">
        <v>23768.8503381053</v>
      </c>
      <c r="J259" s="19" t="n">
        <v>23868.6043090494</v>
      </c>
      <c r="K259" s="19" t="n">
        <v>23966.6904700415</v>
      </c>
      <c r="L259" s="19" t="n">
        <v>24068.6837935224</v>
      </c>
      <c r="M259" s="19" t="n">
        <v>24174.6728899333</v>
      </c>
      <c r="N259" s="19" t="n">
        <v>24279.3728365985</v>
      </c>
      <c r="O259" s="20" t="n">
        <v>25170.7223996713</v>
      </c>
      <c r="P259" s="21" t="n">
        <v>25224.2906939805</v>
      </c>
      <c r="Q259" s="21" t="n">
        <v>25266.0578335604</v>
      </c>
      <c r="R259" s="21" t="n">
        <v>25312.4875951204</v>
      </c>
      <c r="S259" s="21" t="n">
        <v>25367.9966646435</v>
      </c>
      <c r="T259" s="21" t="n">
        <v>25400.0898459595</v>
      </c>
      <c r="U259" s="21" t="n">
        <v>25420.9624018563</v>
      </c>
      <c r="V259" s="21" t="n">
        <v>25447.0669204892</v>
      </c>
      <c r="W259" s="21" t="n">
        <v>25576.3615660868</v>
      </c>
      <c r="X259" s="21" t="n">
        <v>6893.71430404235</v>
      </c>
      <c r="Y259" s="0"/>
      <c r="Z259" s="0"/>
      <c r="AA259" s="0"/>
      <c r="AB259" s="0"/>
      <c r="AC259" s="0"/>
      <c r="AD259" s="0"/>
      <c r="AE259" s="0"/>
      <c r="AF259" s="0"/>
      <c r="AG259" s="0"/>
    </row>
    <row r="260" customFormat="false" ht="12.75" hidden="false" customHeight="false" outlineLevel="0" collapsed="false">
      <c r="A260" s="22" t="s">
        <v>9</v>
      </c>
      <c r="B260" s="17" t="n">
        <f aca="false">NPV(0.1,D260:Y260)</f>
        <v>88105.624824732</v>
      </c>
      <c r="C260" s="17" t="n">
        <f aca="false">B260-B250</f>
        <v>240.109924380886</v>
      </c>
      <c r="D260" s="18" t="n">
        <v>811.416629316175</v>
      </c>
      <c r="E260" s="19" t="n">
        <v>1271.89719363443</v>
      </c>
      <c r="F260" s="19" t="n">
        <v>1346.3256278624</v>
      </c>
      <c r="G260" s="19" t="n">
        <v>1426.0598914809</v>
      </c>
      <c r="H260" s="19" t="n">
        <v>7452.47338770606</v>
      </c>
      <c r="I260" s="19" t="n">
        <v>12595.9775447598</v>
      </c>
      <c r="J260" s="19" t="n">
        <v>13525.1331186254</v>
      </c>
      <c r="K260" s="19" t="n">
        <v>14115.0689465146</v>
      </c>
      <c r="L260" s="19" t="n">
        <v>14735.3409752226</v>
      </c>
      <c r="M260" s="19" t="n">
        <v>15388.1221756289</v>
      </c>
      <c r="N260" s="19" t="n">
        <v>16079.118311666</v>
      </c>
      <c r="O260" s="20" t="n">
        <v>16318.3901007332</v>
      </c>
      <c r="P260" s="21" t="n">
        <v>17194.929629745</v>
      </c>
      <c r="Q260" s="21" t="n">
        <v>18132.5897178133</v>
      </c>
      <c r="R260" s="21" t="n">
        <v>19125.2593248962</v>
      </c>
      <c r="S260" s="21" t="n">
        <v>20207.5901330855</v>
      </c>
      <c r="T260" s="21" t="n">
        <v>20635.9255991399</v>
      </c>
      <c r="U260" s="21" t="n">
        <v>20849.1996896163</v>
      </c>
      <c r="V260" s="21" t="n">
        <v>21048.0405768441</v>
      </c>
      <c r="W260" s="21" t="n">
        <v>21170.3295633059</v>
      </c>
      <c r="X260" s="21" t="n">
        <v>21449.447193908</v>
      </c>
      <c r="Y260" s="0"/>
      <c r="Z260" s="0"/>
      <c r="AA260" s="0"/>
      <c r="AB260" s="0"/>
      <c r="AC260" s="0"/>
      <c r="AD260" s="0"/>
      <c r="AE260" s="0"/>
      <c r="AF260" s="0"/>
      <c r="AG260" s="0"/>
    </row>
    <row r="261" customFormat="false" ht="12.75" hidden="false" customHeight="false" outlineLevel="0" collapsed="false">
      <c r="A261" s="22" t="s">
        <v>10</v>
      </c>
      <c r="B261" s="17" t="n">
        <f aca="false">NPV(0.1,D261:Y261)</f>
        <v>101258.084854119</v>
      </c>
      <c r="C261" s="17" t="n">
        <f aca="false">B261-B251</f>
        <v>-1411.92101113024</v>
      </c>
      <c r="D261" s="23" t="n">
        <v>2977.51498622776</v>
      </c>
      <c r="E261" s="24" t="n">
        <v>5546.07673252187</v>
      </c>
      <c r="F261" s="24" t="n">
        <v>4985.43550666742</v>
      </c>
      <c r="G261" s="24" t="n">
        <v>4974.40957826095</v>
      </c>
      <c r="H261" s="24" t="n">
        <v>14758.9049388877</v>
      </c>
      <c r="I261" s="24" t="n">
        <v>19437.1274884642</v>
      </c>
      <c r="J261" s="24" t="n">
        <v>13358.4623068899</v>
      </c>
      <c r="K261" s="24" t="n">
        <v>13266.116029033</v>
      </c>
      <c r="L261" s="24" t="n">
        <v>13145.8436641594</v>
      </c>
      <c r="M261" s="24" t="n">
        <v>13012.9886431893</v>
      </c>
      <c r="N261" s="24" t="n">
        <v>12838.8861707002</v>
      </c>
      <c r="O261" s="25" t="n">
        <v>13261.8219319182</v>
      </c>
      <c r="P261" s="21" t="n">
        <v>12245.0417558251</v>
      </c>
      <c r="Q261" s="21" t="n">
        <v>12039.0028678878</v>
      </c>
      <c r="R261" s="21" t="n">
        <v>11803.0167676678</v>
      </c>
      <c r="S261" s="21" t="n">
        <v>24540.4561541173</v>
      </c>
      <c r="T261" s="21" t="n">
        <v>23234.9547518155</v>
      </c>
      <c r="U261" s="21" t="n">
        <v>23431.887788767</v>
      </c>
      <c r="V261" s="21" t="n">
        <v>23630.7286759949</v>
      </c>
      <c r="W261" s="21" t="n">
        <v>23851.0639836062</v>
      </c>
      <c r="X261" s="21" t="n">
        <v>23852.3837042846</v>
      </c>
      <c r="Y261" s="0"/>
      <c r="Z261" s="0"/>
      <c r="AA261" s="0"/>
      <c r="AB261" s="0"/>
      <c r="AC261" s="0"/>
      <c r="AD261" s="0"/>
      <c r="AE261" s="0"/>
      <c r="AF261" s="0"/>
      <c r="AG261" s="0"/>
    </row>
    <row r="262" customFormat="false" ht="12.75" hidden="false" customHeight="false" outlineLevel="0" collapsed="false">
      <c r="A262" s="5"/>
      <c r="B262" s="5"/>
      <c r="C262" s="5"/>
      <c r="D262" s="0"/>
      <c r="E262" s="0"/>
      <c r="F262" s="0"/>
      <c r="G262" s="0"/>
      <c r="H262" s="0"/>
      <c r="I262" s="0"/>
      <c r="J262" s="0"/>
      <c r="K262" s="0"/>
      <c r="L262" s="0"/>
      <c r="M262" s="0"/>
      <c r="N262" s="0"/>
      <c r="O262" s="0"/>
      <c r="P262" s="0"/>
      <c r="Q262" s="0"/>
      <c r="R262" s="0"/>
      <c r="S262" s="0"/>
      <c r="T262" s="0"/>
      <c r="U262" s="0"/>
      <c r="V262" s="0"/>
      <c r="W262" s="0"/>
      <c r="X262" s="0"/>
      <c r="Y262" s="0"/>
      <c r="Z262" s="0"/>
      <c r="AA262" s="0"/>
      <c r="AB262" s="0"/>
      <c r="AC262" s="0"/>
      <c r="AD262" s="0"/>
      <c r="AE262" s="0"/>
      <c r="AF262" s="0"/>
      <c r="AG262" s="0"/>
    </row>
    <row r="263" customFormat="false" ht="12.75" hidden="false" customHeight="false" outlineLevel="0" collapsed="false">
      <c r="A263" s="26" t="s">
        <v>38</v>
      </c>
      <c r="B263" s="5"/>
      <c r="C263" s="5"/>
      <c r="D263" s="0"/>
      <c r="E263" s="0"/>
      <c r="F263" s="0"/>
      <c r="G263" s="0"/>
      <c r="H263" s="0"/>
      <c r="I263" s="0"/>
      <c r="J263" s="0"/>
      <c r="K263" s="0"/>
      <c r="L263" s="0"/>
      <c r="M263" s="0"/>
      <c r="N263" s="0"/>
      <c r="O263" s="0"/>
      <c r="P263" s="0"/>
      <c r="Q263" s="0"/>
      <c r="R263" s="0"/>
      <c r="S263" s="0"/>
      <c r="T263" s="0"/>
      <c r="U263" s="0"/>
      <c r="V263" s="0"/>
      <c r="W263" s="0"/>
      <c r="X263" s="0"/>
      <c r="Y263" s="0"/>
      <c r="Z263" s="0"/>
      <c r="AA263" s="0"/>
      <c r="AB263" s="0"/>
      <c r="AC263" s="0"/>
      <c r="AD263" s="0"/>
      <c r="AE263" s="0"/>
      <c r="AF263" s="0"/>
      <c r="AG263" s="0"/>
    </row>
    <row r="264" customFormat="false" ht="12.75" hidden="false" customHeight="false" outlineLevel="0" collapsed="false">
      <c r="A264" s="28" t="n">
        <v>36266</v>
      </c>
      <c r="B264" s="5"/>
      <c r="C264" s="5"/>
      <c r="D264" s="0"/>
      <c r="E264" s="0"/>
      <c r="F264" s="0"/>
      <c r="G264" s="0"/>
      <c r="H264" s="0"/>
      <c r="I264" s="0"/>
      <c r="J264" s="0"/>
      <c r="K264" s="0"/>
      <c r="L264" s="0"/>
      <c r="M264" s="0"/>
      <c r="N264" s="0"/>
      <c r="O264" s="0"/>
      <c r="P264" s="0"/>
      <c r="Q264" s="0"/>
      <c r="R264" s="0"/>
      <c r="S264" s="0"/>
      <c r="T264" s="0"/>
      <c r="U264" s="0"/>
      <c r="V264" s="0"/>
      <c r="W264" s="0"/>
      <c r="X264" s="0"/>
      <c r="Y264" s="0"/>
      <c r="Z264" s="0"/>
      <c r="AA264" s="0"/>
      <c r="AB264" s="0"/>
      <c r="AC264" s="0"/>
      <c r="AD264" s="0"/>
      <c r="AE264" s="0"/>
      <c r="AF264" s="0"/>
      <c r="AG264" s="0"/>
    </row>
    <row r="265" customFormat="false" ht="12.75" hidden="false" customHeight="false" outlineLevel="0" collapsed="false">
      <c r="A265" s="7" t="s">
        <v>2</v>
      </c>
      <c r="B265" s="8" t="n">
        <v>25958.4786624151</v>
      </c>
      <c r="C265" s="5" t="s">
        <v>14</v>
      </c>
      <c r="D265" s="0"/>
      <c r="E265" s="0"/>
      <c r="F265" s="0"/>
      <c r="G265" s="0"/>
      <c r="H265" s="0"/>
      <c r="I265" s="0"/>
      <c r="J265" s="0"/>
      <c r="K265" s="0"/>
      <c r="L265" s="0"/>
      <c r="M265" s="0"/>
      <c r="N265" s="0"/>
      <c r="O265" s="0"/>
      <c r="P265" s="0"/>
      <c r="Q265" s="0"/>
      <c r="R265" s="0"/>
      <c r="S265" s="0"/>
      <c r="T265" s="0"/>
      <c r="U265" s="0"/>
      <c r="V265" s="0"/>
      <c r="W265" s="0"/>
      <c r="X265" s="0"/>
      <c r="Y265" s="0"/>
      <c r="Z265" s="0"/>
      <c r="AA265" s="0"/>
      <c r="AB265" s="0"/>
      <c r="AC265" s="0"/>
      <c r="AD265" s="0"/>
      <c r="AE265" s="0"/>
      <c r="AF265" s="0"/>
      <c r="AG265" s="0"/>
    </row>
    <row r="266" customFormat="false" ht="12.75" hidden="false" customHeight="false" outlineLevel="0" collapsed="false">
      <c r="A266" s="9" t="s">
        <v>3</v>
      </c>
      <c r="B266" s="10" t="n">
        <v>55516.4640874924</v>
      </c>
      <c r="C266" s="5"/>
      <c r="D266" s="0"/>
      <c r="E266" s="0"/>
      <c r="F266" s="0"/>
      <c r="G266" s="0"/>
      <c r="H266" s="0"/>
      <c r="I266" s="0"/>
      <c r="J266" s="0"/>
      <c r="K266" s="0"/>
      <c r="L266" s="0"/>
      <c r="M266" s="0"/>
      <c r="N266" s="0"/>
      <c r="O266" s="0"/>
      <c r="P266" s="0"/>
      <c r="Q266" s="0"/>
      <c r="R266" s="0"/>
      <c r="S266" s="0"/>
      <c r="T266" s="0"/>
      <c r="U266" s="0"/>
      <c r="V266" s="0"/>
      <c r="W266" s="0"/>
      <c r="X266" s="0"/>
      <c r="Y266" s="0"/>
      <c r="Z266" s="0"/>
      <c r="AA266" s="0"/>
      <c r="AB266" s="0"/>
      <c r="AC266" s="0"/>
      <c r="AD266" s="0"/>
      <c r="AE266" s="0"/>
      <c r="AF266" s="0"/>
      <c r="AG266" s="0"/>
    </row>
    <row r="267" customFormat="false" ht="12.75" hidden="false" customHeight="false" outlineLevel="0" collapsed="false">
      <c r="A267" s="11" t="s">
        <v>4</v>
      </c>
      <c r="B267" s="12" t="s">
        <v>5</v>
      </c>
      <c r="C267" s="12" t="s">
        <v>6</v>
      </c>
      <c r="D267" s="13" t="n">
        <v>1999</v>
      </c>
      <c r="E267" s="14" t="n">
        <v>2000</v>
      </c>
      <c r="F267" s="14" t="n">
        <v>2001</v>
      </c>
      <c r="G267" s="14" t="n">
        <v>2002</v>
      </c>
      <c r="H267" s="14" t="n">
        <v>2003</v>
      </c>
      <c r="I267" s="14" t="n">
        <v>2004</v>
      </c>
      <c r="J267" s="14" t="n">
        <v>2005</v>
      </c>
      <c r="K267" s="14" t="n">
        <v>2006</v>
      </c>
      <c r="L267" s="14" t="n">
        <v>2007</v>
      </c>
      <c r="M267" s="14" t="n">
        <v>2008</v>
      </c>
      <c r="N267" s="14" t="n">
        <v>2009</v>
      </c>
      <c r="O267" s="15" t="n">
        <v>2010</v>
      </c>
      <c r="P267" s="16" t="n">
        <v>2011</v>
      </c>
      <c r="Q267" s="16" t="n">
        <v>2012</v>
      </c>
      <c r="R267" s="16" t="n">
        <v>2013</v>
      </c>
      <c r="S267" s="16" t="n">
        <v>2014</v>
      </c>
      <c r="T267" s="16" t="n">
        <v>2015</v>
      </c>
      <c r="U267" s="16" t="n">
        <v>2016</v>
      </c>
      <c r="V267" s="16" t="n">
        <v>2017</v>
      </c>
      <c r="W267" s="16" t="n">
        <v>2018</v>
      </c>
      <c r="X267" s="16" t="n">
        <v>2019</v>
      </c>
      <c r="Y267" s="0"/>
      <c r="Z267" s="0"/>
      <c r="AA267" s="0"/>
      <c r="AB267" s="0"/>
      <c r="AC267" s="0"/>
      <c r="AD267" s="0"/>
      <c r="AE267" s="0"/>
      <c r="AF267" s="0"/>
      <c r="AG267" s="0"/>
    </row>
    <row r="268" customFormat="false" ht="12.75" hidden="false" customHeight="false" outlineLevel="0" collapsed="false">
      <c r="A268" s="11" t="s">
        <v>7</v>
      </c>
      <c r="B268" s="17" t="n">
        <f aca="false">NPV(0.1,D268:Y268)</f>
        <v>412019.318934118</v>
      </c>
      <c r="C268" s="17" t="n">
        <f aca="false">B268-B258</f>
        <v>-16583.7030209505</v>
      </c>
      <c r="D268" s="18" t="n">
        <v>30674.26982176</v>
      </c>
      <c r="E268" s="19" t="n">
        <v>37905.02900896</v>
      </c>
      <c r="F268" s="19" t="n">
        <v>37961.430971776</v>
      </c>
      <c r="G268" s="19" t="n">
        <v>38019.5249934765</v>
      </c>
      <c r="H268" s="19" t="n">
        <v>46344.8981828212</v>
      </c>
      <c r="I268" s="19" t="n">
        <v>52469.0734553095</v>
      </c>
      <c r="J268" s="19" t="n">
        <v>52672.4057783454</v>
      </c>
      <c r="K268" s="19" t="n">
        <v>53451.1116549956</v>
      </c>
      <c r="L268" s="19" t="n">
        <v>54246.0570262679</v>
      </c>
      <c r="M268" s="19" t="n">
        <v>55057.5154265507</v>
      </c>
      <c r="N268" s="19" t="n">
        <v>55885.7621867503</v>
      </c>
      <c r="O268" s="20" t="n">
        <v>56731.0742959016</v>
      </c>
      <c r="P268" s="21" t="n">
        <v>57318.5308883891</v>
      </c>
      <c r="Q268" s="21" t="n">
        <v>57907.0992167832</v>
      </c>
      <c r="R268" s="21" t="n">
        <v>58496.3172743049</v>
      </c>
      <c r="S268" s="21" t="n">
        <v>59085.6943332064</v>
      </c>
      <c r="T268" s="21" t="n">
        <v>59674.7096373187</v>
      </c>
      <c r="U268" s="21" t="n">
        <v>60103.2952977555</v>
      </c>
      <c r="V268" s="21" t="n">
        <v>60520.8111663684</v>
      </c>
      <c r="W268" s="21" t="n">
        <v>60926.2073285538</v>
      </c>
      <c r="X268" s="21" t="n">
        <v>42777.9917558841</v>
      </c>
      <c r="Y268" s="0"/>
      <c r="Z268" s="0"/>
      <c r="AA268" s="0"/>
      <c r="AB268" s="0"/>
      <c r="AC268" s="0"/>
      <c r="AD268" s="0"/>
      <c r="AE268" s="0"/>
      <c r="AF268" s="0"/>
      <c r="AG268" s="0"/>
    </row>
    <row r="269" customFormat="false" ht="12.75" hidden="false" customHeight="false" outlineLevel="0" collapsed="false">
      <c r="A269" s="22" t="s">
        <v>8</v>
      </c>
      <c r="B269" s="17" t="n">
        <f aca="false">NPV(0.1,D269:Y269)</f>
        <v>204852.994577107</v>
      </c>
      <c r="C269" s="17" t="n">
        <f aca="false">B269-B259</f>
        <v>0</v>
      </c>
      <c r="D269" s="18" t="n">
        <v>22064.5879338725</v>
      </c>
      <c r="E269" s="19" t="n">
        <v>23427.4715163349</v>
      </c>
      <c r="F269" s="19" t="n">
        <v>23514.2130179909</v>
      </c>
      <c r="G269" s="19" t="n">
        <v>23604.1892423125</v>
      </c>
      <c r="H269" s="19" t="n">
        <v>23688.2920088914</v>
      </c>
      <c r="I269" s="19" t="n">
        <v>23768.8503381053</v>
      </c>
      <c r="J269" s="19" t="n">
        <v>23868.6043090494</v>
      </c>
      <c r="K269" s="19" t="n">
        <v>23966.6904700415</v>
      </c>
      <c r="L269" s="19" t="n">
        <v>24068.6837935224</v>
      </c>
      <c r="M269" s="19" t="n">
        <v>24174.6728899333</v>
      </c>
      <c r="N269" s="19" t="n">
        <v>24279.3728365985</v>
      </c>
      <c r="O269" s="20" t="n">
        <v>25170.7223996713</v>
      </c>
      <c r="P269" s="21" t="n">
        <v>25224.2906939805</v>
      </c>
      <c r="Q269" s="21" t="n">
        <v>25266.0578335604</v>
      </c>
      <c r="R269" s="21" t="n">
        <v>25312.4875951204</v>
      </c>
      <c r="S269" s="21" t="n">
        <v>25367.9966646435</v>
      </c>
      <c r="T269" s="21" t="n">
        <v>25400.0898459595</v>
      </c>
      <c r="U269" s="21" t="n">
        <v>25420.9624018563</v>
      </c>
      <c r="V269" s="21" t="n">
        <v>25447.0669204892</v>
      </c>
      <c r="W269" s="21" t="n">
        <v>25576.3615660868</v>
      </c>
      <c r="X269" s="21" t="n">
        <v>6893.71430404235</v>
      </c>
      <c r="Y269" s="0"/>
      <c r="Z269" s="0"/>
      <c r="AA269" s="0"/>
      <c r="AB269" s="0"/>
      <c r="AC269" s="0"/>
      <c r="AD269" s="0"/>
      <c r="AE269" s="0"/>
      <c r="AF269" s="0"/>
      <c r="AG269" s="0"/>
    </row>
    <row r="270" customFormat="false" ht="12.75" hidden="false" customHeight="false" outlineLevel="1" collapsed="false">
      <c r="A270" s="22" t="s">
        <v>9</v>
      </c>
      <c r="B270" s="17" t="n">
        <f aca="false">NPV(0.1,D270:Y270)</f>
        <v>80053.4940634034</v>
      </c>
      <c r="C270" s="17" t="n">
        <f aca="false">B270-B260</f>
        <v>-8052.13076132865</v>
      </c>
      <c r="D270" s="18" t="n">
        <v>996.964022386705</v>
      </c>
      <c r="E270" s="19" t="n">
        <v>1604.35836186116</v>
      </c>
      <c r="F270" s="19" t="n">
        <v>1704.55253662669</v>
      </c>
      <c r="G270" s="19" t="n">
        <v>1812.04938567444</v>
      </c>
      <c r="H270" s="19" t="n">
        <v>6970.62993510301</v>
      </c>
      <c r="I270" s="19" t="n">
        <v>11002.2905120964</v>
      </c>
      <c r="J270" s="19" t="n">
        <v>11408.9743953772</v>
      </c>
      <c r="K270" s="19" t="n">
        <v>12098.6348734093</v>
      </c>
      <c r="L270" s="19" t="n">
        <v>12830.5847439184</v>
      </c>
      <c r="M270" s="19" t="n">
        <v>13607.9496306822</v>
      </c>
      <c r="N270" s="19" t="n">
        <v>14437.4603689195</v>
      </c>
      <c r="O270" s="20" t="n">
        <v>14830.2807347869</v>
      </c>
      <c r="P270" s="21" t="n">
        <v>15618.5001620063</v>
      </c>
      <c r="Q270" s="21" t="n">
        <v>16461.6963995634</v>
      </c>
      <c r="R270" s="21" t="n">
        <v>17353.2945633015</v>
      </c>
      <c r="S270" s="21" t="n">
        <v>18327.4462133418</v>
      </c>
      <c r="T270" s="21" t="n">
        <v>18699.3773618039</v>
      </c>
      <c r="U270" s="21" t="n">
        <v>18954.287239383</v>
      </c>
      <c r="V270" s="21" t="n">
        <v>19199.0049543533</v>
      </c>
      <c r="W270" s="21" t="n">
        <v>19371.6287994274</v>
      </c>
      <c r="X270" s="21" t="n">
        <v>19705.7655122187</v>
      </c>
      <c r="Y270" s="0"/>
      <c r="Z270" s="0"/>
      <c r="AA270" s="0"/>
      <c r="AB270" s="0"/>
      <c r="AC270" s="0"/>
      <c r="AD270" s="0"/>
      <c r="AE270" s="0"/>
      <c r="AF270" s="0"/>
      <c r="AG270" s="0"/>
    </row>
    <row r="271" customFormat="false" ht="12.75" hidden="false" customHeight="false" outlineLevel="1" collapsed="false">
      <c r="A271" s="22" t="s">
        <v>10</v>
      </c>
      <c r="B271" s="17" t="n">
        <f aca="false">NPV(0.1,D271:Y271)</f>
        <v>94974.8736819079</v>
      </c>
      <c r="C271" s="17" t="n">
        <f aca="false">B271-B261</f>
        <v>-6283.2111722109</v>
      </c>
      <c r="D271" s="23" t="n">
        <v>2977.51498622776</v>
      </c>
      <c r="E271" s="24" t="n">
        <v>5546.07673252187</v>
      </c>
      <c r="F271" s="24" t="n">
        <v>4985.43550666741</v>
      </c>
      <c r="G271" s="24" t="n">
        <v>4974.40957826095</v>
      </c>
      <c r="H271" s="24" t="n">
        <v>13866.2772458487</v>
      </c>
      <c r="I271" s="24" t="n">
        <v>17567.9926236043</v>
      </c>
      <c r="J271" s="24" t="n">
        <v>12584.5105874184</v>
      </c>
      <c r="K271" s="24" t="n">
        <v>12188.7462216361</v>
      </c>
      <c r="L271" s="24" t="n">
        <v>12154.1489600009</v>
      </c>
      <c r="M271" s="24" t="n">
        <v>12110.3596320694</v>
      </c>
      <c r="N271" s="24" t="n">
        <v>12028.6222062764</v>
      </c>
      <c r="O271" s="25" t="n">
        <v>12547.1052008912</v>
      </c>
      <c r="P271" s="21" t="n">
        <v>11535.9383956792</v>
      </c>
      <c r="Q271" s="21" t="n">
        <v>11337.8456695743</v>
      </c>
      <c r="R271" s="21" t="n">
        <v>11112.3816570526</v>
      </c>
      <c r="S271" s="21" t="n">
        <v>22660.3122343735</v>
      </c>
      <c r="T271" s="21" t="n">
        <v>21298.4065144795</v>
      </c>
      <c r="U271" s="21" t="n">
        <v>21536.9753385337</v>
      </c>
      <c r="V271" s="21" t="n">
        <v>21781.693053504</v>
      </c>
      <c r="W271" s="21" t="n">
        <v>22052.3632197276</v>
      </c>
      <c r="X271" s="21" t="n">
        <v>22108.7020225953</v>
      </c>
      <c r="Y271" s="0"/>
      <c r="Z271" s="0"/>
      <c r="AA271" s="0"/>
      <c r="AB271" s="0"/>
      <c r="AC271" s="0"/>
      <c r="AD271" s="0"/>
      <c r="AE271" s="0"/>
      <c r="AF271" s="0"/>
      <c r="AG271" s="0"/>
    </row>
    <row r="272" customFormat="false" ht="12.75" hidden="false" customHeight="false" outlineLevel="1" collapsed="false">
      <c r="A272" s="5"/>
      <c r="B272" s="5"/>
      <c r="C272" s="5"/>
      <c r="D272" s="0"/>
      <c r="E272" s="0"/>
      <c r="F272" s="0"/>
      <c r="G272" s="0"/>
      <c r="H272" s="0"/>
      <c r="I272" s="0"/>
      <c r="J272" s="0"/>
      <c r="K272" s="0"/>
      <c r="L272" s="0"/>
      <c r="M272" s="0"/>
      <c r="N272" s="0"/>
      <c r="O272" s="0"/>
      <c r="P272" s="0"/>
      <c r="Q272" s="0"/>
      <c r="R272" s="0"/>
      <c r="S272" s="0"/>
      <c r="T272" s="0"/>
      <c r="U272" s="0"/>
      <c r="V272" s="0"/>
      <c r="W272" s="0"/>
      <c r="X272" s="0"/>
      <c r="Y272" s="0"/>
      <c r="Z272" s="0"/>
      <c r="AA272" s="0"/>
      <c r="AB272" s="0"/>
      <c r="AC272" s="0"/>
      <c r="AD272" s="0"/>
      <c r="AE272" s="0"/>
      <c r="AF272" s="0"/>
      <c r="AG272" s="0"/>
    </row>
    <row r="273" customFormat="false" ht="12.75" hidden="false" customHeight="false" outlineLevel="1" collapsed="false">
      <c r="A273" s="26" t="s">
        <v>39</v>
      </c>
      <c r="B273" s="5"/>
      <c r="C273" s="5"/>
      <c r="D273" s="0"/>
      <c r="E273" s="0"/>
      <c r="F273" s="0"/>
      <c r="G273" s="0"/>
      <c r="H273" s="0"/>
      <c r="I273" s="0"/>
      <c r="J273" s="0"/>
      <c r="K273" s="0"/>
      <c r="L273" s="0"/>
      <c r="M273" s="0"/>
      <c r="N273" s="0"/>
      <c r="O273" s="0"/>
      <c r="P273" s="0"/>
      <c r="Q273" s="0"/>
      <c r="R273" s="0"/>
      <c r="S273" s="0"/>
      <c r="T273" s="0"/>
      <c r="U273" s="0"/>
      <c r="V273" s="0"/>
      <c r="W273" s="0"/>
      <c r="X273" s="0"/>
      <c r="Y273" s="0"/>
      <c r="Z273" s="0"/>
      <c r="AA273" s="0"/>
      <c r="AB273" s="0"/>
      <c r="AC273" s="0"/>
      <c r="AD273" s="0"/>
      <c r="AE273" s="0"/>
      <c r="AF273" s="0"/>
      <c r="AG273" s="0"/>
    </row>
    <row r="274" customFormat="false" ht="12.75" hidden="false" customHeight="false" outlineLevel="1" collapsed="false">
      <c r="A274" s="28" t="n">
        <v>36266</v>
      </c>
      <c r="B274" s="5"/>
      <c r="C274" s="5"/>
      <c r="D274" s="0"/>
      <c r="E274" s="0"/>
      <c r="F274" s="0"/>
      <c r="G274" s="0"/>
      <c r="H274" s="0"/>
      <c r="I274" s="0"/>
      <c r="J274" s="0"/>
      <c r="K274" s="0"/>
      <c r="L274" s="0"/>
      <c r="M274" s="0"/>
      <c r="N274" s="0"/>
      <c r="O274" s="0"/>
      <c r="P274" s="0"/>
      <c r="Q274" s="0"/>
      <c r="R274" s="0"/>
      <c r="S274" s="0"/>
      <c r="T274" s="0"/>
      <c r="U274" s="0"/>
      <c r="V274" s="0"/>
      <c r="W274" s="0"/>
      <c r="X274" s="0"/>
      <c r="Y274" s="0"/>
      <c r="Z274" s="0"/>
      <c r="AA274" s="0"/>
      <c r="AB274" s="0"/>
      <c r="AC274" s="0"/>
      <c r="AD274" s="0"/>
      <c r="AE274" s="0"/>
      <c r="AF274" s="0"/>
      <c r="AG274" s="0"/>
    </row>
    <row r="275" customFormat="false" ht="12.75" hidden="false" customHeight="false" outlineLevel="1" collapsed="false">
      <c r="A275" s="7" t="s">
        <v>2</v>
      </c>
      <c r="B275" s="8" t="n">
        <v>25961.4739609346</v>
      </c>
      <c r="C275" s="5"/>
      <c r="D275" s="0"/>
      <c r="E275" s="0"/>
      <c r="F275" s="0"/>
      <c r="G275" s="0"/>
      <c r="H275" s="0"/>
      <c r="I275" s="0"/>
      <c r="J275" s="0"/>
      <c r="K275" s="0"/>
      <c r="L275" s="0"/>
      <c r="M275" s="0"/>
      <c r="N275" s="0"/>
      <c r="O275" s="0"/>
      <c r="P275" s="0"/>
      <c r="Q275" s="0"/>
      <c r="R275" s="0"/>
      <c r="S275" s="0"/>
      <c r="T275" s="0"/>
      <c r="U275" s="0"/>
      <c r="V275" s="0"/>
      <c r="W275" s="0"/>
      <c r="X275" s="0"/>
      <c r="Y275" s="0"/>
      <c r="Z275" s="0"/>
      <c r="AA275" s="0"/>
      <c r="AB275" s="0"/>
      <c r="AC275" s="0"/>
      <c r="AD275" s="0"/>
      <c r="AE275" s="0"/>
      <c r="AF275" s="0"/>
      <c r="AG275" s="0"/>
    </row>
    <row r="276" customFormat="false" ht="12.75" hidden="false" customHeight="false" outlineLevel="1" collapsed="false">
      <c r="A276" s="9" t="s">
        <v>3</v>
      </c>
      <c r="B276" s="10" t="n">
        <v>55520.2162134948</v>
      </c>
      <c r="C276" s="5"/>
      <c r="D276" s="0"/>
      <c r="E276" s="0"/>
      <c r="F276" s="0"/>
      <c r="G276" s="0"/>
      <c r="H276" s="0"/>
      <c r="I276" s="0"/>
      <c r="J276" s="0"/>
      <c r="K276" s="0"/>
      <c r="L276" s="0"/>
      <c r="M276" s="0"/>
      <c r="N276" s="0"/>
      <c r="O276" s="0"/>
      <c r="P276" s="0"/>
      <c r="Q276" s="0"/>
      <c r="R276" s="0"/>
      <c r="S276" s="0"/>
      <c r="T276" s="0"/>
      <c r="U276" s="0"/>
      <c r="V276" s="0"/>
      <c r="W276" s="0"/>
      <c r="X276" s="0"/>
      <c r="Y276" s="0"/>
      <c r="Z276" s="0"/>
      <c r="AA276" s="0"/>
      <c r="AB276" s="0"/>
      <c r="AC276" s="0"/>
      <c r="AD276" s="0"/>
      <c r="AE276" s="0"/>
      <c r="AF276" s="0"/>
      <c r="AG276" s="0"/>
    </row>
    <row r="277" customFormat="false" ht="12.75" hidden="false" customHeight="false" outlineLevel="1" collapsed="false">
      <c r="A277" s="11" t="s">
        <v>4</v>
      </c>
      <c r="B277" s="12" t="s">
        <v>5</v>
      </c>
      <c r="C277" s="12" t="s">
        <v>6</v>
      </c>
      <c r="D277" s="13" t="n">
        <v>1999</v>
      </c>
      <c r="E277" s="14" t="n">
        <v>2000</v>
      </c>
      <c r="F277" s="14" t="n">
        <v>2001</v>
      </c>
      <c r="G277" s="14" t="n">
        <v>2002</v>
      </c>
      <c r="H277" s="14" t="n">
        <v>2003</v>
      </c>
      <c r="I277" s="14" t="n">
        <v>2004</v>
      </c>
      <c r="J277" s="14" t="n">
        <v>2005</v>
      </c>
      <c r="K277" s="14" t="n">
        <v>2006</v>
      </c>
      <c r="L277" s="14" t="n">
        <v>2007</v>
      </c>
      <c r="M277" s="14" t="n">
        <v>2008</v>
      </c>
      <c r="N277" s="14" t="n">
        <v>2009</v>
      </c>
      <c r="O277" s="15" t="n">
        <v>2010</v>
      </c>
      <c r="P277" s="16" t="n">
        <v>2011</v>
      </c>
      <c r="Q277" s="16" t="n">
        <v>2012</v>
      </c>
      <c r="R277" s="16" t="n">
        <v>2013</v>
      </c>
      <c r="S277" s="16" t="n">
        <v>2014</v>
      </c>
      <c r="T277" s="16" t="n">
        <v>2015</v>
      </c>
      <c r="U277" s="16" t="n">
        <v>2016</v>
      </c>
      <c r="V277" s="16" t="n">
        <v>2017</v>
      </c>
      <c r="W277" s="16" t="n">
        <v>2018</v>
      </c>
      <c r="X277" s="16" t="n">
        <v>2019</v>
      </c>
      <c r="Y277" s="0"/>
      <c r="Z277" s="0"/>
      <c r="AA277" s="0"/>
      <c r="AB277" s="0"/>
      <c r="AC277" s="0"/>
      <c r="AD277" s="0"/>
      <c r="AE277" s="0"/>
      <c r="AF277" s="0"/>
      <c r="AG277" s="0"/>
    </row>
    <row r="278" customFormat="false" ht="12.75" hidden="false" customHeight="false" outlineLevel="1" collapsed="false">
      <c r="A278" s="11" t="s">
        <v>7</v>
      </c>
      <c r="B278" s="17" t="n">
        <f aca="false">NPV(0.1,D278:Y278)</f>
        <v>413781.780819</v>
      </c>
      <c r="C278" s="17" t="n">
        <f aca="false">B278-B268</f>
        <v>1762.4618848823</v>
      </c>
      <c r="D278" s="18" t="n">
        <v>30878.05340176</v>
      </c>
      <c r="E278" s="19" t="n">
        <v>38108.81258896</v>
      </c>
      <c r="F278" s="19" t="n">
        <v>38165.214551776</v>
      </c>
      <c r="G278" s="19" t="n">
        <v>38223.3085734765</v>
      </c>
      <c r="H278" s="19" t="n">
        <v>46548.6817628212</v>
      </c>
      <c r="I278" s="19" t="n">
        <v>52672.8570353095</v>
      </c>
      <c r="J278" s="19" t="n">
        <v>52876.1893583454</v>
      </c>
      <c r="K278" s="19" t="n">
        <v>53654.8952349956</v>
      </c>
      <c r="L278" s="19" t="n">
        <v>54449.8406062679</v>
      </c>
      <c r="M278" s="19" t="n">
        <v>55261.2990065507</v>
      </c>
      <c r="N278" s="19" t="n">
        <v>56089.5457667503</v>
      </c>
      <c r="O278" s="20" t="n">
        <v>56934.8578759016</v>
      </c>
      <c r="P278" s="21" t="n">
        <v>57522.3144683891</v>
      </c>
      <c r="Q278" s="21" t="n">
        <v>58110.8827967832</v>
      </c>
      <c r="R278" s="21" t="n">
        <v>58700.1008543049</v>
      </c>
      <c r="S278" s="21" t="n">
        <v>59289.4779132064</v>
      </c>
      <c r="T278" s="21" t="n">
        <v>59878.4932173187</v>
      </c>
      <c r="U278" s="21" t="n">
        <v>60307.0788777555</v>
      </c>
      <c r="V278" s="21" t="n">
        <v>60724.5947463684</v>
      </c>
      <c r="W278" s="21" t="n">
        <v>61129.9909085538</v>
      </c>
      <c r="X278" s="21" t="n">
        <v>42981.7753358841</v>
      </c>
      <c r="Y278" s="0"/>
      <c r="Z278" s="0"/>
      <c r="AA278" s="0"/>
      <c r="AB278" s="0"/>
      <c r="AC278" s="0"/>
      <c r="AD278" s="0"/>
      <c r="AE278" s="0"/>
      <c r="AF278" s="0"/>
      <c r="AG278" s="0"/>
    </row>
    <row r="279" customFormat="false" ht="12.75" hidden="false" customHeight="false" outlineLevel="1" collapsed="false">
      <c r="A279" s="22" t="s">
        <v>8</v>
      </c>
      <c r="B279" s="17" t="n">
        <f aca="false">NPV(0.1,D279:Y279)</f>
        <v>206611.961500207</v>
      </c>
      <c r="C279" s="17" t="n">
        <f aca="false">B279-B269</f>
        <v>1758.96692309954</v>
      </c>
      <c r="D279" s="18" t="n">
        <v>22268.0840078571</v>
      </c>
      <c r="E279" s="19" t="n">
        <v>23630.4521482959</v>
      </c>
      <c r="F279" s="19" t="n">
        <v>23716.6377435202</v>
      </c>
      <c r="G279" s="19" t="n">
        <v>23806.014433017</v>
      </c>
      <c r="H279" s="19" t="n">
        <v>23890.8622085662</v>
      </c>
      <c r="I279" s="19" t="n">
        <v>23973.5940123571</v>
      </c>
      <c r="J279" s="19" t="n">
        <v>24072.3878890494</v>
      </c>
      <c r="K279" s="19" t="n">
        <v>24170.4740500415</v>
      </c>
      <c r="L279" s="19" t="n">
        <v>24272.4673735224</v>
      </c>
      <c r="M279" s="19" t="n">
        <v>24378.4564699333</v>
      </c>
      <c r="N279" s="19" t="n">
        <v>24483.1564165985</v>
      </c>
      <c r="O279" s="20" t="n">
        <v>25374.5059796713</v>
      </c>
      <c r="P279" s="21" t="n">
        <v>25428.0742739805</v>
      </c>
      <c r="Q279" s="21" t="n">
        <v>25469.8414135604</v>
      </c>
      <c r="R279" s="21" t="n">
        <v>25516.2711751204</v>
      </c>
      <c r="S279" s="21" t="n">
        <v>25571.7802446435</v>
      </c>
      <c r="T279" s="21" t="n">
        <v>25603.8734259595</v>
      </c>
      <c r="U279" s="21" t="n">
        <v>25624.7459818563</v>
      </c>
      <c r="V279" s="21" t="n">
        <v>25650.8505004892</v>
      </c>
      <c r="W279" s="21" t="n">
        <v>25780.1451460868</v>
      </c>
      <c r="X279" s="21" t="n">
        <v>7097.49788404235</v>
      </c>
      <c r="Y279" s="0"/>
      <c r="Z279" s="0"/>
      <c r="AA279" s="0"/>
      <c r="AB279" s="0"/>
      <c r="AC279" s="0"/>
      <c r="AD279" s="0"/>
      <c r="AE279" s="0"/>
      <c r="AF279" s="0"/>
      <c r="AG279" s="0"/>
    </row>
    <row r="280" customFormat="false" ht="12.75" hidden="false" customHeight="false" outlineLevel="1" collapsed="false">
      <c r="A280" s="22" t="s">
        <v>9</v>
      </c>
      <c r="B280" s="17" t="n">
        <f aca="false">NPV(0.1,D280:Y280)</f>
        <v>80055.408856743</v>
      </c>
      <c r="C280" s="17" t="n">
        <f aca="false">B280-B270</f>
        <v>1.91479333963071</v>
      </c>
      <c r="D280" s="18" t="n">
        <v>997.074108568257</v>
      </c>
      <c r="E280" s="19" t="n">
        <v>1604.74472259682</v>
      </c>
      <c r="F280" s="19" t="n">
        <v>1705.30311442359</v>
      </c>
      <c r="G280" s="19" t="n">
        <v>1813.21048423361</v>
      </c>
      <c r="H280" s="19" t="n">
        <v>6971.38262783847</v>
      </c>
      <c r="I280" s="19" t="n">
        <v>11001.7078093374</v>
      </c>
      <c r="J280" s="19" t="n">
        <v>11408.9743953772</v>
      </c>
      <c r="K280" s="19" t="n">
        <v>12098.6348734093</v>
      </c>
      <c r="L280" s="19" t="n">
        <v>12830.5847439184</v>
      </c>
      <c r="M280" s="19" t="n">
        <v>13607.9496306822</v>
      </c>
      <c r="N280" s="19" t="n">
        <v>14437.4603689195</v>
      </c>
      <c r="O280" s="20" t="n">
        <v>14830.2807347869</v>
      </c>
      <c r="P280" s="21" t="n">
        <v>15618.5001620063</v>
      </c>
      <c r="Q280" s="21" t="n">
        <v>16461.6963995634</v>
      </c>
      <c r="R280" s="21" t="n">
        <v>17353.2945633015</v>
      </c>
      <c r="S280" s="21" t="n">
        <v>18327.4462133418</v>
      </c>
      <c r="T280" s="21" t="n">
        <v>18699.3773618039</v>
      </c>
      <c r="U280" s="21" t="n">
        <v>18954.287239383</v>
      </c>
      <c r="V280" s="21" t="n">
        <v>19199.0049543533</v>
      </c>
      <c r="W280" s="21" t="n">
        <v>19371.6287994274</v>
      </c>
      <c r="X280" s="21" t="n">
        <v>19705.7655122187</v>
      </c>
      <c r="Y280" s="0"/>
      <c r="Z280" s="0"/>
      <c r="AA280" s="0"/>
      <c r="AB280" s="0"/>
      <c r="AC280" s="0"/>
      <c r="AD280" s="0"/>
      <c r="AE280" s="0"/>
      <c r="AF280" s="0"/>
      <c r="AG280" s="0"/>
    </row>
    <row r="281" customFormat="false" ht="12.75" hidden="false" customHeight="false" outlineLevel="1" collapsed="false">
      <c r="A281" s="22" t="s">
        <v>10</v>
      </c>
      <c r="B281" s="17" t="n">
        <f aca="false">NPV(0.1,D281:Y281)</f>
        <v>94975.319249428</v>
      </c>
      <c r="C281" s="17" t="n">
        <f aca="false">B281-B271</f>
        <v>0.445567520146142</v>
      </c>
      <c r="D281" s="23" t="n">
        <v>2977.61441539143</v>
      </c>
      <c r="E281" s="24" t="n">
        <v>5546.3544187187</v>
      </c>
      <c r="F281" s="24" t="n">
        <v>4985.90544383851</v>
      </c>
      <c r="G281" s="24" t="n">
        <v>4975.08685455896</v>
      </c>
      <c r="H281" s="24" t="n">
        <v>13867.0204412979</v>
      </c>
      <c r="I281" s="24" t="n">
        <v>17567.4045658751</v>
      </c>
      <c r="J281" s="24" t="n">
        <v>12582.9136184824</v>
      </c>
      <c r="K281" s="24" t="n">
        <v>12188.7462216361</v>
      </c>
      <c r="L281" s="24" t="n">
        <v>12154.1489600009</v>
      </c>
      <c r="M281" s="24" t="n">
        <v>12110.3596320694</v>
      </c>
      <c r="N281" s="24" t="n">
        <v>12028.6222062764</v>
      </c>
      <c r="O281" s="25" t="n">
        <v>12547.1052008911</v>
      </c>
      <c r="P281" s="21" t="n">
        <v>11535.9383956792</v>
      </c>
      <c r="Q281" s="21" t="n">
        <v>11337.8456695743</v>
      </c>
      <c r="R281" s="21" t="n">
        <v>11112.3816570526</v>
      </c>
      <c r="S281" s="21" t="n">
        <v>22660.3122343735</v>
      </c>
      <c r="T281" s="21" t="n">
        <v>21298.4065144795</v>
      </c>
      <c r="U281" s="21" t="n">
        <v>21536.9753385337</v>
      </c>
      <c r="V281" s="21" t="n">
        <v>21781.6930535041</v>
      </c>
      <c r="W281" s="21" t="n">
        <v>22052.3632197276</v>
      </c>
      <c r="X281" s="21" t="n">
        <v>22108.7020225953</v>
      </c>
      <c r="Y281" s="0"/>
      <c r="Z281" s="0"/>
      <c r="AA281" s="0"/>
      <c r="AB281" s="0"/>
      <c r="AC281" s="0"/>
      <c r="AD281" s="0"/>
      <c r="AE281" s="0"/>
      <c r="AF281" s="0"/>
      <c r="AG281" s="0"/>
    </row>
    <row r="282" customFormat="false" ht="12.75" hidden="false" customHeight="false" outlineLevel="1" collapsed="false">
      <c r="A282" s="5"/>
      <c r="B282" s="5"/>
      <c r="C282" s="5"/>
      <c r="D282" s="0"/>
      <c r="E282" s="0"/>
      <c r="F282" s="0"/>
      <c r="G282" s="0"/>
      <c r="H282" s="0"/>
      <c r="I282" s="0"/>
      <c r="J282" s="0"/>
      <c r="K282" s="0"/>
      <c r="L282" s="0"/>
      <c r="M282" s="0"/>
      <c r="N282" s="0"/>
      <c r="O282" s="0"/>
      <c r="P282" s="0"/>
      <c r="Q282" s="0"/>
      <c r="R282" s="0"/>
      <c r="S282" s="0"/>
      <c r="T282" s="0"/>
      <c r="U282" s="0"/>
      <c r="V282" s="0"/>
      <c r="W282" s="0"/>
      <c r="X282" s="0"/>
      <c r="Y282" s="0"/>
      <c r="Z282" s="0"/>
      <c r="AA282" s="0"/>
      <c r="AB282" s="0"/>
      <c r="AC282" s="0"/>
      <c r="AD282" s="0"/>
      <c r="AE282" s="0"/>
      <c r="AF282" s="0"/>
      <c r="AG282" s="0"/>
    </row>
    <row r="283" customFormat="false" ht="12.75" hidden="false" customHeight="false" outlineLevel="1" collapsed="false">
      <c r="A283" s="26" t="s">
        <v>40</v>
      </c>
      <c r="B283" s="5"/>
      <c r="C283" s="5"/>
      <c r="D283" s="0"/>
      <c r="E283" s="0"/>
      <c r="F283" s="0"/>
      <c r="G283" s="0"/>
      <c r="H283" s="0"/>
      <c r="I283" s="0"/>
      <c r="J283" s="0"/>
      <c r="K283" s="0"/>
      <c r="L283" s="0"/>
      <c r="M283" s="0"/>
      <c r="N283" s="0"/>
      <c r="O283" s="0"/>
      <c r="P283" s="0"/>
      <c r="Q283" s="0"/>
      <c r="R283" s="0"/>
      <c r="S283" s="0"/>
      <c r="T283" s="0"/>
      <c r="U283" s="0"/>
      <c r="V283" s="0"/>
      <c r="W283" s="0"/>
      <c r="X283" s="0"/>
      <c r="Y283" s="0"/>
      <c r="Z283" s="0"/>
      <c r="AA283" s="0"/>
      <c r="AB283" s="0"/>
      <c r="AC283" s="0"/>
      <c r="AD283" s="0"/>
      <c r="AE283" s="0"/>
      <c r="AF283" s="0"/>
      <c r="AG283" s="0"/>
    </row>
    <row r="284" customFormat="false" ht="12.75" hidden="false" customHeight="false" outlineLevel="1" collapsed="false">
      <c r="A284" s="28" t="n">
        <v>36266</v>
      </c>
      <c r="B284" s="5"/>
      <c r="C284" s="5"/>
      <c r="D284" s="0"/>
      <c r="E284" s="0"/>
      <c r="F284" s="0"/>
      <c r="G284" s="0"/>
      <c r="H284" s="0"/>
      <c r="I284" s="0"/>
      <c r="J284" s="0"/>
      <c r="K284" s="0"/>
      <c r="L284" s="0"/>
      <c r="M284" s="0"/>
      <c r="N284" s="0"/>
      <c r="O284" s="0"/>
      <c r="P284" s="0"/>
      <c r="Q284" s="0"/>
      <c r="R284" s="0"/>
      <c r="S284" s="0"/>
      <c r="T284" s="0"/>
      <c r="U284" s="0"/>
      <c r="V284" s="0"/>
      <c r="W284" s="0"/>
      <c r="X284" s="0"/>
      <c r="Y284" s="0"/>
      <c r="Z284" s="0"/>
      <c r="AA284" s="0"/>
      <c r="AB284" s="0"/>
      <c r="AC284" s="0"/>
      <c r="AD284" s="0"/>
      <c r="AE284" s="0"/>
      <c r="AF284" s="0"/>
      <c r="AG284" s="0"/>
    </row>
    <row r="285" customFormat="false" ht="12.75" hidden="false" customHeight="false" outlineLevel="1" collapsed="false">
      <c r="A285" s="7" t="s">
        <v>2</v>
      </c>
      <c r="B285" s="8" t="n">
        <v>25961.4739609346</v>
      </c>
      <c r="C285" s="5"/>
      <c r="D285" s="0"/>
      <c r="E285" s="0"/>
      <c r="F285" s="0"/>
      <c r="G285" s="0"/>
      <c r="H285" s="0"/>
      <c r="I285" s="0"/>
      <c r="J285" s="0"/>
      <c r="K285" s="0"/>
      <c r="L285" s="0"/>
      <c r="M285" s="0"/>
      <c r="N285" s="0"/>
      <c r="O285" s="0"/>
      <c r="P285" s="0"/>
      <c r="Q285" s="0"/>
      <c r="R285" s="0"/>
      <c r="S285" s="0"/>
      <c r="T285" s="0"/>
      <c r="U285" s="0"/>
      <c r="V285" s="0"/>
      <c r="W285" s="0"/>
      <c r="X285" s="0"/>
      <c r="Y285" s="0"/>
      <c r="Z285" s="0"/>
      <c r="AA285" s="0"/>
      <c r="AB285" s="0"/>
      <c r="AC285" s="0"/>
      <c r="AD285" s="0"/>
      <c r="AE285" s="0"/>
      <c r="AF285" s="0"/>
      <c r="AG285" s="0"/>
    </row>
    <row r="286" customFormat="false" ht="12.75" hidden="false" customHeight="false" outlineLevel="1" collapsed="false">
      <c r="A286" s="9" t="s">
        <v>3</v>
      </c>
      <c r="B286" s="10" t="n">
        <v>55520.2162134949</v>
      </c>
      <c r="C286" s="5"/>
      <c r="D286" s="0"/>
      <c r="E286" s="0"/>
      <c r="F286" s="0"/>
      <c r="G286" s="0"/>
      <c r="H286" s="0"/>
      <c r="I286" s="0"/>
      <c r="J286" s="0"/>
      <c r="K286" s="0"/>
      <c r="L286" s="0"/>
      <c r="M286" s="0"/>
      <c r="N286" s="0"/>
      <c r="O286" s="0"/>
      <c r="P286" s="0"/>
      <c r="Q286" s="0"/>
      <c r="R286" s="0"/>
      <c r="S286" s="0"/>
      <c r="T286" s="0"/>
      <c r="U286" s="0"/>
      <c r="V286" s="0"/>
      <c r="W286" s="0"/>
      <c r="X286" s="0"/>
      <c r="Y286" s="0"/>
      <c r="Z286" s="0"/>
      <c r="AA286" s="0"/>
      <c r="AB286" s="0"/>
      <c r="AC286" s="0"/>
      <c r="AD286" s="0"/>
      <c r="AE286" s="0"/>
      <c r="AF286" s="0"/>
      <c r="AG286" s="0"/>
    </row>
    <row r="287" customFormat="false" ht="12.75" hidden="false" customHeight="false" outlineLevel="1" collapsed="false">
      <c r="A287" s="11" t="s">
        <v>4</v>
      </c>
      <c r="B287" s="12" t="s">
        <v>5</v>
      </c>
      <c r="C287" s="12" t="s">
        <v>6</v>
      </c>
      <c r="D287" s="13" t="n">
        <v>1999</v>
      </c>
      <c r="E287" s="14" t="n">
        <v>2000</v>
      </c>
      <c r="F287" s="14" t="n">
        <v>2001</v>
      </c>
      <c r="G287" s="14" t="n">
        <v>2002</v>
      </c>
      <c r="H287" s="14" t="n">
        <v>2003</v>
      </c>
      <c r="I287" s="14" t="n">
        <v>2004</v>
      </c>
      <c r="J287" s="14" t="n">
        <v>2005</v>
      </c>
      <c r="K287" s="14" t="n">
        <v>2006</v>
      </c>
      <c r="L287" s="14" t="n">
        <v>2007</v>
      </c>
      <c r="M287" s="14" t="n">
        <v>2008</v>
      </c>
      <c r="N287" s="14" t="n">
        <v>2009</v>
      </c>
      <c r="O287" s="15" t="n">
        <v>2010</v>
      </c>
      <c r="P287" s="16" t="n">
        <v>2011</v>
      </c>
      <c r="Q287" s="16" t="n">
        <v>2012</v>
      </c>
      <c r="R287" s="16" t="n">
        <v>2013</v>
      </c>
      <c r="S287" s="16" t="n">
        <v>2014</v>
      </c>
      <c r="T287" s="16" t="n">
        <v>2015</v>
      </c>
      <c r="U287" s="16" t="n">
        <v>2016</v>
      </c>
      <c r="V287" s="16" t="n">
        <v>2017</v>
      </c>
      <c r="W287" s="16" t="n">
        <v>2018</v>
      </c>
      <c r="X287" s="16" t="n">
        <v>2019</v>
      </c>
      <c r="Y287" s="0"/>
      <c r="Z287" s="0"/>
      <c r="AA287" s="0"/>
      <c r="AB287" s="0"/>
      <c r="AC287" s="0"/>
      <c r="AD287" s="0"/>
      <c r="AE287" s="0"/>
      <c r="AF287" s="0"/>
      <c r="AG287" s="0"/>
    </row>
    <row r="288" customFormat="false" ht="12.75" hidden="false" customHeight="false" outlineLevel="1" collapsed="false">
      <c r="A288" s="11" t="s">
        <v>7</v>
      </c>
      <c r="B288" s="17" t="n">
        <f aca="false">NPV(0.1,D288:Y288)</f>
        <v>393350.509605065</v>
      </c>
      <c r="C288" s="17" t="n">
        <f aca="false">B288-B278</f>
        <v>-20431.2712139352</v>
      </c>
      <c r="D288" s="18" t="n">
        <v>28479.210784</v>
      </c>
      <c r="E288" s="19" t="n">
        <v>35709.852064</v>
      </c>
      <c r="F288" s="19" t="n">
        <v>35766.1325824</v>
      </c>
      <c r="G288" s="19" t="n">
        <v>35824.101516352</v>
      </c>
      <c r="H288" s="19" t="n">
        <v>44149.3458653158</v>
      </c>
      <c r="I288" s="19" t="n">
        <v>50273.3884322117</v>
      </c>
      <c r="J288" s="19" t="n">
        <v>50476.5840684875</v>
      </c>
      <c r="K288" s="19" t="n">
        <v>51255.1491577748</v>
      </c>
      <c r="L288" s="19" t="n">
        <v>52049.9495180633</v>
      </c>
      <c r="M288" s="19" t="n">
        <v>52861.2585570326</v>
      </c>
      <c r="N288" s="19" t="n">
        <v>53689.3514750795</v>
      </c>
      <c r="O288" s="20" t="n">
        <v>54534.5051268135</v>
      </c>
      <c r="P288" s="21" t="n">
        <v>55121.7985081612</v>
      </c>
      <c r="Q288" s="21" t="n">
        <v>55710.1987290812</v>
      </c>
      <c r="R288" s="21" t="n">
        <v>56299.2436359047</v>
      </c>
      <c r="S288" s="21" t="n">
        <v>56888.442349587</v>
      </c>
      <c r="T288" s="21" t="n">
        <v>57477.2739581235</v>
      </c>
      <c r="U288" s="21" t="n">
        <v>57905.6704121172</v>
      </c>
      <c r="V288" s="21" t="n">
        <v>58322.9913980938</v>
      </c>
      <c r="W288" s="21" t="n">
        <v>58728.1868311637</v>
      </c>
      <c r="X288" s="21" t="n">
        <v>42974.6768852651</v>
      </c>
      <c r="Y288" s="0"/>
      <c r="Z288" s="0"/>
      <c r="AA288" s="0"/>
      <c r="AB288" s="0"/>
      <c r="AC288" s="0"/>
      <c r="AD288" s="0"/>
      <c r="AE288" s="0"/>
      <c r="AF288" s="0"/>
      <c r="AG288" s="0"/>
    </row>
    <row r="289" customFormat="false" ht="12.75" hidden="false" customHeight="false" outlineLevel="1" collapsed="false">
      <c r="A289" s="22" t="s">
        <v>8</v>
      </c>
      <c r="B289" s="17" t="n">
        <f aca="false">NPV(0.1,D289:Y289)</f>
        <v>186180.690286271</v>
      </c>
      <c r="C289" s="17" t="n">
        <f aca="false">B289-B279</f>
        <v>-20431.2712139352</v>
      </c>
      <c r="D289" s="18" t="n">
        <v>19869.2413900971</v>
      </c>
      <c r="E289" s="19" t="n">
        <v>21231.4916233359</v>
      </c>
      <c r="F289" s="19" t="n">
        <v>21317.5557741442</v>
      </c>
      <c r="G289" s="19" t="n">
        <v>21406.8073758925</v>
      </c>
      <c r="H289" s="19" t="n">
        <v>21491.5263110608</v>
      </c>
      <c r="I289" s="19" t="n">
        <v>21574.1254092593</v>
      </c>
      <c r="J289" s="19" t="n">
        <v>21672.7825991915</v>
      </c>
      <c r="K289" s="19" t="n">
        <v>21770.7279728207</v>
      </c>
      <c r="L289" s="19" t="n">
        <v>21872.5762853177</v>
      </c>
      <c r="M289" s="19" t="n">
        <v>21978.4160204153</v>
      </c>
      <c r="N289" s="19" t="n">
        <v>22082.9621249278</v>
      </c>
      <c r="O289" s="20" t="n">
        <v>22974.1532305833</v>
      </c>
      <c r="P289" s="21" t="n">
        <v>23027.5583137526</v>
      </c>
      <c r="Q289" s="21" t="n">
        <v>23069.1573458584</v>
      </c>
      <c r="R289" s="21" t="n">
        <v>23115.4139567201</v>
      </c>
      <c r="S289" s="21" t="n">
        <v>23170.7446810241</v>
      </c>
      <c r="T289" s="21" t="n">
        <v>23202.6541667643</v>
      </c>
      <c r="U289" s="21" t="n">
        <v>23223.3375162181</v>
      </c>
      <c r="V289" s="21" t="n">
        <v>23249.2471522146</v>
      </c>
      <c r="W289" s="21" t="n">
        <v>23378.3410686968</v>
      </c>
      <c r="X289" s="21" t="n">
        <v>7090.3994334234</v>
      </c>
      <c r="Y289" s="0"/>
      <c r="Z289" s="0"/>
      <c r="AA289" s="0"/>
      <c r="AB289" s="0"/>
      <c r="AC289" s="0"/>
      <c r="AD289" s="0"/>
      <c r="AE289" s="0"/>
      <c r="AF289" s="0"/>
      <c r="AG289" s="0"/>
    </row>
    <row r="290" customFormat="false" ht="12.75" hidden="false" customHeight="false" outlineLevel="1" collapsed="false">
      <c r="A290" s="22" t="s">
        <v>9</v>
      </c>
      <c r="B290" s="17" t="n">
        <f aca="false">NPV(0.1,D290:Y290)</f>
        <v>80055.408856743</v>
      </c>
      <c r="C290" s="17" t="n">
        <f aca="false">B290-B280</f>
        <v>0</v>
      </c>
      <c r="D290" s="18" t="n">
        <v>997.074108568257</v>
      </c>
      <c r="E290" s="19" t="n">
        <v>1604.74472259682</v>
      </c>
      <c r="F290" s="19" t="n">
        <v>1705.3031144236</v>
      </c>
      <c r="G290" s="19" t="n">
        <v>1813.21048423361</v>
      </c>
      <c r="H290" s="19" t="n">
        <v>6971.38262783847</v>
      </c>
      <c r="I290" s="19" t="n">
        <v>11001.7078093374</v>
      </c>
      <c r="J290" s="19" t="n">
        <v>11408.9743953772</v>
      </c>
      <c r="K290" s="19" t="n">
        <v>12098.6348734093</v>
      </c>
      <c r="L290" s="19" t="n">
        <v>12830.5847439184</v>
      </c>
      <c r="M290" s="19" t="n">
        <v>13607.9496306822</v>
      </c>
      <c r="N290" s="19" t="n">
        <v>14437.4603689195</v>
      </c>
      <c r="O290" s="20" t="n">
        <v>14830.2807347869</v>
      </c>
      <c r="P290" s="21" t="n">
        <v>15618.5001620063</v>
      </c>
      <c r="Q290" s="21" t="n">
        <v>16461.6963995634</v>
      </c>
      <c r="R290" s="21" t="n">
        <v>17353.2945633015</v>
      </c>
      <c r="S290" s="21" t="n">
        <v>18327.4462133418</v>
      </c>
      <c r="T290" s="21" t="n">
        <v>18699.3773618039</v>
      </c>
      <c r="U290" s="21" t="n">
        <v>18954.287239383</v>
      </c>
      <c r="V290" s="21" t="n">
        <v>19199.0049543533</v>
      </c>
      <c r="W290" s="21" t="n">
        <v>19371.6287994274</v>
      </c>
      <c r="X290" s="21" t="n">
        <v>19705.7655122187</v>
      </c>
      <c r="Y290" s="0"/>
      <c r="Z290" s="0"/>
      <c r="AA290" s="0"/>
      <c r="AB290" s="0"/>
      <c r="AC290" s="0"/>
      <c r="AD290" s="0"/>
      <c r="AE290" s="0"/>
      <c r="AF290" s="0"/>
      <c r="AG290" s="0"/>
    </row>
    <row r="291" customFormat="false" ht="12.75" hidden="false" customHeight="false" outlineLevel="1" collapsed="false">
      <c r="A291" s="22" t="s">
        <v>10</v>
      </c>
      <c r="B291" s="17" t="n">
        <f aca="false">NPV(0.1,D291:Y291)</f>
        <v>94975.319249428</v>
      </c>
      <c r="C291" s="17" t="n">
        <f aca="false">B291-B281</f>
        <v>0</v>
      </c>
      <c r="D291" s="23" t="n">
        <v>2977.61441539143</v>
      </c>
      <c r="E291" s="24" t="n">
        <v>5546.3544187187</v>
      </c>
      <c r="F291" s="24" t="n">
        <v>4985.90544383852</v>
      </c>
      <c r="G291" s="24" t="n">
        <v>4975.08685455896</v>
      </c>
      <c r="H291" s="24" t="n">
        <v>13867.0204412979</v>
      </c>
      <c r="I291" s="24" t="n">
        <v>17567.4045658751</v>
      </c>
      <c r="J291" s="24" t="n">
        <v>12582.9136184824</v>
      </c>
      <c r="K291" s="24" t="n">
        <v>12188.7462216361</v>
      </c>
      <c r="L291" s="24" t="n">
        <v>12154.1489600009</v>
      </c>
      <c r="M291" s="24" t="n">
        <v>12110.3596320694</v>
      </c>
      <c r="N291" s="24" t="n">
        <v>12028.6222062764</v>
      </c>
      <c r="O291" s="25" t="n">
        <v>12547.1052008912</v>
      </c>
      <c r="P291" s="21" t="n">
        <v>11535.9383956792</v>
      </c>
      <c r="Q291" s="21" t="n">
        <v>11337.8456695743</v>
      </c>
      <c r="R291" s="21" t="n">
        <v>11112.3816570526</v>
      </c>
      <c r="S291" s="21" t="n">
        <v>22660.3122343735</v>
      </c>
      <c r="T291" s="21" t="n">
        <v>21298.4065144795</v>
      </c>
      <c r="U291" s="21" t="n">
        <v>21536.9753385337</v>
      </c>
      <c r="V291" s="21" t="n">
        <v>21781.6930535041</v>
      </c>
      <c r="W291" s="21" t="n">
        <v>22052.3632197276</v>
      </c>
      <c r="X291" s="21" t="n">
        <v>22108.7020225953</v>
      </c>
      <c r="Y291" s="0"/>
      <c r="Z291" s="0"/>
      <c r="AA291" s="0"/>
      <c r="AB291" s="0"/>
      <c r="AC291" s="0"/>
      <c r="AD291" s="0"/>
      <c r="AE291" s="0"/>
      <c r="AF291" s="0"/>
      <c r="AG291" s="0"/>
    </row>
    <row r="292" customFormat="false" ht="12.75" hidden="false" customHeight="false" outlineLevel="1" collapsed="false">
      <c r="A292" s="5"/>
      <c r="B292" s="5"/>
      <c r="C292" s="5"/>
      <c r="D292" s="0"/>
      <c r="E292" s="0"/>
      <c r="F292" s="0"/>
      <c r="G292" s="0"/>
      <c r="H292" s="0"/>
      <c r="I292" s="0"/>
      <c r="J292" s="0"/>
      <c r="K292" s="0"/>
      <c r="L292" s="0"/>
      <c r="M292" s="0"/>
      <c r="N292" s="0"/>
      <c r="O292" s="0"/>
      <c r="P292" s="0"/>
      <c r="Q292" s="0"/>
      <c r="R292" s="0"/>
      <c r="S292" s="0"/>
      <c r="T292" s="0"/>
      <c r="U292" s="0"/>
      <c r="V292" s="0"/>
      <c r="W292" s="0"/>
      <c r="X292" s="0"/>
      <c r="Y292" s="0"/>
      <c r="Z292" s="0"/>
      <c r="AA292" s="0"/>
      <c r="AB292" s="0"/>
      <c r="AC292" s="0"/>
      <c r="AD292" s="0"/>
      <c r="AE292" s="0"/>
      <c r="AF292" s="0"/>
      <c r="AG292" s="0"/>
    </row>
    <row r="293" customFormat="false" ht="12.75" hidden="false" customHeight="false" outlineLevel="1" collapsed="false">
      <c r="A293" s="26" t="s">
        <v>41</v>
      </c>
      <c r="B293" s="5"/>
      <c r="C293" s="5"/>
      <c r="D293" s="0"/>
      <c r="E293" s="0"/>
      <c r="F293" s="0"/>
      <c r="G293" s="0"/>
      <c r="H293" s="0"/>
      <c r="I293" s="0"/>
      <c r="J293" s="0"/>
      <c r="K293" s="0"/>
      <c r="L293" s="0"/>
      <c r="M293" s="0"/>
      <c r="N293" s="0"/>
      <c r="O293" s="0"/>
      <c r="P293" s="0"/>
      <c r="Q293" s="0"/>
      <c r="R293" s="0"/>
      <c r="S293" s="0"/>
      <c r="T293" s="0"/>
      <c r="U293" s="0"/>
      <c r="V293" s="0"/>
      <c r="W293" s="0"/>
      <c r="X293" s="0"/>
      <c r="Y293" s="0"/>
      <c r="Z293" s="0"/>
      <c r="AA293" s="0"/>
      <c r="AB293" s="0"/>
      <c r="AC293" s="0"/>
      <c r="AD293" s="0"/>
      <c r="AE293" s="0"/>
      <c r="AF293" s="0"/>
      <c r="AG293" s="0"/>
    </row>
    <row r="294" customFormat="false" ht="12.75" hidden="false" customHeight="false" outlineLevel="1" collapsed="false">
      <c r="A294" s="28" t="n">
        <v>36268</v>
      </c>
      <c r="B294" s="5"/>
      <c r="C294" s="5"/>
      <c r="D294" s="0"/>
      <c r="E294" s="0"/>
      <c r="F294" s="0"/>
      <c r="G294" s="0"/>
      <c r="H294" s="0"/>
      <c r="I294" s="0"/>
      <c r="J294" s="0"/>
      <c r="K294" s="0"/>
      <c r="L294" s="0"/>
      <c r="M294" s="0"/>
      <c r="N294" s="0"/>
      <c r="O294" s="0"/>
      <c r="P294" s="0"/>
      <c r="Q294" s="0"/>
      <c r="R294" s="0"/>
      <c r="S294" s="0"/>
      <c r="T294" s="0"/>
      <c r="U294" s="0"/>
      <c r="V294" s="0"/>
      <c r="W294" s="0"/>
      <c r="X294" s="0"/>
      <c r="Y294" s="0"/>
      <c r="Z294" s="0"/>
      <c r="AA294" s="0"/>
      <c r="AB294" s="0"/>
      <c r="AC294" s="0"/>
      <c r="AD294" s="0"/>
      <c r="AE294" s="0"/>
      <c r="AF294" s="0"/>
      <c r="AG294" s="0"/>
    </row>
    <row r="295" customFormat="false" ht="12.75" hidden="false" customHeight="false" outlineLevel="1" collapsed="false">
      <c r="A295" s="7" t="s">
        <v>2</v>
      </c>
      <c r="B295" s="8" t="n">
        <v>26118.2427911396</v>
      </c>
      <c r="C295" s="5"/>
      <c r="D295" s="0"/>
      <c r="E295" s="0"/>
      <c r="F295" s="0"/>
      <c r="G295" s="0"/>
      <c r="H295" s="0"/>
      <c r="I295" s="0"/>
      <c r="J295" s="0"/>
      <c r="K295" s="0"/>
      <c r="L295" s="0"/>
      <c r="M295" s="0"/>
      <c r="N295" s="0"/>
      <c r="O295" s="0"/>
      <c r="P295" s="0"/>
      <c r="Q295" s="0"/>
      <c r="R295" s="0"/>
      <c r="S295" s="0"/>
      <c r="T295" s="0"/>
      <c r="U295" s="0"/>
      <c r="V295" s="0"/>
      <c r="W295" s="0"/>
      <c r="X295" s="0"/>
      <c r="Y295" s="0"/>
      <c r="Z295" s="0"/>
      <c r="AA295" s="0"/>
      <c r="AB295" s="0"/>
      <c r="AC295" s="0"/>
      <c r="AD295" s="0"/>
      <c r="AE295" s="0"/>
      <c r="AF295" s="0"/>
      <c r="AG295" s="0"/>
    </row>
    <row r="296" customFormat="false" ht="12.75" hidden="false" customHeight="false" outlineLevel="1" collapsed="false">
      <c r="A296" s="9" t="s">
        <v>3</v>
      </c>
      <c r="B296" s="10" t="n">
        <v>55728.8822572384</v>
      </c>
      <c r="C296" s="5"/>
      <c r="D296" s="0"/>
      <c r="E296" s="0"/>
      <c r="F296" s="0"/>
      <c r="G296" s="0"/>
      <c r="H296" s="0"/>
      <c r="I296" s="0"/>
      <c r="J296" s="0"/>
      <c r="K296" s="0"/>
      <c r="L296" s="0"/>
      <c r="M296" s="0"/>
      <c r="N296" s="0"/>
      <c r="O296" s="0"/>
      <c r="P296" s="0"/>
      <c r="Q296" s="0"/>
      <c r="R296" s="0"/>
      <c r="S296" s="0"/>
      <c r="T296" s="0"/>
      <c r="U296" s="0"/>
      <c r="V296" s="0"/>
      <c r="W296" s="0"/>
      <c r="X296" s="0"/>
      <c r="Y296" s="0"/>
      <c r="Z296" s="0"/>
      <c r="AA296" s="0"/>
      <c r="AB296" s="0"/>
      <c r="AC296" s="0"/>
      <c r="AD296" s="0"/>
      <c r="AE296" s="0"/>
      <c r="AF296" s="0"/>
      <c r="AG296" s="0"/>
    </row>
    <row r="297" customFormat="false" ht="12.75" hidden="false" customHeight="false" outlineLevel="1" collapsed="false">
      <c r="A297" s="11" t="s">
        <v>4</v>
      </c>
      <c r="B297" s="12" t="s">
        <v>5</v>
      </c>
      <c r="C297" s="12" t="s">
        <v>6</v>
      </c>
      <c r="D297" s="13" t="n">
        <v>1999</v>
      </c>
      <c r="E297" s="14" t="n">
        <v>2000</v>
      </c>
      <c r="F297" s="14" t="n">
        <v>2001</v>
      </c>
      <c r="G297" s="14" t="n">
        <v>2002</v>
      </c>
      <c r="H297" s="14" t="n">
        <v>2003</v>
      </c>
      <c r="I297" s="14" t="n">
        <v>2004</v>
      </c>
      <c r="J297" s="14" t="n">
        <v>2005</v>
      </c>
      <c r="K297" s="14" t="n">
        <v>2006</v>
      </c>
      <c r="L297" s="14" t="n">
        <v>2007</v>
      </c>
      <c r="M297" s="14" t="n">
        <v>2008</v>
      </c>
      <c r="N297" s="14" t="n">
        <v>2009</v>
      </c>
      <c r="O297" s="15" t="n">
        <v>2010</v>
      </c>
      <c r="P297" s="16" t="n">
        <v>2011</v>
      </c>
      <c r="Q297" s="16" t="n">
        <v>2012</v>
      </c>
      <c r="R297" s="16" t="n">
        <v>2013</v>
      </c>
      <c r="S297" s="16" t="n">
        <v>2014</v>
      </c>
      <c r="T297" s="16" t="n">
        <v>2015</v>
      </c>
      <c r="U297" s="16" t="n">
        <v>2016</v>
      </c>
      <c r="V297" s="16" t="n">
        <v>2017</v>
      </c>
      <c r="W297" s="16" t="n">
        <v>2018</v>
      </c>
      <c r="X297" s="16" t="n">
        <v>2019</v>
      </c>
      <c r="Y297" s="0"/>
      <c r="Z297" s="0"/>
      <c r="AA297" s="0"/>
      <c r="AB297" s="0"/>
      <c r="AC297" s="0"/>
      <c r="AD297" s="0"/>
      <c r="AE297" s="0"/>
      <c r="AF297" s="0"/>
      <c r="AG297" s="0"/>
    </row>
    <row r="298" customFormat="false" ht="12.75" hidden="false" customHeight="false" outlineLevel="1" collapsed="false">
      <c r="A298" s="11" t="s">
        <v>7</v>
      </c>
      <c r="B298" s="17" t="n">
        <f aca="false">NPV(0.1,D298:Y298)</f>
        <v>393685.76791725</v>
      </c>
      <c r="C298" s="17" t="n">
        <f aca="false">B298-B288</f>
        <v>335.258312185528</v>
      </c>
      <c r="D298" s="18" t="n">
        <v>28502.95931</v>
      </c>
      <c r="E298" s="19" t="n">
        <v>35740.10131</v>
      </c>
      <c r="F298" s="19" t="n">
        <v>35796.38257</v>
      </c>
      <c r="G298" s="19" t="n">
        <v>35854.3522678</v>
      </c>
      <c r="H298" s="19" t="n">
        <v>44187.0843023922</v>
      </c>
      <c r="I298" s="19" t="n">
        <v>50316.6191138256</v>
      </c>
      <c r="J298" s="19" t="n">
        <v>50519.9422617869</v>
      </c>
      <c r="K298" s="19" t="n">
        <v>51299.1543344724</v>
      </c>
      <c r="L298" s="19" t="n">
        <v>52094.6146368625</v>
      </c>
      <c r="M298" s="19" t="n">
        <v>52906.596771874</v>
      </c>
      <c r="N298" s="19" t="n">
        <v>53735.376135192</v>
      </c>
      <c r="O298" s="20" t="n">
        <v>54581.2297765933</v>
      </c>
      <c r="P298" s="21" t="n">
        <v>55168.9876120811</v>
      </c>
      <c r="Q298" s="21" t="n">
        <v>55757.8512642782</v>
      </c>
      <c r="R298" s="21" t="n">
        <v>56347.3581001353</v>
      </c>
      <c r="S298" s="21" t="n">
        <v>56937.0167333849</v>
      </c>
      <c r="T298" s="21" t="n">
        <v>57526.3057157184</v>
      </c>
      <c r="U298" s="21" t="n">
        <v>57955.011942166</v>
      </c>
      <c r="V298" s="21" t="n">
        <v>58372.6303204354</v>
      </c>
      <c r="W298" s="21" t="n">
        <v>58778.109744032</v>
      </c>
      <c r="X298" s="21" t="n">
        <v>43010.244789135</v>
      </c>
      <c r="Y298" s="0"/>
      <c r="Z298" s="0"/>
      <c r="AA298" s="0"/>
      <c r="AB298" s="0"/>
      <c r="AC298" s="0"/>
      <c r="AD298" s="0"/>
      <c r="AE298" s="0"/>
      <c r="AF298" s="0"/>
      <c r="AG298" s="0"/>
    </row>
    <row r="299" customFormat="false" ht="12.75" hidden="false" customHeight="false" outlineLevel="1" collapsed="false">
      <c r="A299" s="22" t="s">
        <v>8</v>
      </c>
      <c r="B299" s="17" t="n">
        <f aca="false">NPV(0.1,D299:Y299)</f>
        <v>186306.765681029</v>
      </c>
      <c r="C299" s="17" t="n">
        <f aca="false">B299-B289</f>
        <v>126.075394757063</v>
      </c>
      <c r="D299" s="18" t="n">
        <v>19883.9660527535</v>
      </c>
      <c r="E299" s="19" t="n">
        <v>21246.2708141485</v>
      </c>
      <c r="F299" s="19" t="n">
        <v>21332.3317407015</v>
      </c>
      <c r="G299" s="19" t="n">
        <v>21421.5800225773</v>
      </c>
      <c r="H299" s="19" t="n">
        <v>21506.2884731597</v>
      </c>
      <c r="I299" s="19" t="n">
        <v>21588.8717254353</v>
      </c>
      <c r="J299" s="19" t="n">
        <v>21687.6010492005</v>
      </c>
      <c r="K299" s="19" t="n">
        <v>21785.5522405499</v>
      </c>
      <c r="L299" s="19" t="n">
        <v>21887.4065452989</v>
      </c>
      <c r="M299" s="19" t="n">
        <v>21993.2524524158</v>
      </c>
      <c r="N299" s="19" t="n">
        <v>22097.8049141083</v>
      </c>
      <c r="O299" s="20" t="n">
        <v>22989.0025676592</v>
      </c>
      <c r="P299" s="21" t="n">
        <v>23042.4143951609</v>
      </c>
      <c r="Q299" s="21" t="n">
        <v>23084.0203739289</v>
      </c>
      <c r="R299" s="21" t="n">
        <v>23130.2841398528</v>
      </c>
      <c r="S299" s="21" t="n">
        <v>23185.6222338707</v>
      </c>
      <c r="T299" s="21" t="n">
        <v>23217.5393104163</v>
      </c>
      <c r="U299" s="21" t="n">
        <v>23238.2304783996</v>
      </c>
      <c r="V299" s="21" t="n">
        <v>23264.1481674816</v>
      </c>
      <c r="W299" s="21" t="n">
        <v>23393.2503786418</v>
      </c>
      <c r="X299" s="21" t="n">
        <v>7090.69276088676</v>
      </c>
      <c r="Y299" s="0"/>
      <c r="Z299" s="0"/>
      <c r="AA299" s="0"/>
      <c r="AB299" s="0"/>
      <c r="AC299" s="0"/>
      <c r="AD299" s="0"/>
      <c r="AE299" s="0"/>
      <c r="AF299" s="0"/>
      <c r="AG299" s="0"/>
    </row>
    <row r="300" customFormat="false" ht="12.75" hidden="false" customHeight="false" outlineLevel="1" collapsed="false">
      <c r="A300" s="22" t="s">
        <v>9</v>
      </c>
      <c r="B300" s="17" t="n">
        <f aca="false">NPV(0.1,D300:Y300)</f>
        <v>80160.4583033814</v>
      </c>
      <c r="C300" s="17" t="n">
        <f aca="false">B300-B290</f>
        <v>105.049446638441</v>
      </c>
      <c r="D300" s="18" t="n">
        <v>1000.04554840673</v>
      </c>
      <c r="E300" s="19" t="n">
        <v>1609.91991813391</v>
      </c>
      <c r="F300" s="19" t="n">
        <v>1710.62583329705</v>
      </c>
      <c r="G300" s="19" t="n">
        <v>1818.69216755744</v>
      </c>
      <c r="H300" s="19" t="n">
        <v>6981.59107262548</v>
      </c>
      <c r="I300" s="19" t="n">
        <v>11015.4814864997</v>
      </c>
      <c r="J300" s="19" t="n">
        <v>11423.022724297</v>
      </c>
      <c r="K300" s="19" t="n">
        <v>12113.3443961639</v>
      </c>
      <c r="L300" s="19" t="n">
        <v>12845.9969488478</v>
      </c>
      <c r="M300" s="19" t="n">
        <v>13624.1090571691</v>
      </c>
      <c r="N300" s="19" t="n">
        <v>14454.4148456572</v>
      </c>
      <c r="O300" s="20" t="n">
        <v>14848.0816370018</v>
      </c>
      <c r="P300" s="21" t="n">
        <v>15637.0468378782</v>
      </c>
      <c r="Q300" s="21" t="n">
        <v>16481.0338958167</v>
      </c>
      <c r="R300" s="21" t="n">
        <v>17373.4712639571</v>
      </c>
      <c r="S300" s="21" t="n">
        <v>18348.5141038681</v>
      </c>
      <c r="T300" s="21" t="n">
        <v>18720.72646509</v>
      </c>
      <c r="U300" s="21" t="n">
        <v>18975.8251299242</v>
      </c>
      <c r="V300" s="21" t="n">
        <v>19220.7237451921</v>
      </c>
      <c r="W300" s="21" t="n">
        <v>19393.5199604801</v>
      </c>
      <c r="X300" s="21" t="n">
        <v>19727.8198387863</v>
      </c>
      <c r="Y300" s="0"/>
      <c r="Z300" s="0"/>
      <c r="AA300" s="0"/>
      <c r="AB300" s="0"/>
      <c r="AC300" s="0"/>
      <c r="AD300" s="0"/>
      <c r="AE300" s="0"/>
      <c r="AF300" s="0"/>
      <c r="AG300" s="0"/>
    </row>
    <row r="301" customFormat="false" ht="12.75" hidden="false" customHeight="false" outlineLevel="1" collapsed="false">
      <c r="A301" s="22" t="s">
        <v>10</v>
      </c>
      <c r="B301" s="17" t="n">
        <f aca="false">NPV(0.1,D301:Y301)</f>
        <v>95045.4450767655</v>
      </c>
      <c r="C301" s="17" t="n">
        <f aca="false">B301-B291</f>
        <v>70.125827337426</v>
      </c>
      <c r="D301" s="23" t="n">
        <v>2980.73516813109</v>
      </c>
      <c r="E301" s="24" t="n">
        <v>5551.70447947101</v>
      </c>
      <c r="F301" s="24" t="n">
        <v>4991.25687611579</v>
      </c>
      <c r="G301" s="24" t="n">
        <v>4980.4396991229</v>
      </c>
      <c r="H301" s="24" t="n">
        <v>13881.0934097216</v>
      </c>
      <c r="I301" s="24" t="n">
        <v>17584.8512397058</v>
      </c>
      <c r="J301" s="24" t="n">
        <v>12565.0979856136</v>
      </c>
      <c r="K301" s="24" t="n">
        <v>12197.5079616528</v>
      </c>
      <c r="L301" s="24" t="n">
        <v>12162.8759796335</v>
      </c>
      <c r="M301" s="24" t="n">
        <v>12119.0322888266</v>
      </c>
      <c r="N301" s="24" t="n">
        <v>12037.2189364697</v>
      </c>
      <c r="O301" s="25" t="n">
        <v>12555.6023601292</v>
      </c>
      <c r="P301" s="21" t="n">
        <v>11544.253945213</v>
      </c>
      <c r="Q301" s="21" t="n">
        <v>11345.9509555364</v>
      </c>
      <c r="R301" s="21" t="n">
        <v>11120.2456610052</v>
      </c>
      <c r="S301" s="21" t="n">
        <v>22681.3801248999</v>
      </c>
      <c r="T301" s="21" t="n">
        <v>21319.7556177656</v>
      </c>
      <c r="U301" s="21" t="n">
        <v>21558.5132290749</v>
      </c>
      <c r="V301" s="21" t="n">
        <v>21803.4118443428</v>
      </c>
      <c r="W301" s="21" t="n">
        <v>22074.2543807803</v>
      </c>
      <c r="X301" s="21" t="n">
        <v>22130.7563491629</v>
      </c>
      <c r="Y301" s="0"/>
      <c r="Z301" s="0"/>
      <c r="AA301" s="0"/>
      <c r="AB301" s="0"/>
      <c r="AC301" s="0"/>
      <c r="AD301" s="0"/>
      <c r="AE301" s="0"/>
      <c r="AF301" s="0"/>
      <c r="AG301" s="0"/>
    </row>
    <row r="302" customFormat="false" ht="12.75" hidden="false" customHeight="false" outlineLevel="1" collapsed="false">
      <c r="A302" s="5"/>
      <c r="B302" s="5"/>
      <c r="C302" s="5"/>
      <c r="D302" s="0"/>
      <c r="E302" s="0"/>
      <c r="F302" s="0"/>
      <c r="G302" s="0"/>
      <c r="H302" s="0"/>
      <c r="I302" s="0"/>
      <c r="J302" s="0"/>
      <c r="K302" s="0"/>
      <c r="L302" s="0"/>
      <c r="M302" s="0"/>
      <c r="N302" s="0"/>
      <c r="O302" s="0"/>
      <c r="P302" s="0"/>
      <c r="Q302" s="0"/>
      <c r="R302" s="0"/>
      <c r="S302" s="0"/>
      <c r="T302" s="0"/>
      <c r="U302" s="0"/>
      <c r="V302" s="0"/>
      <c r="W302" s="0"/>
      <c r="X302" s="0"/>
      <c r="Y302" s="0"/>
      <c r="Z302" s="0"/>
      <c r="AA302" s="0"/>
      <c r="AB302" s="0"/>
      <c r="AC302" s="0"/>
      <c r="AD302" s="0"/>
      <c r="AE302" s="0"/>
      <c r="AF302" s="0"/>
      <c r="AG302" s="0"/>
    </row>
    <row r="303" customFormat="false" ht="12.75" hidden="false" customHeight="false" outlineLevel="1" collapsed="false">
      <c r="A303" s="26" t="s">
        <v>42</v>
      </c>
      <c r="B303" s="5"/>
      <c r="C303" s="5"/>
      <c r="D303" s="0"/>
      <c r="E303" s="0"/>
      <c r="F303" s="0"/>
      <c r="G303" s="0"/>
      <c r="H303" s="0"/>
      <c r="I303" s="0"/>
      <c r="J303" s="0"/>
      <c r="K303" s="0"/>
      <c r="L303" s="0"/>
      <c r="M303" s="0"/>
      <c r="N303" s="0"/>
      <c r="O303" s="0"/>
      <c r="P303" s="0"/>
      <c r="Q303" s="0"/>
      <c r="R303" s="0"/>
      <c r="S303" s="0"/>
      <c r="T303" s="0"/>
      <c r="U303" s="0"/>
      <c r="V303" s="0"/>
      <c r="W303" s="0"/>
      <c r="X303" s="0"/>
      <c r="Y303" s="0"/>
      <c r="Z303" s="0"/>
      <c r="AA303" s="0"/>
      <c r="AB303" s="0"/>
      <c r="AC303" s="0"/>
      <c r="AD303" s="0"/>
      <c r="AE303" s="0"/>
      <c r="AF303" s="0"/>
      <c r="AG303" s="0"/>
    </row>
    <row r="304" customFormat="false" ht="12" hidden="false" customHeight="true" outlineLevel="0" collapsed="false">
      <c r="A304" s="28" t="n">
        <v>36268</v>
      </c>
      <c r="B304" s="5"/>
      <c r="C304" s="5"/>
      <c r="D304" s="0"/>
      <c r="E304" s="0"/>
      <c r="F304" s="0"/>
      <c r="G304" s="0"/>
      <c r="H304" s="0"/>
      <c r="I304" s="0"/>
      <c r="J304" s="0"/>
      <c r="K304" s="0"/>
      <c r="L304" s="0"/>
      <c r="M304" s="0"/>
      <c r="N304" s="0"/>
      <c r="O304" s="0"/>
      <c r="P304" s="0"/>
      <c r="Q304" s="0"/>
      <c r="R304" s="0"/>
      <c r="S304" s="0"/>
      <c r="T304" s="0"/>
      <c r="U304" s="0"/>
      <c r="V304" s="0"/>
      <c r="W304" s="0"/>
      <c r="X304" s="0"/>
      <c r="Y304" s="0"/>
      <c r="Z304" s="0"/>
      <c r="AA304" s="0"/>
      <c r="AB304" s="0"/>
      <c r="AC304" s="0"/>
      <c r="AD304" s="0"/>
      <c r="AE304" s="0"/>
      <c r="AF304" s="0"/>
      <c r="AG304" s="0"/>
    </row>
    <row r="305" customFormat="false" ht="12.75" hidden="false" customHeight="false" outlineLevel="0" collapsed="false">
      <c r="A305" s="7" t="s">
        <v>2</v>
      </c>
      <c r="B305" s="8" t="n">
        <v>36179.1073710109</v>
      </c>
      <c r="C305" s="5"/>
      <c r="D305" s="0"/>
      <c r="E305" s="0"/>
      <c r="F305" s="0"/>
      <c r="G305" s="0"/>
      <c r="H305" s="0"/>
      <c r="I305" s="0"/>
      <c r="J305" s="0"/>
      <c r="K305" s="0"/>
      <c r="L305" s="0"/>
      <c r="M305" s="0"/>
      <c r="N305" s="0"/>
      <c r="O305" s="0"/>
      <c r="P305" s="0"/>
      <c r="Q305" s="0"/>
      <c r="R305" s="0"/>
      <c r="S305" s="0"/>
      <c r="T305" s="0"/>
      <c r="U305" s="0"/>
      <c r="V305" s="0"/>
      <c r="W305" s="0"/>
      <c r="X305" s="0"/>
      <c r="Y305" s="0"/>
      <c r="Z305" s="0"/>
      <c r="AA305" s="0"/>
      <c r="AB305" s="0"/>
      <c r="AC305" s="0"/>
      <c r="AD305" s="0"/>
      <c r="AE305" s="0"/>
      <c r="AF305" s="0"/>
      <c r="AG305" s="0"/>
    </row>
    <row r="306" customFormat="false" ht="12.75" hidden="false" customHeight="false" outlineLevel="0" collapsed="false">
      <c r="A306" s="9" t="s">
        <v>3</v>
      </c>
      <c r="B306" s="10" t="n">
        <v>68725.3069461102</v>
      </c>
      <c r="C306" s="5"/>
      <c r="D306" s="0"/>
      <c r="E306" s="0"/>
      <c r="F306" s="0"/>
      <c r="G306" s="0"/>
      <c r="H306" s="0"/>
      <c r="I306" s="0"/>
      <c r="J306" s="0"/>
      <c r="K306" s="0"/>
      <c r="L306" s="0"/>
      <c r="M306" s="0"/>
      <c r="N306" s="0"/>
      <c r="O306" s="0"/>
      <c r="P306" s="0"/>
      <c r="Q306" s="0"/>
      <c r="R306" s="0"/>
      <c r="S306" s="0"/>
      <c r="T306" s="0"/>
      <c r="U306" s="0"/>
      <c r="V306" s="0"/>
      <c r="W306" s="0"/>
      <c r="X306" s="0"/>
      <c r="Y306" s="0"/>
      <c r="Z306" s="0"/>
      <c r="AA306" s="0"/>
      <c r="AB306" s="0"/>
      <c r="AC306" s="0"/>
      <c r="AD306" s="0"/>
      <c r="AE306" s="0"/>
      <c r="AF306" s="0"/>
      <c r="AG306" s="0"/>
    </row>
    <row r="307" customFormat="false" ht="12.75" hidden="false" customHeight="false" outlineLevel="0" collapsed="false">
      <c r="A307" s="11" t="s">
        <v>4</v>
      </c>
      <c r="B307" s="12" t="s">
        <v>5</v>
      </c>
      <c r="C307" s="12" t="s">
        <v>6</v>
      </c>
      <c r="D307" s="13" t="n">
        <v>1999</v>
      </c>
      <c r="E307" s="14" t="n">
        <v>2000</v>
      </c>
      <c r="F307" s="14" t="n">
        <v>2001</v>
      </c>
      <c r="G307" s="14" t="n">
        <v>2002</v>
      </c>
      <c r="H307" s="14" t="n">
        <v>2003</v>
      </c>
      <c r="I307" s="14" t="n">
        <v>2004</v>
      </c>
      <c r="J307" s="14" t="n">
        <v>2005</v>
      </c>
      <c r="K307" s="14" t="n">
        <v>2006</v>
      </c>
      <c r="L307" s="14" t="n">
        <v>2007</v>
      </c>
      <c r="M307" s="14" t="n">
        <v>2008</v>
      </c>
      <c r="N307" s="14" t="n">
        <v>2009</v>
      </c>
      <c r="O307" s="15" t="n">
        <v>2010</v>
      </c>
      <c r="P307" s="16" t="n">
        <v>2011</v>
      </c>
      <c r="Q307" s="16" t="n">
        <v>2012</v>
      </c>
      <c r="R307" s="16" t="n">
        <v>2013</v>
      </c>
      <c r="S307" s="16" t="n">
        <v>2014</v>
      </c>
      <c r="T307" s="16" t="n">
        <v>2015</v>
      </c>
      <c r="U307" s="16" t="n">
        <v>2016</v>
      </c>
      <c r="V307" s="16" t="n">
        <v>2017</v>
      </c>
      <c r="W307" s="16" t="n">
        <v>2018</v>
      </c>
      <c r="X307" s="16" t="n">
        <v>2019</v>
      </c>
      <c r="Y307" s="0"/>
      <c r="Z307" s="0"/>
      <c r="AA307" s="0"/>
      <c r="AB307" s="0"/>
      <c r="AC307" s="0"/>
      <c r="AD307" s="0"/>
      <c r="AE307" s="0"/>
      <c r="AF307" s="0"/>
      <c r="AG307" s="0"/>
    </row>
    <row r="308" customFormat="false" ht="12.75" hidden="false" customHeight="false" outlineLevel="0" collapsed="false">
      <c r="A308" s="11" t="s">
        <v>7</v>
      </c>
      <c r="B308" s="17" t="n">
        <f aca="false">NPV(0.1,D308:Y308)</f>
        <v>405817.85157398</v>
      </c>
      <c r="C308" s="17" t="n">
        <f aca="false">B308-B298</f>
        <v>12132.0836567298</v>
      </c>
      <c r="D308" s="18" t="n">
        <v>30823.45931</v>
      </c>
      <c r="E308" s="19" t="n">
        <v>39718.10131</v>
      </c>
      <c r="F308" s="19" t="n">
        <v>39774.38257</v>
      </c>
      <c r="G308" s="19" t="n">
        <v>39832.3522678</v>
      </c>
      <c r="H308" s="19" t="n">
        <v>45844.5843023922</v>
      </c>
      <c r="I308" s="19" t="n">
        <v>50316.6191138256</v>
      </c>
      <c r="J308" s="19" t="n">
        <v>50519.9422617869</v>
      </c>
      <c r="K308" s="19" t="n">
        <v>51299.1543344724</v>
      </c>
      <c r="L308" s="19" t="n">
        <v>52094.6146368625</v>
      </c>
      <c r="M308" s="19" t="n">
        <v>52906.596771874</v>
      </c>
      <c r="N308" s="19" t="n">
        <v>53735.376135192</v>
      </c>
      <c r="O308" s="20" t="n">
        <v>54581.2297765933</v>
      </c>
      <c r="P308" s="21" t="n">
        <v>55168.9876120811</v>
      </c>
      <c r="Q308" s="21" t="n">
        <v>55757.8512642782</v>
      </c>
      <c r="R308" s="21" t="n">
        <v>56347.3581001353</v>
      </c>
      <c r="S308" s="21" t="n">
        <v>56937.0167333849</v>
      </c>
      <c r="T308" s="21" t="n">
        <v>57526.3057157184</v>
      </c>
      <c r="U308" s="21" t="n">
        <v>57955.011942166</v>
      </c>
      <c r="V308" s="21" t="n">
        <v>58372.6303204354</v>
      </c>
      <c r="W308" s="21" t="n">
        <v>58778.109744032</v>
      </c>
      <c r="X308" s="21" t="n">
        <v>43010.244789135</v>
      </c>
      <c r="Y308" s="0"/>
      <c r="Z308" s="0"/>
      <c r="AA308" s="0"/>
      <c r="AB308" s="0"/>
      <c r="AC308" s="0"/>
      <c r="AD308" s="0"/>
      <c r="AE308" s="0"/>
      <c r="AF308" s="0"/>
      <c r="AG308" s="0"/>
    </row>
    <row r="309" customFormat="false" ht="12.75" hidden="false" customHeight="false" outlineLevel="0" collapsed="false">
      <c r="A309" s="22" t="s">
        <v>8</v>
      </c>
      <c r="B309" s="17" t="n">
        <f aca="false">NPV(0.1,D309:Y309)</f>
        <v>186277.041143995</v>
      </c>
      <c r="C309" s="17" t="n">
        <f aca="false">B309-B299</f>
        <v>-29.7245370332093</v>
      </c>
      <c r="D309" s="18" t="n">
        <v>19882.0865923353</v>
      </c>
      <c r="E309" s="19" t="n">
        <v>21241.0813798669</v>
      </c>
      <c r="F309" s="19" t="n">
        <v>21323.6745392016</v>
      </c>
      <c r="G309" s="19" t="n">
        <v>21409.2849557066</v>
      </c>
      <c r="H309" s="19" t="n">
        <v>21492.8878229593</v>
      </c>
      <c r="I309" s="19" t="n">
        <v>21587.9781167444</v>
      </c>
      <c r="J309" s="19" t="n">
        <v>21687.6010492005</v>
      </c>
      <c r="K309" s="19" t="n">
        <v>21785.5522405499</v>
      </c>
      <c r="L309" s="19" t="n">
        <v>21887.4065452989</v>
      </c>
      <c r="M309" s="19" t="n">
        <v>21993.2524524158</v>
      </c>
      <c r="N309" s="19" t="n">
        <v>22097.8049141083</v>
      </c>
      <c r="O309" s="20" t="n">
        <v>22989.0025676592</v>
      </c>
      <c r="P309" s="21" t="n">
        <v>23042.4143951609</v>
      </c>
      <c r="Q309" s="21" t="n">
        <v>23084.0203739289</v>
      </c>
      <c r="R309" s="21" t="n">
        <v>23130.2841398528</v>
      </c>
      <c r="S309" s="21" t="n">
        <v>23185.6222338707</v>
      </c>
      <c r="T309" s="21" t="n">
        <v>23217.5393104163</v>
      </c>
      <c r="U309" s="21" t="n">
        <v>23238.2304783996</v>
      </c>
      <c r="V309" s="21" t="n">
        <v>23264.1481674816</v>
      </c>
      <c r="W309" s="21" t="n">
        <v>23393.2503786418</v>
      </c>
      <c r="X309" s="21" t="n">
        <v>7090.69276088676</v>
      </c>
      <c r="Y309" s="0"/>
      <c r="Z309" s="0"/>
      <c r="AA309" s="0"/>
      <c r="AB309" s="0"/>
      <c r="AC309" s="0"/>
      <c r="AD309" s="0"/>
      <c r="AE309" s="0"/>
      <c r="AF309" s="0"/>
      <c r="AG309" s="0"/>
    </row>
    <row r="310" customFormat="false" ht="12.75" hidden="false" customHeight="false" outlineLevel="0" collapsed="false">
      <c r="A310" s="22" t="s">
        <v>9</v>
      </c>
      <c r="B310" s="17" t="n">
        <f aca="false">NPV(0.1,D310:Y310)</f>
        <v>86947.168634033</v>
      </c>
      <c r="C310" s="17" t="n">
        <f aca="false">B310-B300</f>
        <v>6786.71033065158</v>
      </c>
      <c r="D310" s="18" t="n">
        <v>2213.71018446896</v>
      </c>
      <c r="E310" s="19" t="n">
        <v>3747.34094885525</v>
      </c>
      <c r="F310" s="19" t="n">
        <v>3949.94218082967</v>
      </c>
      <c r="G310" s="19" t="n">
        <v>4167.84967496764</v>
      </c>
      <c r="H310" s="19" t="n">
        <v>7995.68305650193</v>
      </c>
      <c r="I310" s="19" t="n">
        <v>11016.0238376791</v>
      </c>
      <c r="J310" s="19" t="n">
        <v>11423.022724297</v>
      </c>
      <c r="K310" s="19" t="n">
        <v>12113.3443961639</v>
      </c>
      <c r="L310" s="19" t="n">
        <v>12845.9969488478</v>
      </c>
      <c r="M310" s="19" t="n">
        <v>13624.1090571691</v>
      </c>
      <c r="N310" s="19" t="n">
        <v>14454.4148456572</v>
      </c>
      <c r="O310" s="20" t="n">
        <v>14848.0816370018</v>
      </c>
      <c r="P310" s="21" t="n">
        <v>15637.0468378782</v>
      </c>
      <c r="Q310" s="21" t="n">
        <v>16481.0338958167</v>
      </c>
      <c r="R310" s="21" t="n">
        <v>17373.4712639571</v>
      </c>
      <c r="S310" s="21" t="n">
        <v>18348.5141038681</v>
      </c>
      <c r="T310" s="21" t="n">
        <v>18720.72646509</v>
      </c>
      <c r="U310" s="21" t="n">
        <v>18975.8251299242</v>
      </c>
      <c r="V310" s="21" t="n">
        <v>19220.7237451921</v>
      </c>
      <c r="W310" s="21" t="n">
        <v>19393.5199604801</v>
      </c>
      <c r="X310" s="21" t="n">
        <v>19727.8198387863</v>
      </c>
      <c r="Y310" s="0"/>
      <c r="Z310" s="0"/>
      <c r="AA310" s="0"/>
      <c r="AB310" s="0"/>
      <c r="AC310" s="0"/>
      <c r="AD310" s="0"/>
      <c r="AE310" s="0"/>
      <c r="AF310" s="0"/>
      <c r="AG310" s="0"/>
    </row>
    <row r="311" customFormat="false" ht="12.75" hidden="false" customHeight="false" outlineLevel="0" collapsed="false">
      <c r="A311" s="22" t="s">
        <v>10</v>
      </c>
      <c r="B311" s="17" t="n">
        <f aca="false">NPV(0.1,D311:Y311)</f>
        <v>96405.1829159258</v>
      </c>
      <c r="C311" s="17" t="n">
        <f aca="false">B311-B301</f>
        <v>1359.7378391603</v>
      </c>
      <c r="D311" s="23" t="n">
        <v>3783.89139819238</v>
      </c>
      <c r="E311" s="24" t="n">
        <v>6929.22415882671</v>
      </c>
      <c r="F311" s="24" t="n">
        <v>6369.97582496784</v>
      </c>
      <c r="G311" s="24" t="n">
        <v>6360.41674308234</v>
      </c>
      <c r="H311" s="24" t="n">
        <v>14718.5911488475</v>
      </c>
      <c r="I311" s="24" t="n">
        <v>12582.2460209101</v>
      </c>
      <c r="J311" s="24" t="n">
        <v>12207.6545092282</v>
      </c>
      <c r="K311" s="24" t="n">
        <v>12197.5079616528</v>
      </c>
      <c r="L311" s="24" t="n">
        <v>12162.8759796335</v>
      </c>
      <c r="M311" s="24" t="n">
        <v>12119.0322888266</v>
      </c>
      <c r="N311" s="24" t="n">
        <v>12037.2189364697</v>
      </c>
      <c r="O311" s="25" t="n">
        <v>12555.6023601292</v>
      </c>
      <c r="P311" s="21" t="n">
        <v>11544.253945213</v>
      </c>
      <c r="Q311" s="21" t="n">
        <v>11345.9509555364</v>
      </c>
      <c r="R311" s="21" t="n">
        <v>11120.2456610052</v>
      </c>
      <c r="S311" s="21" t="n">
        <v>22681.3801248999</v>
      </c>
      <c r="T311" s="21" t="n">
        <v>21319.7556177656</v>
      </c>
      <c r="U311" s="21" t="n">
        <v>21558.5132290749</v>
      </c>
      <c r="V311" s="21" t="n">
        <v>21803.4118443428</v>
      </c>
      <c r="W311" s="21" t="n">
        <v>22074.2543807803</v>
      </c>
      <c r="X311" s="21" t="n">
        <v>22130.7563491629</v>
      </c>
      <c r="Y311" s="0"/>
      <c r="Z311" s="0"/>
      <c r="AA311" s="0"/>
      <c r="AB311" s="0"/>
      <c r="AC311" s="0"/>
      <c r="AD311" s="0"/>
      <c r="AE311" s="0"/>
      <c r="AF311" s="0"/>
      <c r="AG311" s="0"/>
    </row>
    <row r="312" customFormat="false" ht="12.75" hidden="false" customHeight="false" outlineLevel="0" collapsed="false">
      <c r="A312" s="5"/>
      <c r="B312" s="5"/>
      <c r="C312" s="5"/>
      <c r="D312" s="0"/>
      <c r="E312" s="0"/>
      <c r="F312" s="0"/>
      <c r="G312" s="0"/>
      <c r="H312" s="0"/>
      <c r="I312" s="0"/>
      <c r="J312" s="0"/>
      <c r="K312" s="0"/>
      <c r="L312" s="0"/>
      <c r="M312" s="0"/>
      <c r="N312" s="0"/>
      <c r="O312" s="0"/>
      <c r="P312" s="0"/>
      <c r="Q312" s="0"/>
      <c r="R312" s="0"/>
      <c r="S312" s="0"/>
      <c r="T312" s="0"/>
      <c r="U312" s="0"/>
      <c r="V312" s="0"/>
      <c r="W312" s="0"/>
      <c r="X312" s="0"/>
      <c r="Y312" s="0"/>
      <c r="Z312" s="0"/>
      <c r="AA312" s="0"/>
      <c r="AB312" s="0"/>
      <c r="AC312" s="0"/>
      <c r="AD312" s="0"/>
      <c r="AE312" s="0"/>
      <c r="AF312" s="0"/>
      <c r="AG312" s="0"/>
    </row>
    <row r="313" customFormat="false" ht="12.75" hidden="false" customHeight="false" outlineLevel="0" collapsed="false">
      <c r="A313" s="26" t="s">
        <v>43</v>
      </c>
      <c r="B313" s="5"/>
      <c r="C313" s="5"/>
      <c r="D313" s="0"/>
      <c r="E313" s="0"/>
      <c r="F313" s="0"/>
      <c r="G313" s="0"/>
      <c r="H313" s="0"/>
      <c r="I313" s="0"/>
      <c r="J313" s="0"/>
      <c r="K313" s="0"/>
      <c r="L313" s="0"/>
      <c r="M313" s="0"/>
      <c r="N313" s="0"/>
      <c r="O313" s="0"/>
      <c r="P313" s="0"/>
      <c r="Q313" s="0"/>
      <c r="R313" s="0"/>
      <c r="S313" s="0"/>
      <c r="T313" s="0"/>
      <c r="U313" s="0"/>
      <c r="V313" s="0"/>
      <c r="W313" s="0"/>
      <c r="X313" s="0"/>
      <c r="Y313" s="0"/>
      <c r="Z313" s="0"/>
      <c r="AA313" s="0"/>
      <c r="AB313" s="0"/>
      <c r="AC313" s="0"/>
      <c r="AD313" s="0"/>
      <c r="AE313" s="0"/>
      <c r="AF313" s="0"/>
      <c r="AG313" s="0"/>
    </row>
    <row r="314" customFormat="false" ht="12.75" hidden="false" customHeight="false" outlineLevel="0" collapsed="false">
      <c r="A314" s="28" t="n">
        <v>36271</v>
      </c>
      <c r="B314" s="5"/>
      <c r="C314" s="5"/>
      <c r="D314" s="0"/>
      <c r="E314" s="0"/>
      <c r="F314" s="0"/>
      <c r="G314" s="0"/>
      <c r="H314" s="0"/>
      <c r="I314" s="0"/>
      <c r="J314" s="0"/>
      <c r="K314" s="0"/>
      <c r="L314" s="0"/>
      <c r="M314" s="0"/>
      <c r="N314" s="0"/>
      <c r="O314" s="0"/>
      <c r="P314" s="0"/>
      <c r="Q314" s="0"/>
      <c r="R314" s="0"/>
      <c r="S314" s="0"/>
      <c r="T314" s="0"/>
      <c r="U314" s="0"/>
      <c r="V314" s="0"/>
      <c r="W314" s="0"/>
      <c r="X314" s="0"/>
      <c r="Y314" s="0"/>
      <c r="Z314" s="0"/>
      <c r="AA314" s="0"/>
      <c r="AB314" s="0"/>
      <c r="AC314" s="0"/>
      <c r="AD314" s="0"/>
      <c r="AE314" s="0"/>
      <c r="AF314" s="0"/>
      <c r="AG314" s="0"/>
    </row>
    <row r="315" customFormat="false" ht="12.75" hidden="false" customHeight="false" outlineLevel="0" collapsed="false">
      <c r="A315" s="7" t="s">
        <v>2</v>
      </c>
      <c r="B315" s="8" t="n">
        <v>36170.0531111244</v>
      </c>
      <c r="C315" s="5"/>
      <c r="D315" s="0"/>
      <c r="E315" s="0"/>
      <c r="F315" s="0"/>
      <c r="G315" s="0"/>
      <c r="H315" s="0"/>
      <c r="I315" s="0"/>
      <c r="J315" s="0"/>
      <c r="K315" s="0"/>
      <c r="L315" s="0"/>
      <c r="M315" s="0"/>
      <c r="N315" s="0"/>
      <c r="O315" s="0"/>
      <c r="P315" s="0"/>
      <c r="Q315" s="0"/>
      <c r="R315" s="0"/>
      <c r="S315" s="0"/>
      <c r="T315" s="0"/>
      <c r="U315" s="0"/>
      <c r="V315" s="0"/>
      <c r="W315" s="0"/>
      <c r="X315" s="0"/>
      <c r="Y315" s="0"/>
      <c r="Z315" s="0"/>
      <c r="AA315" s="0"/>
      <c r="AB315" s="0"/>
      <c r="AC315" s="0"/>
      <c r="AD315" s="0"/>
      <c r="AE315" s="0"/>
      <c r="AF315" s="0"/>
      <c r="AG315" s="0"/>
    </row>
    <row r="316" customFormat="false" ht="12.75" hidden="false" customHeight="false" outlineLevel="0" collapsed="false">
      <c r="A316" s="9" t="s">
        <v>3</v>
      </c>
      <c r="B316" s="10" t="n">
        <v>68714.4562464888</v>
      </c>
      <c r="C316" s="5"/>
      <c r="D316" s="0"/>
      <c r="E316" s="0"/>
      <c r="F316" s="0"/>
      <c r="G316" s="0"/>
      <c r="H316" s="0"/>
      <c r="I316" s="0"/>
      <c r="J316" s="0"/>
      <c r="K316" s="0"/>
      <c r="L316" s="0"/>
      <c r="M316" s="0"/>
      <c r="N316" s="0"/>
      <c r="O316" s="0"/>
      <c r="P316" s="0"/>
      <c r="Q316" s="0"/>
      <c r="R316" s="0"/>
      <c r="S316" s="0"/>
      <c r="T316" s="0"/>
      <c r="U316" s="0"/>
      <c r="V316" s="0"/>
      <c r="W316" s="0"/>
      <c r="X316" s="0"/>
      <c r="Y316" s="0"/>
      <c r="Z316" s="0"/>
      <c r="AA316" s="0"/>
      <c r="AB316" s="0"/>
      <c r="AC316" s="0"/>
      <c r="AD316" s="0"/>
      <c r="AE316" s="0"/>
      <c r="AF316" s="0"/>
      <c r="AG316" s="0"/>
    </row>
    <row r="317" customFormat="false" ht="12.75" hidden="false" customHeight="false" outlineLevel="0" collapsed="false">
      <c r="A317" s="11" t="s">
        <v>4</v>
      </c>
      <c r="B317" s="12" t="s">
        <v>5</v>
      </c>
      <c r="C317" s="12" t="s">
        <v>6</v>
      </c>
      <c r="D317" s="13" t="n">
        <v>1999</v>
      </c>
      <c r="E317" s="14" t="n">
        <v>2000</v>
      </c>
      <c r="F317" s="14" t="n">
        <v>2001</v>
      </c>
      <c r="G317" s="14" t="n">
        <v>2002</v>
      </c>
      <c r="H317" s="14" t="n">
        <v>2003</v>
      </c>
      <c r="I317" s="14" t="n">
        <v>2004</v>
      </c>
      <c r="J317" s="14" t="n">
        <v>2005</v>
      </c>
      <c r="K317" s="14" t="n">
        <v>2006</v>
      </c>
      <c r="L317" s="14" t="n">
        <v>2007</v>
      </c>
      <c r="M317" s="14" t="n">
        <v>2008</v>
      </c>
      <c r="N317" s="14" t="n">
        <v>2009</v>
      </c>
      <c r="O317" s="15" t="n">
        <v>2010</v>
      </c>
      <c r="P317" s="16" t="n">
        <v>2011</v>
      </c>
      <c r="Q317" s="16" t="n">
        <v>2012</v>
      </c>
      <c r="R317" s="16" t="n">
        <v>2013</v>
      </c>
      <c r="S317" s="16" t="n">
        <v>2014</v>
      </c>
      <c r="T317" s="16" t="n">
        <v>2015</v>
      </c>
      <c r="U317" s="16" t="n">
        <v>2016</v>
      </c>
      <c r="V317" s="16" t="n">
        <v>2017</v>
      </c>
      <c r="W317" s="16" t="n">
        <v>2018</v>
      </c>
      <c r="X317" s="16" t="n">
        <v>2019</v>
      </c>
      <c r="Y317" s="0"/>
      <c r="Z317" s="0"/>
      <c r="AA317" s="0"/>
      <c r="AB317" s="0"/>
      <c r="AC317" s="0"/>
      <c r="AD317" s="0"/>
      <c r="AE317" s="0"/>
      <c r="AF317" s="0"/>
      <c r="AG317" s="0"/>
    </row>
    <row r="318" customFormat="false" ht="12.75" hidden="false" customHeight="false" outlineLevel="0" collapsed="false">
      <c r="A318" s="11" t="s">
        <v>7</v>
      </c>
      <c r="B318" s="17" t="n">
        <f aca="false">NPV(0.1,D318:Y318)</f>
        <v>405817.85157398</v>
      </c>
      <c r="C318" s="17" t="n">
        <f aca="false">B318-B308</f>
        <v>0</v>
      </c>
      <c r="D318" s="18" t="n">
        <v>30823.45931</v>
      </c>
      <c r="E318" s="19" t="n">
        <v>39718.10131</v>
      </c>
      <c r="F318" s="19" t="n">
        <v>39774.38257</v>
      </c>
      <c r="G318" s="19" t="n">
        <v>39832.3522678</v>
      </c>
      <c r="H318" s="19" t="n">
        <v>45844.5843023922</v>
      </c>
      <c r="I318" s="19" t="n">
        <v>50316.6191138256</v>
      </c>
      <c r="J318" s="19" t="n">
        <v>50519.9422617869</v>
      </c>
      <c r="K318" s="19" t="n">
        <v>51299.1543344724</v>
      </c>
      <c r="L318" s="19" t="n">
        <v>52094.6146368625</v>
      </c>
      <c r="M318" s="19" t="n">
        <v>52906.596771874</v>
      </c>
      <c r="N318" s="19" t="n">
        <v>53735.376135192</v>
      </c>
      <c r="O318" s="20" t="n">
        <v>54581.2297765933</v>
      </c>
      <c r="P318" s="21" t="n">
        <v>55168.9876120811</v>
      </c>
      <c r="Q318" s="21" t="n">
        <v>55757.8512642782</v>
      </c>
      <c r="R318" s="21" t="n">
        <v>56347.3581001353</v>
      </c>
      <c r="S318" s="21" t="n">
        <v>56937.0167333849</v>
      </c>
      <c r="T318" s="21" t="n">
        <v>57526.3057157184</v>
      </c>
      <c r="U318" s="21" t="n">
        <v>57955.011942166</v>
      </c>
      <c r="V318" s="21" t="n">
        <v>58372.6303204354</v>
      </c>
      <c r="W318" s="21" t="n">
        <v>58778.109744032</v>
      </c>
      <c r="X318" s="21" t="n">
        <v>43010.244789135</v>
      </c>
      <c r="Y318" s="0"/>
      <c r="Z318" s="0"/>
      <c r="AA318" s="0"/>
      <c r="AB318" s="0"/>
      <c r="AC318" s="0"/>
      <c r="AD318" s="0"/>
      <c r="AE318" s="0"/>
      <c r="AF318" s="0"/>
      <c r="AG318" s="0"/>
    </row>
    <row r="319" customFormat="false" ht="12.75" hidden="false" customHeight="false" outlineLevel="0" collapsed="false">
      <c r="A319" s="22" t="s">
        <v>8</v>
      </c>
      <c r="B319" s="17" t="n">
        <f aca="false">NPV(0.1,D319:Y319)</f>
        <v>186277.202307736</v>
      </c>
      <c r="C319" s="17" t="n">
        <f aca="false">B319-B309</f>
        <v>0.161163740442134</v>
      </c>
      <c r="D319" s="18" t="n">
        <v>19882.113032775</v>
      </c>
      <c r="E319" s="19" t="n">
        <v>21241.1073447353</v>
      </c>
      <c r="F319" s="19" t="n">
        <v>21323.70002886</v>
      </c>
      <c r="G319" s="19" t="n">
        <v>21409.3099705568</v>
      </c>
      <c r="H319" s="19" t="n">
        <v>21492.9084135805</v>
      </c>
      <c r="I319" s="19" t="n">
        <v>21587.9975761761</v>
      </c>
      <c r="J319" s="19" t="n">
        <v>21687.6194111542</v>
      </c>
      <c r="K319" s="19" t="n">
        <v>21785.5695040042</v>
      </c>
      <c r="L319" s="19" t="n">
        <v>21887.4227112752</v>
      </c>
      <c r="M319" s="19" t="n">
        <v>21993.2675198926</v>
      </c>
      <c r="N319" s="19" t="n">
        <v>22097.8188841072</v>
      </c>
      <c r="O319" s="20" t="n">
        <v>22989.0154391586</v>
      </c>
      <c r="P319" s="21" t="n">
        <v>23042.4261691823</v>
      </c>
      <c r="Q319" s="21" t="n">
        <v>23084.0310494508</v>
      </c>
      <c r="R319" s="21" t="n">
        <v>23130.2937178967</v>
      </c>
      <c r="S319" s="21" t="n">
        <v>23185.6310157975</v>
      </c>
      <c r="T319" s="21" t="n">
        <v>23217.5475975866</v>
      </c>
      <c r="U319" s="21" t="n">
        <v>23238.2382708135</v>
      </c>
      <c r="V319" s="21" t="n">
        <v>23264.155465139</v>
      </c>
      <c r="W319" s="21" t="n">
        <v>23393.2571815428</v>
      </c>
      <c r="X319" s="21" t="n">
        <v>7090.69906903134</v>
      </c>
      <c r="Y319" s="0"/>
      <c r="Z319" s="0"/>
      <c r="AA319" s="0"/>
      <c r="AB319" s="0"/>
      <c r="AC319" s="0"/>
      <c r="AD319" s="0"/>
      <c r="AE319" s="0"/>
      <c r="AF319" s="0"/>
      <c r="AG319" s="0"/>
    </row>
    <row r="320" customFormat="false" ht="12.75" hidden="false" customHeight="false" outlineLevel="0" collapsed="false">
      <c r="A320" s="22" t="s">
        <v>9</v>
      </c>
      <c r="B320" s="17" t="n">
        <f aca="false">NPV(0.1,D320:Y320)</f>
        <v>86945.4472321578</v>
      </c>
      <c r="C320" s="17" t="n">
        <f aca="false">B320-B310</f>
        <v>-1.72140187525656</v>
      </c>
      <c r="D320" s="18" t="n">
        <v>2213.58082688168</v>
      </c>
      <c r="E320" s="19" t="n">
        <v>3747.13065745591</v>
      </c>
      <c r="F320" s="19" t="n">
        <v>3949.73165613268</v>
      </c>
      <c r="G320" s="19" t="n">
        <v>4167.63889077631</v>
      </c>
      <c r="H320" s="19" t="n">
        <v>7995.47452422226</v>
      </c>
      <c r="I320" s="19" t="n">
        <v>11015.8157852846</v>
      </c>
      <c r="J320" s="19" t="n">
        <v>11422.8151348746</v>
      </c>
      <c r="K320" s="19" t="n">
        <v>12113.1372741829</v>
      </c>
      <c r="L320" s="19" t="n">
        <v>12845.7902978271</v>
      </c>
      <c r="M320" s="19" t="n">
        <v>13623.9028822172</v>
      </c>
      <c r="N320" s="19" t="n">
        <v>14454.2091509832</v>
      </c>
      <c r="O320" s="20" t="n">
        <v>14847.8764284596</v>
      </c>
      <c r="P320" s="21" t="n">
        <v>15636.8421204818</v>
      </c>
      <c r="Q320" s="21" t="n">
        <v>16480.8296762895</v>
      </c>
      <c r="R320" s="21" t="n">
        <v>17373.2675482521</v>
      </c>
      <c r="S320" s="21" t="n">
        <v>18348.3107106679</v>
      </c>
      <c r="T320" s="21" t="n">
        <v>18720.5233812207</v>
      </c>
      <c r="U320" s="21" t="n">
        <v>18975.622355386</v>
      </c>
      <c r="V320" s="21" t="n">
        <v>19220.5212799849</v>
      </c>
      <c r="W320" s="21" t="n">
        <v>19393.3178046038</v>
      </c>
      <c r="X320" s="21" t="n">
        <v>19727.6179922411</v>
      </c>
      <c r="Y320" s="0"/>
      <c r="Z320" s="0"/>
      <c r="AA320" s="0"/>
      <c r="AB320" s="0"/>
      <c r="AC320" s="0"/>
      <c r="AD320" s="0"/>
      <c r="AE320" s="0"/>
      <c r="AF320" s="0"/>
      <c r="AG320" s="0"/>
    </row>
    <row r="321" customFormat="false" ht="12.75" hidden="false" customHeight="false" outlineLevel="0" collapsed="false">
      <c r="A321" s="22" t="s">
        <v>10</v>
      </c>
      <c r="B321" s="17" t="n">
        <f aca="false">NPV(0.1,D321:Y321)</f>
        <v>96407.0600121811</v>
      </c>
      <c r="C321" s="17" t="n">
        <f aca="false">B321-B311</f>
        <v>1.87709625536809</v>
      </c>
      <c r="D321" s="23" t="n">
        <v>3783.88225420698</v>
      </c>
      <c r="E321" s="24" t="n">
        <v>6929.21517930972</v>
      </c>
      <c r="F321" s="24" t="n">
        <v>6369.96700979432</v>
      </c>
      <c r="G321" s="24" t="n">
        <v>6360.40809211332</v>
      </c>
      <c r="H321" s="24" t="n">
        <v>14720.156910506</v>
      </c>
      <c r="I321" s="24" t="n">
        <v>12582.4949623626</v>
      </c>
      <c r="J321" s="24" t="n">
        <v>12207.8903514889</v>
      </c>
      <c r="K321" s="24" t="n">
        <v>12197.7445958204</v>
      </c>
      <c r="L321" s="24" t="n">
        <v>12163.1125856532</v>
      </c>
      <c r="M321" s="24" t="n">
        <v>12119.2696814091</v>
      </c>
      <c r="N321" s="24" t="n">
        <v>12037.4562951327</v>
      </c>
      <c r="O321" s="25" t="n">
        <v>12555.8404991217</v>
      </c>
      <c r="P321" s="21" t="n">
        <v>11544.4920435539</v>
      </c>
      <c r="Q321" s="21" t="n">
        <v>11346.1898269364</v>
      </c>
      <c r="R321" s="21" t="n">
        <v>11120.4844839015</v>
      </c>
      <c r="S321" s="21" t="n">
        <v>22681.4951785758</v>
      </c>
      <c r="T321" s="21" t="n">
        <v>21319.7504364713</v>
      </c>
      <c r="U321" s="21" t="n">
        <v>21558.5083571117</v>
      </c>
      <c r="V321" s="21" t="n">
        <v>21803.4072817106</v>
      </c>
      <c r="W321" s="21" t="n">
        <v>22074.250127479</v>
      </c>
      <c r="X321" s="21" t="n">
        <v>22130.7524051927</v>
      </c>
      <c r="Y321" s="0"/>
      <c r="Z321" s="0"/>
      <c r="AA321" s="0"/>
      <c r="AB321" s="0"/>
      <c r="AC321" s="0"/>
      <c r="AD321" s="0"/>
      <c r="AE321" s="0"/>
      <c r="AF321" s="0"/>
      <c r="AG321" s="0"/>
    </row>
    <row r="322" customFormat="false" ht="12.75" hidden="false" customHeight="false" outlineLevel="0" collapsed="false">
      <c r="A322" s="5"/>
      <c r="B322" s="5"/>
      <c r="C322" s="5"/>
      <c r="D322" s="0"/>
      <c r="E322" s="0"/>
      <c r="F322" s="0"/>
      <c r="G322" s="0"/>
      <c r="H322" s="0"/>
      <c r="I322" s="0"/>
      <c r="J322" s="0"/>
      <c r="K322" s="0"/>
      <c r="L322" s="0"/>
      <c r="M322" s="0"/>
      <c r="N322" s="0"/>
      <c r="O322" s="0"/>
      <c r="P322" s="0"/>
      <c r="Q322" s="0"/>
      <c r="R322" s="0"/>
      <c r="S322" s="0"/>
      <c r="T322" s="0"/>
      <c r="U322" s="0"/>
      <c r="V322" s="0"/>
      <c r="W322" s="0"/>
      <c r="X322" s="0"/>
      <c r="Y322" s="0"/>
      <c r="Z322" s="0"/>
      <c r="AA322" s="0"/>
      <c r="AB322" s="0"/>
      <c r="AC322" s="0"/>
      <c r="AD322" s="0"/>
      <c r="AE322" s="0"/>
      <c r="AF322" s="0"/>
      <c r="AG322" s="0"/>
    </row>
    <row r="323" customFormat="false" ht="12.75" hidden="false" customHeight="false" outlineLevel="0" collapsed="false">
      <c r="A323" s="26" t="s">
        <v>44</v>
      </c>
      <c r="B323" s="5"/>
      <c r="C323" s="5"/>
      <c r="D323" s="0"/>
      <c r="E323" s="0"/>
      <c r="F323" s="0"/>
      <c r="G323" s="0"/>
      <c r="H323" s="0"/>
      <c r="I323" s="0"/>
      <c r="J323" s="0"/>
      <c r="K323" s="0"/>
      <c r="L323" s="0"/>
      <c r="M323" s="0"/>
      <c r="N323" s="0"/>
      <c r="O323" s="0"/>
      <c r="P323" s="0"/>
      <c r="Q323" s="0"/>
      <c r="R323" s="0"/>
      <c r="S323" s="0"/>
      <c r="T323" s="0"/>
      <c r="U323" s="0"/>
      <c r="V323" s="0"/>
      <c r="W323" s="0"/>
      <c r="X323" s="0"/>
      <c r="Y323" s="0"/>
      <c r="Z323" s="0"/>
      <c r="AA323" s="0"/>
      <c r="AB323" s="0"/>
      <c r="AC323" s="0"/>
      <c r="AD323" s="0"/>
      <c r="AE323" s="0"/>
      <c r="AF323" s="0"/>
      <c r="AG323" s="0"/>
    </row>
    <row r="324" customFormat="false" ht="12.75" hidden="false" customHeight="false" outlineLevel="0" collapsed="false">
      <c r="A324" s="28" t="n">
        <v>36271</v>
      </c>
      <c r="B324" s="5"/>
      <c r="C324" s="5"/>
      <c r="D324" s="0"/>
      <c r="E324" s="0"/>
      <c r="F324" s="0"/>
      <c r="G324" s="0"/>
      <c r="H324" s="0"/>
      <c r="I324" s="0"/>
      <c r="J324" s="0"/>
      <c r="K324" s="0"/>
      <c r="L324" s="0"/>
      <c r="M324" s="0"/>
      <c r="N324" s="0"/>
      <c r="O324" s="0"/>
      <c r="P324" s="0"/>
      <c r="Q324" s="0"/>
      <c r="R324" s="0"/>
      <c r="S324" s="0"/>
      <c r="T324" s="0"/>
      <c r="U324" s="0"/>
      <c r="V324" s="0"/>
      <c r="W324" s="0"/>
      <c r="X324" s="0"/>
      <c r="Y324" s="0"/>
      <c r="Z324" s="0"/>
      <c r="AA324" s="0"/>
      <c r="AB324" s="0"/>
      <c r="AC324" s="0"/>
      <c r="AD324" s="0"/>
      <c r="AE324" s="0"/>
      <c r="AF324" s="0"/>
      <c r="AG324" s="0"/>
    </row>
    <row r="325" customFormat="false" ht="12.75" hidden="false" customHeight="false" outlineLevel="0" collapsed="false">
      <c r="A325" s="7" t="s">
        <v>2</v>
      </c>
      <c r="B325" s="8" t="n">
        <v>35834.6539906208</v>
      </c>
      <c r="C325" s="5"/>
      <c r="D325" s="0"/>
      <c r="E325" s="0"/>
      <c r="F325" s="0"/>
      <c r="G325" s="0"/>
      <c r="H325" s="0"/>
      <c r="I325" s="0"/>
      <c r="J325" s="0"/>
      <c r="K325" s="0"/>
      <c r="L325" s="0"/>
      <c r="M325" s="0"/>
      <c r="N325" s="0"/>
      <c r="O325" s="0"/>
      <c r="P325" s="0"/>
      <c r="Q325" s="0"/>
      <c r="R325" s="0"/>
      <c r="S325" s="0"/>
      <c r="T325" s="0"/>
      <c r="U325" s="0"/>
      <c r="V325" s="0"/>
      <c r="W325" s="0"/>
      <c r="X325" s="0"/>
      <c r="Y325" s="0"/>
      <c r="Z325" s="0"/>
      <c r="AA325" s="0"/>
      <c r="AB325" s="0"/>
      <c r="AC325" s="0"/>
      <c r="AD325" s="0"/>
      <c r="AE325" s="0"/>
      <c r="AF325" s="0"/>
      <c r="AG325" s="0"/>
    </row>
    <row r="326" customFormat="false" ht="12.75" hidden="false" customHeight="false" outlineLevel="0" collapsed="false">
      <c r="A326" s="9" t="s">
        <v>3</v>
      </c>
      <c r="B326" s="10" t="n">
        <v>68316.5633348033</v>
      </c>
      <c r="C326" s="5"/>
      <c r="D326" s="0"/>
      <c r="E326" s="0"/>
      <c r="F326" s="0"/>
      <c r="G326" s="0"/>
      <c r="H326" s="0"/>
      <c r="I326" s="0"/>
      <c r="J326" s="0"/>
      <c r="K326" s="0"/>
      <c r="L326" s="0"/>
      <c r="M326" s="0"/>
      <c r="N326" s="0"/>
      <c r="O326" s="0"/>
      <c r="P326" s="0"/>
      <c r="Q326" s="0"/>
      <c r="R326" s="0"/>
      <c r="S326" s="0"/>
      <c r="T326" s="0"/>
      <c r="U326" s="0"/>
      <c r="V326" s="0"/>
      <c r="W326" s="0"/>
      <c r="X326" s="0"/>
      <c r="Y326" s="0"/>
      <c r="Z326" s="0"/>
      <c r="AA326" s="0"/>
      <c r="AB326" s="0"/>
      <c r="AC326" s="0"/>
      <c r="AD326" s="0"/>
      <c r="AE326" s="0"/>
      <c r="AF326" s="0"/>
      <c r="AG326" s="0"/>
    </row>
    <row r="327" customFormat="false" ht="12.75" hidden="false" customHeight="false" outlineLevel="0" collapsed="false">
      <c r="A327" s="11" t="s">
        <v>4</v>
      </c>
      <c r="B327" s="12" t="s">
        <v>5</v>
      </c>
      <c r="C327" s="12" t="s">
        <v>6</v>
      </c>
      <c r="D327" s="13" t="n">
        <v>1999</v>
      </c>
      <c r="E327" s="14" t="n">
        <v>2000</v>
      </c>
      <c r="F327" s="14" t="n">
        <v>2001</v>
      </c>
      <c r="G327" s="14" t="n">
        <v>2002</v>
      </c>
      <c r="H327" s="14" t="n">
        <v>2003</v>
      </c>
      <c r="I327" s="14" t="n">
        <v>2004</v>
      </c>
      <c r="J327" s="14" t="n">
        <v>2005</v>
      </c>
      <c r="K327" s="14" t="n">
        <v>2006</v>
      </c>
      <c r="L327" s="14" t="n">
        <v>2007</v>
      </c>
      <c r="M327" s="14" t="n">
        <v>2008</v>
      </c>
      <c r="N327" s="14" t="n">
        <v>2009</v>
      </c>
      <c r="O327" s="15" t="n">
        <v>2010</v>
      </c>
      <c r="P327" s="16" t="n">
        <v>2011</v>
      </c>
      <c r="Q327" s="16" t="n">
        <v>2012</v>
      </c>
      <c r="R327" s="16" t="n">
        <v>2013</v>
      </c>
      <c r="S327" s="16" t="n">
        <v>2014</v>
      </c>
      <c r="T327" s="16" t="n">
        <v>2015</v>
      </c>
      <c r="U327" s="16" t="n">
        <v>2016</v>
      </c>
      <c r="V327" s="16" t="n">
        <v>2017</v>
      </c>
      <c r="W327" s="16" t="n">
        <v>2018</v>
      </c>
      <c r="X327" s="16" t="n">
        <v>2019</v>
      </c>
      <c r="Y327" s="0"/>
      <c r="Z327" s="0"/>
      <c r="AA327" s="0"/>
      <c r="AB327" s="0"/>
      <c r="AC327" s="0"/>
      <c r="AD327" s="0"/>
      <c r="AE327" s="0"/>
      <c r="AF327" s="0"/>
      <c r="AG327" s="0"/>
    </row>
    <row r="328" customFormat="false" ht="12.75" hidden="false" customHeight="false" outlineLevel="0" collapsed="false">
      <c r="A328" s="11" t="s">
        <v>7</v>
      </c>
      <c r="B328" s="17" t="n">
        <f aca="false">NPV(0.1,D328:Y328)</f>
        <v>403682.571902513</v>
      </c>
      <c r="C328" s="17" t="n">
        <f aca="false">B328-B318</f>
        <v>-2135.27967146679</v>
      </c>
      <c r="D328" s="18" t="n">
        <v>29055.45931</v>
      </c>
      <c r="E328" s="19" t="n">
        <v>39718.10131</v>
      </c>
      <c r="F328" s="19" t="n">
        <v>39774.38257</v>
      </c>
      <c r="G328" s="19" t="n">
        <v>39832.3522678</v>
      </c>
      <c r="H328" s="19" t="n">
        <v>44994.2238386982</v>
      </c>
      <c r="I328" s="19" t="n">
        <v>50316.6191138256</v>
      </c>
      <c r="J328" s="19" t="n">
        <v>50519.9422617869</v>
      </c>
      <c r="K328" s="19" t="n">
        <v>51299.1543344724</v>
      </c>
      <c r="L328" s="19" t="n">
        <v>52094.6146368625</v>
      </c>
      <c r="M328" s="19" t="n">
        <v>52906.596771874</v>
      </c>
      <c r="N328" s="19" t="n">
        <v>53735.376135192</v>
      </c>
      <c r="O328" s="20" t="n">
        <v>54581.2297765933</v>
      </c>
      <c r="P328" s="21" t="n">
        <v>55168.9876120811</v>
      </c>
      <c r="Q328" s="21" t="n">
        <v>55757.8512642782</v>
      </c>
      <c r="R328" s="21" t="n">
        <v>56347.3581001353</v>
      </c>
      <c r="S328" s="21" t="n">
        <v>56937.0167333849</v>
      </c>
      <c r="T328" s="21" t="n">
        <v>57526.3057157184</v>
      </c>
      <c r="U328" s="21" t="n">
        <v>57955.011942166</v>
      </c>
      <c r="V328" s="21" t="n">
        <v>58372.6303204354</v>
      </c>
      <c r="W328" s="21" t="n">
        <v>58778.109744032</v>
      </c>
      <c r="X328" s="21" t="n">
        <v>43010.244789135</v>
      </c>
      <c r="Y328" s="0"/>
      <c r="Z328" s="0"/>
      <c r="AA328" s="0"/>
      <c r="AB328" s="0"/>
      <c r="AC328" s="0"/>
      <c r="AD328" s="0"/>
      <c r="AE328" s="0"/>
      <c r="AF328" s="0"/>
      <c r="AG328" s="0"/>
    </row>
    <row r="329" customFormat="false" ht="12.75" hidden="false" customHeight="false" outlineLevel="0" collapsed="false">
      <c r="A329" s="22" t="s">
        <v>8</v>
      </c>
      <c r="B329" s="17" t="n">
        <f aca="false">NPV(0.1,D329:Y329)</f>
        <v>186153.158005455</v>
      </c>
      <c r="C329" s="17" t="n">
        <f aca="false">B329-B319</f>
        <v>-124.04430228073</v>
      </c>
      <c r="D329" s="18" t="n">
        <v>19737.5434141877</v>
      </c>
      <c r="E329" s="19" t="n">
        <v>21242.6345170247</v>
      </c>
      <c r="F329" s="19" t="n">
        <v>21325.208288709</v>
      </c>
      <c r="G329" s="19" t="n">
        <v>21410.7977938088</v>
      </c>
      <c r="H329" s="19" t="n">
        <v>21494.7361946994</v>
      </c>
      <c r="I329" s="19" t="n">
        <v>21588.5855339018</v>
      </c>
      <c r="J329" s="19" t="n">
        <v>21688.20736888</v>
      </c>
      <c r="K329" s="19" t="n">
        <v>21786.1574617299</v>
      </c>
      <c r="L329" s="19" t="n">
        <v>21888.0106690009</v>
      </c>
      <c r="M329" s="19" t="n">
        <v>21993.8554776184</v>
      </c>
      <c r="N329" s="19" t="n">
        <v>22098.4068418329</v>
      </c>
      <c r="O329" s="20" t="n">
        <v>22989.6033968843</v>
      </c>
      <c r="P329" s="21" t="n">
        <v>23043.014126908</v>
      </c>
      <c r="Q329" s="21" t="n">
        <v>23084.6190071766</v>
      </c>
      <c r="R329" s="21" t="n">
        <v>23130.8816756224</v>
      </c>
      <c r="S329" s="21" t="n">
        <v>23186.1997565232</v>
      </c>
      <c r="T329" s="21" t="n">
        <v>23218.1163383124</v>
      </c>
      <c r="U329" s="21" t="n">
        <v>23238.8070115392</v>
      </c>
      <c r="V329" s="21" t="n">
        <v>23264.7242058647</v>
      </c>
      <c r="W329" s="21" t="n">
        <v>23393.8259222685</v>
      </c>
      <c r="X329" s="21" t="n">
        <v>7091.26780975706</v>
      </c>
      <c r="Y329" s="0"/>
      <c r="Z329" s="0"/>
      <c r="AA329" s="0"/>
      <c r="AB329" s="0"/>
      <c r="AC329" s="0"/>
      <c r="AD329" s="0"/>
      <c r="AE329" s="0"/>
      <c r="AF329" s="0"/>
      <c r="AG329" s="0"/>
    </row>
    <row r="330" customFormat="false" ht="12.75" hidden="false" customHeight="false" outlineLevel="0" collapsed="false">
      <c r="A330" s="22" t="s">
        <v>9</v>
      </c>
      <c r="B330" s="17" t="n">
        <f aca="false">NPV(0.1,D330:Y330)</f>
        <v>86330.4255263757</v>
      </c>
      <c r="C330" s="17" t="n">
        <f aca="false">B330-B320</f>
        <v>-615.021705782056</v>
      </c>
      <c r="D330" s="18" t="n">
        <v>1875.17871509128</v>
      </c>
      <c r="E330" s="19" t="n">
        <v>3758.43055505252</v>
      </c>
      <c r="F330" s="19" t="n">
        <v>3961.94439534415</v>
      </c>
      <c r="G330" s="19" t="n">
        <v>4180.83585675293</v>
      </c>
      <c r="H330" s="19" t="n">
        <v>7478.33452701977</v>
      </c>
      <c r="I330" s="19" t="n">
        <v>10995.6740718656</v>
      </c>
      <c r="J330" s="19" t="n">
        <v>11422.520109303</v>
      </c>
      <c r="K330" s="19" t="n">
        <v>12112.8364366965</v>
      </c>
      <c r="L330" s="19" t="n">
        <v>12845.4831834727</v>
      </c>
      <c r="M330" s="19" t="n">
        <v>13623.5889888453</v>
      </c>
      <c r="N330" s="19" t="n">
        <v>14453.8879362724</v>
      </c>
      <c r="O330" s="20" t="n">
        <v>14847.5473067028</v>
      </c>
      <c r="P330" s="21" t="n">
        <v>15636.5044591154</v>
      </c>
      <c r="Q330" s="21" t="n">
        <v>16480.4827921446</v>
      </c>
      <c r="R330" s="21" t="n">
        <v>17372.9107035066</v>
      </c>
      <c r="S330" s="21" t="n">
        <v>18343.2085243023</v>
      </c>
      <c r="T330" s="21" t="n">
        <v>18720.1677938551</v>
      </c>
      <c r="U330" s="21" t="n">
        <v>18975.2667680203</v>
      </c>
      <c r="V330" s="21" t="n">
        <v>19220.1656926192</v>
      </c>
      <c r="W330" s="21" t="n">
        <v>19392.9622172382</v>
      </c>
      <c r="X330" s="21" t="n">
        <v>19727.2624048755</v>
      </c>
      <c r="Y330" s="0"/>
      <c r="Z330" s="0"/>
      <c r="AA330" s="0"/>
      <c r="AB330" s="0"/>
      <c r="AC330" s="0"/>
      <c r="AD330" s="0"/>
      <c r="AE330" s="0"/>
      <c r="AF330" s="0"/>
      <c r="AG330" s="0"/>
    </row>
    <row r="331" customFormat="false" ht="12.75" hidden="false" customHeight="false" outlineLevel="0" collapsed="false">
      <c r="A331" s="22" t="s">
        <v>10</v>
      </c>
      <c r="B331" s="17" t="n">
        <f aca="false">NPV(0.1,D331:Y331)</f>
        <v>95954.2221024433</v>
      </c>
      <c r="C331" s="17" t="n">
        <f aca="false">B331-B321</f>
        <v>-452.837909737791</v>
      </c>
      <c r="D331" s="23" t="n">
        <v>3222.44591396841</v>
      </c>
      <c r="E331" s="24" t="n">
        <v>6928.68703222633</v>
      </c>
      <c r="F331" s="24" t="n">
        <v>6369.44540326319</v>
      </c>
      <c r="G331" s="24" t="n">
        <v>6359.89355323869</v>
      </c>
      <c r="H331" s="24" t="n">
        <v>14382.542146266</v>
      </c>
      <c r="I331" s="24" t="n">
        <v>13058.3915414827</v>
      </c>
      <c r="J331" s="24" t="n">
        <v>12207.7129760153</v>
      </c>
      <c r="K331" s="24" t="n">
        <v>12197.5708204398</v>
      </c>
      <c r="L331" s="24" t="n">
        <v>12162.9426983731</v>
      </c>
      <c r="M331" s="24" t="n">
        <v>12119.1039932774</v>
      </c>
      <c r="N331" s="24" t="n">
        <v>12037.2951420813</v>
      </c>
      <c r="O331" s="25" t="n">
        <v>12555.6842439572</v>
      </c>
      <c r="P331" s="21" t="n">
        <v>11544.3410781071</v>
      </c>
      <c r="Q331" s="21" t="n">
        <v>11346.0445743847</v>
      </c>
      <c r="R331" s="21" t="n">
        <v>11120.3454012765</v>
      </c>
      <c r="S331" s="21" t="n">
        <v>22684.0797922102</v>
      </c>
      <c r="T331" s="21" t="n">
        <v>21319.3948491057</v>
      </c>
      <c r="U331" s="21" t="n">
        <v>21558.1527697461</v>
      </c>
      <c r="V331" s="21" t="n">
        <v>21803.051694345</v>
      </c>
      <c r="W331" s="21" t="n">
        <v>22073.8945401134</v>
      </c>
      <c r="X331" s="21" t="n">
        <v>22130.3968178271</v>
      </c>
      <c r="Y331" s="0"/>
      <c r="Z331" s="0"/>
      <c r="AA331" s="0"/>
      <c r="AB331" s="0"/>
      <c r="AC331" s="0"/>
      <c r="AD331" s="0"/>
      <c r="AE331" s="0"/>
      <c r="AF331" s="0"/>
      <c r="AG331" s="0"/>
    </row>
    <row r="332" customFormat="false" ht="12.75" hidden="false" customHeight="false" outlineLevel="0" collapsed="false">
      <c r="A332" s="5"/>
      <c r="B332" s="5"/>
      <c r="C332" s="5"/>
      <c r="D332" s="0"/>
      <c r="E332" s="0"/>
      <c r="F332" s="0"/>
      <c r="G332" s="0"/>
      <c r="H332" s="0"/>
      <c r="I332" s="0"/>
      <c r="J332" s="0"/>
      <c r="K332" s="0"/>
      <c r="L332" s="0"/>
      <c r="M332" s="0"/>
      <c r="N332" s="0"/>
      <c r="O332" s="0"/>
      <c r="P332" s="0"/>
      <c r="Q332" s="0"/>
      <c r="R332" s="0"/>
      <c r="S332" s="0"/>
      <c r="T332" s="0"/>
      <c r="U332" s="0"/>
      <c r="V332" s="0"/>
      <c r="W332" s="0"/>
      <c r="X332" s="0"/>
      <c r="Y332" s="0"/>
      <c r="Z332" s="0"/>
      <c r="AA332" s="0"/>
      <c r="AB332" s="0"/>
      <c r="AC332" s="0"/>
      <c r="AD332" s="0"/>
      <c r="AE332" s="0"/>
      <c r="AF332" s="0"/>
      <c r="AG332" s="0"/>
    </row>
    <row r="333" customFormat="false" ht="12.75" hidden="false" customHeight="false" outlineLevel="0" collapsed="false">
      <c r="A333" s="26" t="s">
        <v>45</v>
      </c>
      <c r="B333" s="5"/>
      <c r="C333" s="5"/>
      <c r="D333" s="0"/>
      <c r="E333" s="0"/>
      <c r="F333" s="0"/>
      <c r="G333" s="0"/>
      <c r="H333" s="0"/>
      <c r="I333" s="0"/>
      <c r="J333" s="0"/>
      <c r="K333" s="0"/>
      <c r="L333" s="0"/>
      <c r="M333" s="0"/>
      <c r="N333" s="0"/>
      <c r="O333" s="0"/>
      <c r="P333" s="0"/>
      <c r="Q333" s="0"/>
      <c r="R333" s="0"/>
      <c r="S333" s="0"/>
      <c r="T333" s="0"/>
      <c r="U333" s="0"/>
      <c r="V333" s="0"/>
      <c r="W333" s="0"/>
      <c r="X333" s="0"/>
      <c r="Y333" s="0"/>
      <c r="Z333" s="0"/>
      <c r="AA333" s="0"/>
      <c r="AB333" s="0"/>
      <c r="AC333" s="0"/>
      <c r="AD333" s="0"/>
      <c r="AE333" s="0"/>
      <c r="AF333" s="0"/>
      <c r="AG333" s="0"/>
    </row>
    <row r="334" customFormat="false" ht="12.75" hidden="false" customHeight="false" outlineLevel="0" collapsed="false">
      <c r="A334" s="28" t="n">
        <v>36284</v>
      </c>
      <c r="B334" s="5"/>
      <c r="C334" s="5"/>
      <c r="D334" s="0"/>
      <c r="E334" s="0"/>
      <c r="F334" s="0"/>
      <c r="G334" s="0"/>
      <c r="H334" s="0"/>
      <c r="I334" s="0"/>
      <c r="J334" s="0"/>
      <c r="K334" s="0"/>
      <c r="L334" s="0"/>
      <c r="M334" s="0"/>
      <c r="N334" s="0"/>
      <c r="O334" s="0"/>
      <c r="P334" s="0"/>
      <c r="Q334" s="0"/>
      <c r="R334" s="0"/>
      <c r="S334" s="0"/>
      <c r="T334" s="0"/>
      <c r="U334" s="0"/>
      <c r="V334" s="0"/>
      <c r="W334" s="0"/>
      <c r="X334" s="0"/>
      <c r="Y334" s="0"/>
      <c r="Z334" s="0"/>
      <c r="AA334" s="0"/>
      <c r="AB334" s="0"/>
      <c r="AC334" s="0"/>
      <c r="AD334" s="0"/>
      <c r="AE334" s="0"/>
      <c r="AF334" s="0"/>
      <c r="AG334" s="0"/>
    </row>
    <row r="335" customFormat="false" ht="12.75" hidden="false" customHeight="false" outlineLevel="0" collapsed="false">
      <c r="A335" s="7" t="s">
        <v>2</v>
      </c>
      <c r="B335" s="8" t="n">
        <v>33234.5151081949</v>
      </c>
      <c r="C335" s="5"/>
      <c r="D335" s="0"/>
      <c r="E335" s="0"/>
      <c r="F335" s="0"/>
      <c r="G335" s="0"/>
      <c r="H335" s="0"/>
      <c r="I335" s="0"/>
      <c r="J335" s="0"/>
      <c r="K335" s="0"/>
      <c r="L335" s="0"/>
      <c r="M335" s="0"/>
      <c r="N335" s="0"/>
      <c r="O335" s="0"/>
      <c r="P335" s="0"/>
      <c r="Q335" s="0"/>
      <c r="R335" s="0"/>
      <c r="S335" s="0"/>
      <c r="T335" s="0"/>
      <c r="U335" s="0"/>
      <c r="V335" s="0"/>
      <c r="W335" s="0"/>
      <c r="X335" s="0"/>
      <c r="Y335" s="0"/>
      <c r="Z335" s="0"/>
      <c r="AA335" s="0"/>
      <c r="AB335" s="0"/>
      <c r="AC335" s="0"/>
      <c r="AD335" s="0"/>
      <c r="AE335" s="0"/>
      <c r="AF335" s="0"/>
      <c r="AG335" s="0"/>
    </row>
    <row r="336" customFormat="false" ht="12.75" hidden="false" customHeight="false" outlineLevel="0" collapsed="false">
      <c r="A336" s="9" t="s">
        <v>3</v>
      </c>
      <c r="B336" s="10" t="n">
        <v>64774.6021087828</v>
      </c>
      <c r="C336" s="5"/>
      <c r="D336" s="0"/>
      <c r="E336" s="0"/>
      <c r="F336" s="0"/>
      <c r="G336" s="0"/>
      <c r="H336" s="0"/>
      <c r="I336" s="0"/>
      <c r="J336" s="0"/>
      <c r="K336" s="0"/>
      <c r="L336" s="0"/>
      <c r="M336" s="0"/>
      <c r="N336" s="0"/>
      <c r="O336" s="0"/>
      <c r="P336" s="0"/>
      <c r="Q336" s="0"/>
      <c r="R336" s="0"/>
      <c r="S336" s="0"/>
      <c r="T336" s="0"/>
      <c r="U336" s="0"/>
      <c r="V336" s="0"/>
      <c r="W336" s="0"/>
      <c r="X336" s="0"/>
      <c r="Y336" s="0"/>
      <c r="Z336" s="0"/>
      <c r="AA336" s="0"/>
      <c r="AB336" s="0"/>
      <c r="AC336" s="0"/>
      <c r="AD336" s="0"/>
      <c r="AE336" s="0"/>
      <c r="AF336" s="0"/>
      <c r="AG336" s="0"/>
    </row>
    <row r="337" customFormat="false" ht="12.75" hidden="false" customHeight="false" outlineLevel="0" collapsed="false">
      <c r="A337" s="11" t="s">
        <v>4</v>
      </c>
      <c r="B337" s="12" t="s">
        <v>5</v>
      </c>
      <c r="C337" s="12" t="s">
        <v>6</v>
      </c>
      <c r="D337" s="13" t="n">
        <v>1999</v>
      </c>
      <c r="E337" s="14" t="n">
        <v>2000</v>
      </c>
      <c r="F337" s="14" t="n">
        <v>2001</v>
      </c>
      <c r="G337" s="14" t="n">
        <v>2002</v>
      </c>
      <c r="H337" s="14" t="n">
        <v>2003</v>
      </c>
      <c r="I337" s="14" t="n">
        <v>2004</v>
      </c>
      <c r="J337" s="14" t="n">
        <v>2005</v>
      </c>
      <c r="K337" s="14" t="n">
        <v>2006</v>
      </c>
      <c r="L337" s="14" t="n">
        <v>2007</v>
      </c>
      <c r="M337" s="14" t="n">
        <v>2008</v>
      </c>
      <c r="N337" s="14" t="n">
        <v>2009</v>
      </c>
      <c r="O337" s="15" t="n">
        <v>2010</v>
      </c>
      <c r="P337" s="16" t="n">
        <v>2011</v>
      </c>
      <c r="Q337" s="16" t="n">
        <v>2012</v>
      </c>
      <c r="R337" s="16" t="n">
        <v>2013</v>
      </c>
      <c r="S337" s="16" t="n">
        <v>2014</v>
      </c>
      <c r="T337" s="16" t="n">
        <v>2015</v>
      </c>
      <c r="U337" s="16" t="n">
        <v>2016</v>
      </c>
      <c r="V337" s="16" t="n">
        <v>2017</v>
      </c>
      <c r="W337" s="16" t="n">
        <v>2018</v>
      </c>
      <c r="X337" s="16" t="n">
        <v>2019</v>
      </c>
      <c r="Y337" s="0"/>
      <c r="Z337" s="0"/>
      <c r="AA337" s="0"/>
      <c r="AB337" s="0"/>
      <c r="AC337" s="0"/>
      <c r="AD337" s="0"/>
      <c r="AE337" s="0"/>
      <c r="AF337" s="0"/>
      <c r="AG337" s="0"/>
    </row>
    <row r="338" customFormat="false" ht="12.75" hidden="false" customHeight="false" outlineLevel="0" collapsed="false">
      <c r="A338" s="11" t="s">
        <v>7</v>
      </c>
      <c r="B338" s="17" t="n">
        <f aca="false">NPV(0.1,D338:Y338)</f>
        <v>398453.040279642</v>
      </c>
      <c r="C338" s="17" t="n">
        <f aca="false">B338-B328</f>
        <v>-5229.53162287158</v>
      </c>
      <c r="D338" s="18" t="n">
        <v>29055.45931</v>
      </c>
      <c r="E338" s="19" t="n">
        <v>39718.10131</v>
      </c>
      <c r="F338" s="19" t="n">
        <v>39774.38257</v>
      </c>
      <c r="G338" s="19" t="n">
        <v>39832.3522678</v>
      </c>
      <c r="H338" s="19" t="n">
        <v>44564.1274463828</v>
      </c>
      <c r="I338" s="19" t="n">
        <v>49350.8895996085</v>
      </c>
      <c r="J338" s="19" t="n">
        <v>49551.0847958043</v>
      </c>
      <c r="K338" s="19" t="n">
        <v>50315.6792935658</v>
      </c>
      <c r="L338" s="19" t="n">
        <v>51096.2260564335</v>
      </c>
      <c r="M338" s="19" t="n">
        <v>51892.994085266</v>
      </c>
      <c r="N338" s="19" t="n">
        <v>52706.2541639345</v>
      </c>
      <c r="O338" s="20" t="n">
        <v>53536.2787242033</v>
      </c>
      <c r="P338" s="21" t="n">
        <v>54113.4020344276</v>
      </c>
      <c r="Q338" s="21" t="n">
        <v>54691.6426639704</v>
      </c>
      <c r="R338" s="21" t="n">
        <v>55270.5482410116</v>
      </c>
      <c r="S338" s="21" t="n">
        <v>55849.6382458346</v>
      </c>
      <c r="T338" s="21" t="n">
        <v>56428.4027290869</v>
      </c>
      <c r="U338" s="21" t="n">
        <v>56849.8339499882</v>
      </c>
      <c r="V338" s="21" t="n">
        <v>57260.4380532441</v>
      </c>
      <c r="W338" s="21" t="n">
        <v>57659.1861236973</v>
      </c>
      <c r="X338" s="21" t="n">
        <v>42208.0980502866</v>
      </c>
      <c r="Y338" s="0"/>
      <c r="Z338" s="0"/>
      <c r="AA338" s="0"/>
      <c r="AB338" s="0"/>
      <c r="AC338" s="0"/>
      <c r="AD338" s="0"/>
      <c r="AE338" s="0"/>
      <c r="AF338" s="0"/>
      <c r="AG338" s="0"/>
    </row>
    <row r="339" customFormat="false" ht="12.75" hidden="false" customHeight="false" outlineLevel="0" collapsed="false">
      <c r="A339" s="22" t="s">
        <v>8</v>
      </c>
      <c r="B339" s="17" t="n">
        <f aca="false">NPV(0.1,D339:Y339)</f>
        <v>184525.574338193</v>
      </c>
      <c r="C339" s="17" t="n">
        <f aca="false">B339-B329</f>
        <v>-1627.58366726252</v>
      </c>
      <c r="D339" s="18" t="n">
        <v>19737.4917436032</v>
      </c>
      <c r="E339" s="19" t="n">
        <v>21242.4754481694</v>
      </c>
      <c r="F339" s="19" t="n">
        <v>21324.9333901471</v>
      </c>
      <c r="G339" s="19" t="n">
        <v>21410.3979748352</v>
      </c>
      <c r="H339" s="19" t="n">
        <v>21332.8565181238</v>
      </c>
      <c r="I339" s="19" t="n">
        <v>21265.3835093018</v>
      </c>
      <c r="J339" s="19" t="n">
        <v>21365.00534428</v>
      </c>
      <c r="K339" s="19" t="n">
        <v>21462.9554371299</v>
      </c>
      <c r="L339" s="19" t="n">
        <v>21564.8086444009</v>
      </c>
      <c r="M339" s="19" t="n">
        <v>21670.6534530184</v>
      </c>
      <c r="N339" s="19" t="n">
        <v>21775.2048172329</v>
      </c>
      <c r="O339" s="20" t="n">
        <v>22666.4013722843</v>
      </c>
      <c r="P339" s="21" t="n">
        <v>22719.812102308</v>
      </c>
      <c r="Q339" s="21" t="n">
        <v>22761.4169825766</v>
      </c>
      <c r="R339" s="21" t="n">
        <v>22807.6796510224</v>
      </c>
      <c r="S339" s="21" t="n">
        <v>22862.9977319232</v>
      </c>
      <c r="T339" s="21" t="n">
        <v>22894.9143137124</v>
      </c>
      <c r="U339" s="21" t="n">
        <v>22915.6049869392</v>
      </c>
      <c r="V339" s="21" t="n">
        <v>22941.5221812647</v>
      </c>
      <c r="W339" s="21" t="n">
        <v>23070.6238976685</v>
      </c>
      <c r="X339" s="21" t="n">
        <v>7091.26780975706</v>
      </c>
      <c r="Y339" s="0"/>
      <c r="Z339" s="0"/>
      <c r="AA339" s="0"/>
      <c r="AB339" s="0"/>
      <c r="AC339" s="0"/>
      <c r="AD339" s="0"/>
      <c r="AE339" s="0"/>
      <c r="AF339" s="0"/>
      <c r="AG339" s="0"/>
    </row>
    <row r="340" customFormat="false" ht="12.75" hidden="false" customHeight="false" outlineLevel="0" collapsed="false">
      <c r="A340" s="22" t="s">
        <v>9</v>
      </c>
      <c r="B340" s="17" t="n">
        <f aca="false">NPV(0.1,D340:Y340)</f>
        <v>84578.7484539973</v>
      </c>
      <c r="C340" s="17" t="n">
        <f aca="false">B340-B330</f>
        <v>-1751.67707237837</v>
      </c>
      <c r="D340" s="18" t="n">
        <v>1908.54507947595</v>
      </c>
      <c r="E340" s="19" t="n">
        <v>3827.78316389303</v>
      </c>
      <c r="F340" s="19" t="n">
        <v>4036.74161763905</v>
      </c>
      <c r="G340" s="19" t="n">
        <v>4261.50341670937</v>
      </c>
      <c r="H340" s="19" t="n">
        <v>7400.0986828016</v>
      </c>
      <c r="I340" s="19" t="n">
        <v>10685.2688132315</v>
      </c>
      <c r="J340" s="19" t="n">
        <v>11104.7680514023</v>
      </c>
      <c r="K340" s="19" t="n">
        <v>11780.0609517593</v>
      </c>
      <c r="L340" s="19" t="n">
        <v>12496.7396459932</v>
      </c>
      <c r="M340" s="19" t="n">
        <v>13257.8632811329</v>
      </c>
      <c r="N340" s="19" t="n">
        <v>14070.0910222243</v>
      </c>
      <c r="O340" s="20" t="n">
        <v>14444.5093739974</v>
      </c>
      <c r="P340" s="21" t="n">
        <v>15216.4129084098</v>
      </c>
      <c r="Q340" s="21" t="n">
        <v>16042.302299794</v>
      </c>
      <c r="R340" s="21" t="n">
        <v>16915.5291874471</v>
      </c>
      <c r="S340" s="21" t="n">
        <v>17865.4310713571</v>
      </c>
      <c r="T340" s="21" t="n">
        <v>18235.81022675</v>
      </c>
      <c r="U340" s="21" t="n">
        <v>18486.3607310413</v>
      </c>
      <c r="V340" s="21" t="n">
        <v>18726.8741993841</v>
      </c>
      <c r="W340" s="21" t="n">
        <v>18895.4621558049</v>
      </c>
      <c r="X340" s="21" t="n">
        <v>19225.7452234961</v>
      </c>
      <c r="Y340" s="0"/>
      <c r="Z340" s="0"/>
      <c r="AA340" s="0"/>
      <c r="AB340" s="0"/>
      <c r="AC340" s="0"/>
      <c r="AD340" s="0"/>
      <c r="AE340" s="0"/>
      <c r="AF340" s="0"/>
      <c r="AG340" s="0"/>
    </row>
    <row r="341" customFormat="false" ht="12.75" hidden="false" customHeight="false" outlineLevel="0" collapsed="false">
      <c r="A341" s="22" t="s">
        <v>10</v>
      </c>
      <c r="B341" s="17" t="n">
        <f aca="false">NPV(0.1,D341:Y341)</f>
        <v>94536.7605625446</v>
      </c>
      <c r="C341" s="17" t="n">
        <f aca="false">B341-B331</f>
        <v>-1417.46153989868</v>
      </c>
      <c r="D341" s="23" t="n">
        <v>3222.46378337889</v>
      </c>
      <c r="E341" s="24" t="n">
        <v>6928.74204353878</v>
      </c>
      <c r="F341" s="24" t="n">
        <v>6369.54047234917</v>
      </c>
      <c r="G341" s="24" t="n">
        <v>6360.03182396705</v>
      </c>
      <c r="H341" s="24" t="n">
        <v>14218.2594078753</v>
      </c>
      <c r="I341" s="24" t="n">
        <v>12745.6530660294</v>
      </c>
      <c r="J341" s="24" t="n">
        <v>12009.0751916859</v>
      </c>
      <c r="K341" s="24" t="n">
        <v>11999.2857809293</v>
      </c>
      <c r="L341" s="24" t="n">
        <v>11965.4142577633</v>
      </c>
      <c r="M341" s="24" t="n">
        <v>11922.7762326559</v>
      </c>
      <c r="N341" s="24" t="n">
        <v>11842.6557247511</v>
      </c>
      <c r="O341" s="25" t="n">
        <v>12363.2680401602</v>
      </c>
      <c r="P341" s="21" t="n">
        <v>11355.974804728</v>
      </c>
      <c r="Q341" s="21" t="n">
        <v>11162.3765906084</v>
      </c>
      <c r="R341" s="21" t="n">
        <v>10942.0778980037</v>
      </c>
      <c r="S341" s="21" t="n">
        <v>22206.302339265</v>
      </c>
      <c r="T341" s="21" t="n">
        <v>20835.0372820006</v>
      </c>
      <c r="U341" s="21" t="n">
        <v>21069.246732767</v>
      </c>
      <c r="V341" s="21" t="n">
        <v>21309.7602011098</v>
      </c>
      <c r="W341" s="21" t="n">
        <v>21576.3944786802</v>
      </c>
      <c r="X341" s="21" t="n">
        <v>21628.8796364477</v>
      </c>
      <c r="Y341" s="0"/>
      <c r="Z341" s="0"/>
      <c r="AA341" s="0"/>
      <c r="AB341" s="0"/>
      <c r="AC341" s="0"/>
      <c r="AD341" s="0"/>
      <c r="AE341" s="0"/>
      <c r="AF341" s="0"/>
      <c r="AG341" s="0"/>
    </row>
    <row r="342" customFormat="false" ht="12.75" hidden="false" customHeight="false" outlineLevel="0" collapsed="false">
      <c r="A342" s="5"/>
      <c r="B342" s="5"/>
      <c r="C342" s="5"/>
      <c r="D342" s="0"/>
      <c r="E342" s="0"/>
      <c r="F342" s="0"/>
      <c r="G342" s="0"/>
      <c r="H342" s="0"/>
      <c r="I342" s="0"/>
      <c r="J342" s="0"/>
      <c r="K342" s="0"/>
      <c r="L342" s="0"/>
      <c r="M342" s="0"/>
      <c r="N342" s="0"/>
      <c r="O342" s="0"/>
      <c r="P342" s="0"/>
      <c r="Q342" s="0"/>
      <c r="R342" s="0"/>
      <c r="S342" s="0"/>
      <c r="T342" s="0"/>
      <c r="U342" s="0"/>
      <c r="V342" s="0"/>
      <c r="W342" s="0"/>
      <c r="X342" s="0"/>
      <c r="Y342" s="0"/>
      <c r="Z342" s="0"/>
      <c r="AA342" s="0"/>
      <c r="AB342" s="0"/>
      <c r="AC342" s="0"/>
      <c r="AD342" s="0"/>
      <c r="AE342" s="0"/>
      <c r="AF342" s="0"/>
      <c r="AG342" s="0"/>
    </row>
    <row r="343" customFormat="false" ht="12.75" hidden="false" customHeight="false" outlineLevel="0" collapsed="false">
      <c r="A343" s="26" t="s">
        <v>46</v>
      </c>
      <c r="B343" s="5"/>
      <c r="C343" s="5"/>
      <c r="D343" s="0"/>
      <c r="E343" s="0"/>
      <c r="F343" s="0"/>
      <c r="G343" s="0"/>
      <c r="H343" s="0"/>
      <c r="I343" s="0"/>
      <c r="J343" s="0"/>
      <c r="K343" s="0"/>
      <c r="L343" s="0"/>
      <c r="M343" s="0"/>
      <c r="N343" s="0"/>
      <c r="O343" s="0"/>
      <c r="P343" s="0"/>
      <c r="Q343" s="0"/>
      <c r="R343" s="0"/>
      <c r="S343" s="0"/>
      <c r="T343" s="0"/>
      <c r="U343" s="0"/>
      <c r="V343" s="0"/>
      <c r="W343" s="0"/>
      <c r="X343" s="0"/>
      <c r="Y343" s="0"/>
      <c r="Z343" s="0"/>
      <c r="AA343" s="0"/>
      <c r="AB343" s="0"/>
      <c r="AC343" s="0"/>
      <c r="AD343" s="0"/>
      <c r="AE343" s="0"/>
      <c r="AF343" s="0"/>
      <c r="AG343" s="0"/>
    </row>
    <row r="344" customFormat="false" ht="12.75" hidden="false" customHeight="false" outlineLevel="0" collapsed="false">
      <c r="A344" s="28" t="n">
        <v>36284</v>
      </c>
      <c r="B344" s="5"/>
      <c r="C344" s="5"/>
      <c r="D344" s="0"/>
      <c r="E344" s="0"/>
      <c r="F344" s="0"/>
      <c r="G344" s="0"/>
      <c r="H344" s="0"/>
      <c r="I344" s="0"/>
      <c r="J344" s="0"/>
      <c r="K344" s="0"/>
      <c r="L344" s="0"/>
      <c r="M344" s="0"/>
      <c r="N344" s="0"/>
      <c r="O344" s="0"/>
      <c r="P344" s="0"/>
      <c r="Q344" s="0"/>
      <c r="R344" s="0"/>
      <c r="S344" s="0"/>
      <c r="T344" s="0"/>
      <c r="U344" s="0"/>
      <c r="V344" s="0"/>
      <c r="W344" s="0"/>
      <c r="X344" s="0"/>
      <c r="Y344" s="0"/>
      <c r="Z344" s="0"/>
      <c r="AA344" s="0"/>
      <c r="AB344" s="0"/>
      <c r="AC344" s="0"/>
      <c r="AD344" s="0"/>
      <c r="AE344" s="0"/>
      <c r="AF344" s="0"/>
      <c r="AG344" s="0"/>
    </row>
    <row r="345" customFormat="false" ht="12.75" hidden="false" customHeight="false" outlineLevel="0" collapsed="false">
      <c r="A345" s="7" t="s">
        <v>2</v>
      </c>
      <c r="B345" s="8" t="n">
        <v>31400.1485465796</v>
      </c>
      <c r="C345" s="5"/>
      <c r="D345" s="0"/>
      <c r="E345" s="0"/>
      <c r="F345" s="0"/>
      <c r="G345" s="0"/>
      <c r="H345" s="0"/>
      <c r="I345" s="0"/>
      <c r="J345" s="0"/>
      <c r="K345" s="0"/>
      <c r="L345" s="0"/>
      <c r="M345" s="0"/>
      <c r="N345" s="0"/>
      <c r="O345" s="0"/>
      <c r="P345" s="0"/>
      <c r="Q345" s="0"/>
      <c r="R345" s="0"/>
      <c r="S345" s="0"/>
      <c r="T345" s="0"/>
      <c r="U345" s="0"/>
      <c r="V345" s="0"/>
      <c r="W345" s="0"/>
      <c r="X345" s="0"/>
      <c r="Y345" s="0"/>
      <c r="Z345" s="0"/>
      <c r="AA345" s="0"/>
      <c r="AB345" s="0"/>
      <c r="AC345" s="0"/>
      <c r="AD345" s="0"/>
      <c r="AE345" s="0"/>
      <c r="AF345" s="0"/>
      <c r="AG345" s="0"/>
    </row>
    <row r="346" customFormat="false" ht="12.75" hidden="false" customHeight="false" outlineLevel="0" collapsed="false">
      <c r="A346" s="9" t="s">
        <v>3</v>
      </c>
      <c r="B346" s="10" t="n">
        <v>62270.5533007908</v>
      </c>
      <c r="C346" s="5"/>
      <c r="D346" s="0"/>
      <c r="E346" s="0"/>
      <c r="F346" s="0"/>
      <c r="G346" s="0"/>
      <c r="H346" s="0"/>
      <c r="I346" s="0"/>
      <c r="J346" s="0"/>
      <c r="K346" s="0"/>
      <c r="L346" s="0"/>
      <c r="M346" s="0"/>
      <c r="N346" s="0"/>
      <c r="O346" s="0"/>
      <c r="P346" s="0"/>
      <c r="Q346" s="0"/>
      <c r="R346" s="0"/>
      <c r="S346" s="0"/>
      <c r="T346" s="0"/>
      <c r="U346" s="0"/>
      <c r="V346" s="0"/>
      <c r="W346" s="0"/>
      <c r="X346" s="0"/>
      <c r="Y346" s="0"/>
      <c r="Z346" s="0"/>
      <c r="AA346" s="0"/>
      <c r="AB346" s="0"/>
      <c r="AC346" s="0"/>
      <c r="AD346" s="0"/>
      <c r="AE346" s="0"/>
      <c r="AF346" s="0"/>
      <c r="AG346" s="0"/>
    </row>
    <row r="347" customFormat="false" ht="12.75" hidden="false" customHeight="false" outlineLevel="0" collapsed="false">
      <c r="A347" s="11" t="s">
        <v>4</v>
      </c>
      <c r="B347" s="12" t="s">
        <v>5</v>
      </c>
      <c r="C347" s="12" t="s">
        <v>6</v>
      </c>
      <c r="D347" s="13" t="n">
        <v>1999</v>
      </c>
      <c r="E347" s="14" t="n">
        <v>2000</v>
      </c>
      <c r="F347" s="14" t="n">
        <v>2001</v>
      </c>
      <c r="G347" s="14" t="n">
        <v>2002</v>
      </c>
      <c r="H347" s="14" t="n">
        <v>2003</v>
      </c>
      <c r="I347" s="14" t="n">
        <v>2004</v>
      </c>
      <c r="J347" s="14" t="n">
        <v>2005</v>
      </c>
      <c r="K347" s="14" t="n">
        <v>2006</v>
      </c>
      <c r="L347" s="14" t="n">
        <v>2007</v>
      </c>
      <c r="M347" s="14" t="n">
        <v>2008</v>
      </c>
      <c r="N347" s="14" t="n">
        <v>2009</v>
      </c>
      <c r="O347" s="15" t="n">
        <v>2010</v>
      </c>
      <c r="P347" s="16" t="n">
        <v>2011</v>
      </c>
      <c r="Q347" s="16" t="n">
        <v>2012</v>
      </c>
      <c r="R347" s="16" t="n">
        <v>2013</v>
      </c>
      <c r="S347" s="16" t="n">
        <v>2014</v>
      </c>
      <c r="T347" s="16" t="n">
        <v>2015</v>
      </c>
      <c r="U347" s="16" t="n">
        <v>2016</v>
      </c>
      <c r="V347" s="16" t="n">
        <v>2017</v>
      </c>
      <c r="W347" s="16" t="n">
        <v>2018</v>
      </c>
      <c r="X347" s="16" t="n">
        <v>2019</v>
      </c>
      <c r="Y347" s="0"/>
      <c r="Z347" s="0"/>
      <c r="AA347" s="0"/>
      <c r="AB347" s="0"/>
      <c r="AC347" s="0"/>
      <c r="AD347" s="0"/>
      <c r="AE347" s="0"/>
      <c r="AF347" s="0"/>
      <c r="AG347" s="0"/>
    </row>
    <row r="348" customFormat="false" ht="12.75" hidden="false" customHeight="false" outlineLevel="0" collapsed="false">
      <c r="A348" s="11" t="s">
        <v>7</v>
      </c>
      <c r="B348" s="17" t="n">
        <f aca="false">NPV(0.1,D348:Y348)</f>
        <v>398453.040279642</v>
      </c>
      <c r="C348" s="17" t="n">
        <f aca="false">B348-B338</f>
        <v>0</v>
      </c>
      <c r="D348" s="18" t="n">
        <v>29055.45931</v>
      </c>
      <c r="E348" s="19" t="n">
        <v>39718.10131</v>
      </c>
      <c r="F348" s="19" t="n">
        <v>39774.38257</v>
      </c>
      <c r="G348" s="19" t="n">
        <v>39832.3522678</v>
      </c>
      <c r="H348" s="19" t="n">
        <v>44564.1274463828</v>
      </c>
      <c r="I348" s="19" t="n">
        <v>49350.8895996085</v>
      </c>
      <c r="J348" s="19" t="n">
        <v>49551.0847958043</v>
      </c>
      <c r="K348" s="19" t="n">
        <v>50315.6792935658</v>
      </c>
      <c r="L348" s="19" t="n">
        <v>51096.2260564335</v>
      </c>
      <c r="M348" s="19" t="n">
        <v>51892.994085266</v>
      </c>
      <c r="N348" s="19" t="n">
        <v>52706.2541639345</v>
      </c>
      <c r="O348" s="20" t="n">
        <v>53536.2787242033</v>
      </c>
      <c r="P348" s="21" t="n">
        <v>54113.4020344276</v>
      </c>
      <c r="Q348" s="21" t="n">
        <v>54691.6426639704</v>
      </c>
      <c r="R348" s="21" t="n">
        <v>55270.5482410116</v>
      </c>
      <c r="S348" s="21" t="n">
        <v>55849.6382458346</v>
      </c>
      <c r="T348" s="21" t="n">
        <v>56428.4027290869</v>
      </c>
      <c r="U348" s="21" t="n">
        <v>56849.8339499882</v>
      </c>
      <c r="V348" s="21" t="n">
        <v>57260.4380532441</v>
      </c>
      <c r="W348" s="21" t="n">
        <v>57659.1861236973</v>
      </c>
      <c r="X348" s="21" t="n">
        <v>42208.0980502866</v>
      </c>
      <c r="Y348" s="0"/>
      <c r="Z348" s="0"/>
      <c r="AA348" s="0"/>
      <c r="AB348" s="0"/>
      <c r="AC348" s="0"/>
      <c r="AD348" s="0"/>
      <c r="AE348" s="0"/>
      <c r="AF348" s="0"/>
      <c r="AG348" s="0"/>
    </row>
    <row r="349" customFormat="false" ht="12.75" hidden="false" customHeight="false" outlineLevel="0" collapsed="false">
      <c r="A349" s="22" t="s">
        <v>8</v>
      </c>
      <c r="B349" s="17" t="n">
        <f aca="false">NPV(0.1,D349:Y349)</f>
        <v>187087.039067461</v>
      </c>
      <c r="C349" s="17" t="n">
        <f aca="false">B349-B339</f>
        <v>2561.46472926889</v>
      </c>
      <c r="D349" s="18" t="n">
        <v>19737.4559262017</v>
      </c>
      <c r="E349" s="19" t="n">
        <v>21242.3651836326</v>
      </c>
      <c r="F349" s="19" t="n">
        <v>21324.7428339096</v>
      </c>
      <c r="G349" s="19" t="n">
        <v>21410.120825334</v>
      </c>
      <c r="H349" s="19" t="n">
        <v>21537.4420856566</v>
      </c>
      <c r="I349" s="19" t="n">
        <v>21687.1904820418</v>
      </c>
      <c r="J349" s="19" t="n">
        <v>21799.4665262021</v>
      </c>
      <c r="K349" s="19" t="n">
        <v>21910.4504545097</v>
      </c>
      <c r="L349" s="19" t="n">
        <v>22025.7285123021</v>
      </c>
      <c r="M349" s="19" t="n">
        <v>22145.4009169566</v>
      </c>
      <c r="N349" s="19" t="n">
        <v>22264.1947050893</v>
      </c>
      <c r="O349" s="20" t="n">
        <v>23170.0609567764</v>
      </c>
      <c r="P349" s="21" t="n">
        <v>23238.5814743349</v>
      </c>
      <c r="Q349" s="21" t="n">
        <v>23295.7494357642</v>
      </c>
      <c r="R349" s="21" t="n">
        <v>23358.0420778058</v>
      </c>
      <c r="S349" s="21" t="n">
        <v>23429.87103151</v>
      </c>
      <c r="T349" s="21" t="n">
        <v>23478.7938122868</v>
      </c>
      <c r="U349" s="21" t="n">
        <v>23517.0008704709</v>
      </c>
      <c r="V349" s="21" t="n">
        <v>23560.9599413023</v>
      </c>
      <c r="W349" s="21" t="n">
        <v>23708.6447905073</v>
      </c>
      <c r="X349" s="21" t="n">
        <v>7748.42932938096</v>
      </c>
      <c r="Y349" s="0"/>
      <c r="Z349" s="0"/>
      <c r="AA349" s="0"/>
      <c r="AB349" s="0"/>
      <c r="AC349" s="0"/>
      <c r="AD349" s="0"/>
      <c r="AE349" s="0"/>
      <c r="AF349" s="0"/>
      <c r="AG349" s="0"/>
    </row>
    <row r="350" customFormat="false" ht="12.75" hidden="false" customHeight="false" outlineLevel="0" collapsed="false">
      <c r="A350" s="22" t="s">
        <v>9</v>
      </c>
      <c r="B350" s="17" t="n">
        <f aca="false">NPV(0.1,D350:Y350)</f>
        <v>83325.8352381</v>
      </c>
      <c r="C350" s="17" t="n">
        <f aca="false">B350-B340</f>
        <v>-1252.91321589729</v>
      </c>
      <c r="D350" s="18" t="n">
        <v>1931.67422505901</v>
      </c>
      <c r="E350" s="19" t="n">
        <v>3875.85752308736</v>
      </c>
      <c r="F350" s="19" t="n">
        <v>4088.59011463809</v>
      </c>
      <c r="G350" s="19" t="n">
        <v>4317.42115819757</v>
      </c>
      <c r="H350" s="19" t="n">
        <v>7334.19930534025</v>
      </c>
      <c r="I350" s="19" t="n">
        <v>10484.476837946</v>
      </c>
      <c r="J350" s="19" t="n">
        <v>10892.7638937245</v>
      </c>
      <c r="K350" s="19" t="n">
        <v>11556.0931723667</v>
      </c>
      <c r="L350" s="19" t="n">
        <v>12260.0010564757</v>
      </c>
      <c r="M350" s="19" t="n">
        <v>13007.4866150472</v>
      </c>
      <c r="N350" s="19" t="n">
        <v>13805.1442637628</v>
      </c>
      <c r="O350" s="20" t="n">
        <v>14163.9907169974</v>
      </c>
      <c r="P350" s="21" t="n">
        <v>14919.2453162523</v>
      </c>
      <c r="Q350" s="21" t="n">
        <v>15727.3276343885</v>
      </c>
      <c r="R350" s="21" t="n">
        <v>16581.5018729575</v>
      </c>
      <c r="S350" s="21" t="n">
        <v>17511.011255581</v>
      </c>
      <c r="T350" s="21" t="n">
        <v>17870.7578165007</v>
      </c>
      <c r="U350" s="21" t="n">
        <v>18110.3567484844</v>
      </c>
      <c r="V350" s="21" t="n">
        <v>18339.5900973506</v>
      </c>
      <c r="W350" s="21" t="n">
        <v>18496.5595307104</v>
      </c>
      <c r="X350" s="21" t="n">
        <v>18814.8755196487</v>
      </c>
      <c r="Y350" s="0"/>
      <c r="Z350" s="0"/>
      <c r="AA350" s="0"/>
      <c r="AB350" s="0"/>
      <c r="AC350" s="0"/>
      <c r="AD350" s="0"/>
      <c r="AE350" s="0"/>
      <c r="AF350" s="0"/>
      <c r="AG350" s="0"/>
    </row>
    <row r="351" customFormat="false" ht="12.75" hidden="false" customHeight="false" outlineLevel="0" collapsed="false">
      <c r="A351" s="22" t="s">
        <v>10</v>
      </c>
      <c r="B351" s="17" t="n">
        <f aca="false">NPV(0.1,D351:Y351)</f>
        <v>93511.5886453539</v>
      </c>
      <c r="C351" s="17" t="n">
        <f aca="false">B351-B341</f>
        <v>-1025.17191719073</v>
      </c>
      <c r="D351" s="23" t="n">
        <v>3222.47617023026</v>
      </c>
      <c r="E351" s="24" t="n">
        <v>6928.78017669108</v>
      </c>
      <c r="F351" s="24" t="n">
        <v>6369.606373048</v>
      </c>
      <c r="G351" s="24" t="n">
        <v>6360.12767150288</v>
      </c>
      <c r="H351" s="24" t="n">
        <v>14092.9507477615</v>
      </c>
      <c r="I351" s="24" t="n">
        <v>12541.6339723549</v>
      </c>
      <c r="J351" s="24" t="n">
        <v>11874.2901312189</v>
      </c>
      <c r="K351" s="24" t="n">
        <v>11863.9281607074</v>
      </c>
      <c r="L351" s="24" t="n">
        <v>11829.7445803587</v>
      </c>
      <c r="M351" s="24" t="n">
        <v>11787.085030067</v>
      </c>
      <c r="N351" s="24" t="n">
        <v>11707.2662364334</v>
      </c>
      <c r="O351" s="25" t="n">
        <v>12228.5391135697</v>
      </c>
      <c r="P351" s="21" t="n">
        <v>11222.3040364267</v>
      </c>
      <c r="Q351" s="21" t="n">
        <v>11030.2037274319</v>
      </c>
      <c r="R351" s="21" t="n">
        <v>10811.8885193597</v>
      </c>
      <c r="S351" s="21" t="n">
        <v>21851.882523489</v>
      </c>
      <c r="T351" s="21" t="n">
        <v>20469.9848717513</v>
      </c>
      <c r="U351" s="21" t="n">
        <v>20693.2427502102</v>
      </c>
      <c r="V351" s="21" t="n">
        <v>20922.4760990763</v>
      </c>
      <c r="W351" s="21" t="n">
        <v>21177.4918535856</v>
      </c>
      <c r="X351" s="21" t="n">
        <v>21218.0099326003</v>
      </c>
      <c r="Y351" s="0"/>
      <c r="Z351" s="0"/>
      <c r="AA351" s="0"/>
      <c r="AB351" s="0"/>
      <c r="AC351" s="0"/>
      <c r="AD351" s="0"/>
      <c r="AE351" s="0"/>
      <c r="AF351" s="0"/>
      <c r="AG351" s="0"/>
    </row>
    <row r="352" customFormat="false" ht="12.75" hidden="false" customHeight="false" outlineLevel="0" collapsed="false">
      <c r="A352" s="5"/>
      <c r="B352" s="5"/>
      <c r="C352" s="5"/>
      <c r="D352" s="0"/>
      <c r="E352" s="0"/>
      <c r="F352" s="0"/>
      <c r="G352" s="0"/>
      <c r="H352" s="0"/>
      <c r="I352" s="0"/>
      <c r="J352" s="0"/>
      <c r="K352" s="0"/>
      <c r="L352" s="0"/>
      <c r="M352" s="0"/>
      <c r="N352" s="0"/>
      <c r="O352" s="0"/>
      <c r="P352" s="0"/>
      <c r="Q352" s="0"/>
      <c r="R352" s="0"/>
      <c r="S352" s="0"/>
      <c r="T352" s="0"/>
      <c r="U352" s="0"/>
      <c r="V352" s="0"/>
      <c r="W352" s="0"/>
      <c r="X352" s="0"/>
      <c r="Y352" s="0"/>
      <c r="Z352" s="0"/>
      <c r="AA352" s="0"/>
      <c r="AB352" s="0"/>
      <c r="AC352" s="0"/>
      <c r="AD352" s="0"/>
      <c r="AE352" s="0"/>
      <c r="AF352" s="0"/>
      <c r="AG352" s="0"/>
    </row>
    <row r="353" customFormat="false" ht="12.75" hidden="false" customHeight="false" outlineLevel="0" collapsed="false">
      <c r="A353" s="26" t="s">
        <v>47</v>
      </c>
      <c r="B353" s="5"/>
      <c r="C353" s="5"/>
      <c r="D353" s="0"/>
      <c r="E353" s="0"/>
      <c r="F353" s="0"/>
      <c r="G353" s="0"/>
      <c r="H353" s="0"/>
      <c r="I353" s="0"/>
      <c r="J353" s="0"/>
      <c r="K353" s="0"/>
      <c r="L353" s="0"/>
      <c r="M353" s="0"/>
      <c r="N353" s="0"/>
      <c r="O353" s="0"/>
      <c r="P353" s="0"/>
      <c r="Q353" s="0"/>
      <c r="R353" s="0"/>
      <c r="S353" s="0"/>
      <c r="T353" s="0"/>
      <c r="U353" s="0"/>
      <c r="V353" s="0"/>
      <c r="W353" s="0"/>
      <c r="X353" s="0"/>
      <c r="Y353" s="0"/>
      <c r="Z353" s="0"/>
      <c r="AA353" s="0"/>
      <c r="AB353" s="0"/>
      <c r="AC353" s="0"/>
      <c r="AD353" s="0"/>
      <c r="AE353" s="0"/>
      <c r="AF353" s="0"/>
      <c r="AG353" s="0"/>
    </row>
    <row r="354" customFormat="false" ht="12.75" hidden="false" customHeight="false" outlineLevel="0" collapsed="false">
      <c r="A354" s="28" t="n">
        <v>36284</v>
      </c>
      <c r="B354" s="5"/>
      <c r="C354" s="5"/>
      <c r="D354" s="0"/>
      <c r="E354" s="0"/>
      <c r="F354" s="0"/>
      <c r="G354" s="0"/>
      <c r="H354" s="0"/>
      <c r="I354" s="0"/>
      <c r="J354" s="0"/>
      <c r="K354" s="0"/>
      <c r="L354" s="0"/>
      <c r="M354" s="0"/>
      <c r="N354" s="0"/>
      <c r="O354" s="0"/>
      <c r="P354" s="0"/>
      <c r="Q354" s="0"/>
      <c r="R354" s="0"/>
      <c r="S354" s="0"/>
      <c r="T354" s="0"/>
      <c r="U354" s="0"/>
      <c r="V354" s="0"/>
      <c r="W354" s="0"/>
      <c r="X354" s="0"/>
      <c r="Y354" s="0"/>
      <c r="Z354" s="0"/>
      <c r="AA354" s="0"/>
      <c r="AB354" s="0"/>
      <c r="AC354" s="0"/>
      <c r="AD354" s="0"/>
      <c r="AE354" s="0"/>
      <c r="AF354" s="0"/>
      <c r="AG354" s="0"/>
    </row>
    <row r="355" customFormat="false" ht="12.75" hidden="false" customHeight="false" outlineLevel="0" collapsed="false">
      <c r="A355" s="7" t="s">
        <v>2</v>
      </c>
      <c r="B355" s="8" t="n">
        <v>27408.8979245758</v>
      </c>
      <c r="C355" s="5"/>
      <c r="D355" s="0"/>
      <c r="E355" s="0"/>
      <c r="F355" s="0"/>
      <c r="G355" s="0"/>
      <c r="H355" s="0"/>
      <c r="I355" s="0"/>
      <c r="J355" s="0"/>
      <c r="K355" s="0"/>
      <c r="L355" s="0"/>
      <c r="M355" s="0"/>
      <c r="N355" s="0"/>
      <c r="O355" s="0"/>
      <c r="P355" s="0"/>
      <c r="Q355" s="0"/>
      <c r="R355" s="0"/>
      <c r="S355" s="0"/>
      <c r="T355" s="0"/>
      <c r="U355" s="0"/>
      <c r="V355" s="0"/>
      <c r="W355" s="0"/>
      <c r="X355" s="0"/>
      <c r="Y355" s="0"/>
      <c r="Z355" s="0"/>
      <c r="AA355" s="0"/>
      <c r="AB355" s="0"/>
      <c r="AC355" s="0"/>
      <c r="AD355" s="0"/>
      <c r="AE355" s="0"/>
      <c r="AF355" s="0"/>
      <c r="AG355" s="0"/>
    </row>
    <row r="356" customFormat="false" ht="12.75" hidden="false" customHeight="false" outlineLevel="0" collapsed="false">
      <c r="A356" s="9" t="s">
        <v>3</v>
      </c>
      <c r="B356" s="10" t="n">
        <v>56805.3250697277</v>
      </c>
      <c r="C356" s="5"/>
      <c r="D356" s="0"/>
      <c r="E356" s="0"/>
      <c r="F356" s="0"/>
      <c r="G356" s="0"/>
      <c r="H356" s="0"/>
      <c r="I356" s="0"/>
      <c r="J356" s="0"/>
      <c r="K356" s="0"/>
      <c r="L356" s="0"/>
      <c r="M356" s="0"/>
      <c r="N356" s="0"/>
      <c r="O356" s="0"/>
      <c r="P356" s="0"/>
      <c r="Q356" s="0"/>
      <c r="R356" s="0"/>
      <c r="S356" s="0"/>
      <c r="T356" s="0"/>
      <c r="U356" s="0"/>
      <c r="V356" s="0"/>
      <c r="W356" s="0"/>
      <c r="X356" s="0"/>
      <c r="Y356" s="0"/>
      <c r="Z356" s="0"/>
      <c r="AA356" s="0"/>
      <c r="AB356" s="0"/>
      <c r="AC356" s="0"/>
      <c r="AD356" s="0"/>
      <c r="AE356" s="0"/>
      <c r="AF356" s="0"/>
      <c r="AG356" s="0"/>
    </row>
    <row r="357" customFormat="false" ht="12.75" hidden="false" customHeight="false" outlineLevel="0" collapsed="false">
      <c r="A357" s="11" t="s">
        <v>4</v>
      </c>
      <c r="B357" s="12" t="s">
        <v>5</v>
      </c>
      <c r="C357" s="12" t="s">
        <v>6</v>
      </c>
      <c r="D357" s="13" t="n">
        <v>1999</v>
      </c>
      <c r="E357" s="14" t="n">
        <v>2000</v>
      </c>
      <c r="F357" s="14" t="n">
        <v>2001</v>
      </c>
      <c r="G357" s="14" t="n">
        <v>2002</v>
      </c>
      <c r="H357" s="14" t="n">
        <v>2003</v>
      </c>
      <c r="I357" s="14" t="n">
        <v>2004</v>
      </c>
      <c r="J357" s="14" t="n">
        <v>2005</v>
      </c>
      <c r="K357" s="14" t="n">
        <v>2006</v>
      </c>
      <c r="L357" s="14" t="n">
        <v>2007</v>
      </c>
      <c r="M357" s="14" t="n">
        <v>2008</v>
      </c>
      <c r="N357" s="14" t="n">
        <v>2009</v>
      </c>
      <c r="O357" s="15" t="n">
        <v>2010</v>
      </c>
      <c r="P357" s="16" t="n">
        <v>2011</v>
      </c>
      <c r="Q357" s="16" t="n">
        <v>2012</v>
      </c>
      <c r="R357" s="16" t="n">
        <v>2013</v>
      </c>
      <c r="S357" s="16" t="n">
        <v>2014</v>
      </c>
      <c r="T357" s="16" t="n">
        <v>2015</v>
      </c>
      <c r="U357" s="16" t="n">
        <v>2016</v>
      </c>
      <c r="V357" s="16" t="n">
        <v>2017</v>
      </c>
      <c r="W357" s="16" t="n">
        <v>2018</v>
      </c>
      <c r="X357" s="16" t="n">
        <v>2019</v>
      </c>
      <c r="Y357" s="0"/>
      <c r="Z357" s="0"/>
      <c r="AA357" s="0"/>
      <c r="AB357" s="0"/>
      <c r="AC357" s="0"/>
      <c r="AD357" s="0"/>
      <c r="AE357" s="0"/>
      <c r="AF357" s="0"/>
      <c r="AG357" s="0"/>
    </row>
    <row r="358" customFormat="false" ht="12.75" hidden="false" customHeight="false" outlineLevel="0" collapsed="false">
      <c r="A358" s="11" t="s">
        <v>7</v>
      </c>
      <c r="B358" s="17" t="n">
        <f aca="false">NPV(0.1,D358:Y358)</f>
        <v>391133.134663916</v>
      </c>
      <c r="C358" s="17" t="n">
        <f aca="false">B358-B348</f>
        <v>-7319.90561572631</v>
      </c>
      <c r="D358" s="18" t="n">
        <v>28857.4627525</v>
      </c>
      <c r="E358" s="19" t="n">
        <v>39520.1047525</v>
      </c>
      <c r="F358" s="19" t="n">
        <v>39576.3860125</v>
      </c>
      <c r="G358" s="19" t="n">
        <v>39634.3557103</v>
      </c>
      <c r="H358" s="19" t="n">
        <v>43777.6866427899</v>
      </c>
      <c r="I358" s="19" t="n">
        <v>48203.9263776519</v>
      </c>
      <c r="J358" s="19" t="n">
        <v>48634.1661835971</v>
      </c>
      <c r="K358" s="19" t="n">
        <v>49061.3312188141</v>
      </c>
      <c r="L358" s="19" t="n">
        <v>50050.0253335415</v>
      </c>
      <c r="M358" s="19" t="n">
        <v>50486.2494528341</v>
      </c>
      <c r="N358" s="19" t="n">
        <v>51517.6911145821</v>
      </c>
      <c r="O358" s="20" t="n">
        <v>51962.4934404363</v>
      </c>
      <c r="P358" s="21" t="n">
        <v>53038.2224218124</v>
      </c>
      <c r="Q358" s="21" t="n">
        <v>53491.0299074115</v>
      </c>
      <c r="R358" s="21" t="n">
        <v>53937.7658166221</v>
      </c>
      <c r="S358" s="21" t="n">
        <v>54377.6583281237</v>
      </c>
      <c r="T358" s="21" t="n">
        <v>54809.8947757356</v>
      </c>
      <c r="U358" s="21" t="n">
        <v>55233.6198923639</v>
      </c>
      <c r="V358" s="21" t="n">
        <v>55647.933985347</v>
      </c>
      <c r="W358" s="21" t="n">
        <v>56051.891040661</v>
      </c>
      <c r="X358" s="21" t="n">
        <v>40607.5975479621</v>
      </c>
      <c r="Y358" s="0"/>
      <c r="Z358" s="0"/>
      <c r="AA358" s="0"/>
      <c r="AB358" s="0"/>
      <c r="AC358" s="0"/>
      <c r="AD358" s="0"/>
      <c r="AE358" s="0"/>
      <c r="AF358" s="0"/>
      <c r="AG358" s="0"/>
    </row>
    <row r="359" customFormat="false" ht="12.75" hidden="false" customHeight="false" outlineLevel="0" collapsed="false">
      <c r="A359" s="22" t="s">
        <v>8</v>
      </c>
      <c r="B359" s="17" t="n">
        <f aca="false">NPV(0.1,D359:Y359)</f>
        <v>185373.500238556</v>
      </c>
      <c r="C359" s="17" t="n">
        <f aca="false">B359-B349</f>
        <v>-1713.53882890521</v>
      </c>
      <c r="D359" s="18" t="n">
        <v>19539.3822657727</v>
      </c>
      <c r="E359" s="19" t="n">
        <v>21044.1312633321</v>
      </c>
      <c r="F359" s="19" t="n">
        <v>21126.3360723355</v>
      </c>
      <c r="G359" s="19" t="n">
        <v>21211.5276573216</v>
      </c>
      <c r="H359" s="19" t="n">
        <v>21339.2117048073</v>
      </c>
      <c r="I359" s="19" t="n">
        <v>21489.1939245418</v>
      </c>
      <c r="J359" s="19" t="n">
        <v>21601.4699687021</v>
      </c>
      <c r="K359" s="19" t="n">
        <v>21712.4538970097</v>
      </c>
      <c r="L359" s="19" t="n">
        <v>21827.7319548021</v>
      </c>
      <c r="M359" s="19" t="n">
        <v>21947.4043594566</v>
      </c>
      <c r="N359" s="19" t="n">
        <v>22066.1981475893</v>
      </c>
      <c r="O359" s="20" t="n">
        <v>22972.0643992764</v>
      </c>
      <c r="P359" s="21" t="n">
        <v>23040.5849168349</v>
      </c>
      <c r="Q359" s="21" t="n">
        <v>23097.7528782642</v>
      </c>
      <c r="R359" s="21" t="n">
        <v>23160.0455203057</v>
      </c>
      <c r="S359" s="21" t="n">
        <v>23231.87447401</v>
      </c>
      <c r="T359" s="21" t="n">
        <v>23280.7972547868</v>
      </c>
      <c r="U359" s="21" t="n">
        <v>23319.0043129709</v>
      </c>
      <c r="V359" s="21" t="n">
        <v>23362.9633838023</v>
      </c>
      <c r="W359" s="21" t="n">
        <v>23510.6482330073</v>
      </c>
      <c r="X359" s="21" t="n">
        <v>7550.43277188096</v>
      </c>
      <c r="Y359" s="0"/>
      <c r="Z359" s="0"/>
      <c r="AA359" s="0"/>
      <c r="AB359" s="0"/>
      <c r="AC359" s="0"/>
      <c r="AD359" s="0"/>
      <c r="AE359" s="0"/>
      <c r="AF359" s="0"/>
      <c r="AG359" s="0"/>
    </row>
    <row r="360" customFormat="false" ht="12.75" hidden="false" customHeight="false" outlineLevel="0" collapsed="false">
      <c r="A360" s="22" t="s">
        <v>9</v>
      </c>
      <c r="B360" s="17" t="n">
        <f aca="false">NPV(0.1,D360:Y360)</f>
        <v>80561.9224976594</v>
      </c>
      <c r="C360" s="17" t="n">
        <f aca="false">B360-B350</f>
        <v>-2763.91274044062</v>
      </c>
      <c r="D360" s="18" t="n">
        <v>1981.46356740625</v>
      </c>
      <c r="E360" s="19" t="n">
        <v>3979.34559701791</v>
      </c>
      <c r="F360" s="19" t="n">
        <v>4200.20264948095</v>
      </c>
      <c r="G360" s="19" t="n">
        <v>4437.79342029615</v>
      </c>
      <c r="H360" s="19" t="n">
        <v>7099.92890203887</v>
      </c>
      <c r="I360" s="19" t="n">
        <v>10023.7110127481</v>
      </c>
      <c r="J360" s="19" t="n">
        <v>10567.6783647123</v>
      </c>
      <c r="K360" s="19" t="n">
        <v>11015.7863583187</v>
      </c>
      <c r="L360" s="19" t="n">
        <v>11838.5698804825</v>
      </c>
      <c r="M360" s="19" t="n">
        <v>12352.5866700662</v>
      </c>
      <c r="N360" s="19" t="n">
        <v>13270.8372347066</v>
      </c>
      <c r="O360" s="20" t="n">
        <v>13376.063027371</v>
      </c>
      <c r="P360" s="21" t="n">
        <v>14421.6489533013</v>
      </c>
      <c r="Q360" s="21" t="n">
        <v>15138.0417752265</v>
      </c>
      <c r="R360" s="21" t="n">
        <v>15892.7748501966</v>
      </c>
      <c r="S360" s="21" t="n">
        <v>16714.4929715891</v>
      </c>
      <c r="T360" s="21" t="n">
        <v>16982.6274572257</v>
      </c>
      <c r="U360" s="21" t="n">
        <v>17223.6605758287</v>
      </c>
      <c r="V360" s="21" t="n">
        <v>17455.2134798345</v>
      </c>
      <c r="W360" s="21" t="n">
        <v>17615.4396681978</v>
      </c>
      <c r="X360" s="21" t="n">
        <v>17938.0037563955</v>
      </c>
      <c r="Y360" s="0"/>
      <c r="Z360" s="0"/>
      <c r="AA360" s="0"/>
      <c r="AB360" s="0"/>
      <c r="AC360" s="0"/>
      <c r="AD360" s="0"/>
      <c r="AE360" s="0"/>
      <c r="AF360" s="0"/>
      <c r="AG360" s="0"/>
    </row>
    <row r="361" customFormat="false" ht="12.75" hidden="false" customHeight="false" outlineLevel="0" collapsed="false">
      <c r="A361" s="22" t="s">
        <v>10</v>
      </c>
      <c r="B361" s="17" t="n">
        <f aca="false">NPV(0.1,D361:Y361)</f>
        <v>91253.0078510489</v>
      </c>
      <c r="C361" s="17" t="n">
        <f aca="false">B361-B351</f>
        <v>-2258.580794305</v>
      </c>
      <c r="D361" s="23" t="n">
        <v>3222.50283499319</v>
      </c>
      <c r="E361" s="24" t="n">
        <v>6928.86226465959</v>
      </c>
      <c r="F361" s="24" t="n">
        <v>6369.74823529029</v>
      </c>
      <c r="G361" s="24" t="n">
        <v>6360.33399930508</v>
      </c>
      <c r="H361" s="24" t="n">
        <v>13732.6718638311</v>
      </c>
      <c r="I361" s="24" t="n">
        <v>12152.2761994353</v>
      </c>
      <c r="J361" s="24" t="n">
        <v>11635.319141694</v>
      </c>
      <c r="K361" s="24" t="n">
        <v>11551.5968343234</v>
      </c>
      <c r="L361" s="24" t="n">
        <v>11571.2679902989</v>
      </c>
      <c r="M361" s="24" t="n">
        <v>11452.39360171</v>
      </c>
      <c r="N361" s="24" t="n">
        <v>11431.5117720993</v>
      </c>
      <c r="O361" s="25" t="n">
        <v>11873.937087609</v>
      </c>
      <c r="P361" s="21" t="n">
        <v>10993.257121774</v>
      </c>
      <c r="Q361" s="21" t="n">
        <v>10781.1245300095</v>
      </c>
      <c r="R361" s="21" t="n">
        <v>10543.4525584097</v>
      </c>
      <c r="S361" s="21" t="n">
        <v>21055.3642394971</v>
      </c>
      <c r="T361" s="21" t="n">
        <v>19581.8545124763</v>
      </c>
      <c r="U361" s="21" t="n">
        <v>19806.5465775544</v>
      </c>
      <c r="V361" s="21" t="n">
        <v>20038.0994815602</v>
      </c>
      <c r="W361" s="21" t="n">
        <v>20296.371991073</v>
      </c>
      <c r="X361" s="21" t="n">
        <v>20341.1381693471</v>
      </c>
      <c r="Y361" s="0"/>
      <c r="Z361" s="0"/>
      <c r="AA361" s="0"/>
      <c r="AB361" s="0"/>
      <c r="AC361" s="0"/>
      <c r="AD361" s="0"/>
      <c r="AE361" s="0"/>
      <c r="AF361" s="0"/>
      <c r="AG361" s="0"/>
    </row>
    <row r="362" customFormat="false" ht="12.75" hidden="false" customHeight="false" outlineLevel="0" collapsed="false">
      <c r="A362" s="5"/>
      <c r="B362" s="5"/>
      <c r="C362" s="5"/>
      <c r="D362" s="0"/>
      <c r="E362" s="0"/>
      <c r="F362" s="0"/>
      <c r="G362" s="0"/>
      <c r="H362" s="0"/>
      <c r="I362" s="0"/>
      <c r="J362" s="0"/>
      <c r="K362" s="0"/>
      <c r="L362" s="0"/>
      <c r="M362" s="0"/>
      <c r="N362" s="0"/>
      <c r="O362" s="0"/>
      <c r="P362" s="0"/>
      <c r="Q362" s="0"/>
      <c r="R362" s="0"/>
      <c r="S362" s="0"/>
      <c r="T362" s="0"/>
      <c r="U362" s="0"/>
      <c r="V362" s="0"/>
      <c r="W362" s="0"/>
      <c r="X362" s="0"/>
      <c r="Y362" s="0"/>
      <c r="Z362" s="0"/>
      <c r="AA362" s="0"/>
      <c r="AB362" s="0"/>
      <c r="AC362" s="0"/>
      <c r="AD362" s="0"/>
      <c r="AE362" s="0"/>
      <c r="AF362" s="0"/>
      <c r="AG362" s="0"/>
    </row>
    <row r="363" customFormat="false" ht="12.75" hidden="false" customHeight="false" outlineLevel="0" collapsed="false">
      <c r="A363" s="26" t="s">
        <v>48</v>
      </c>
      <c r="B363" s="5"/>
      <c r="C363" s="5"/>
      <c r="D363" s="0"/>
      <c r="E363" s="0"/>
      <c r="F363" s="0"/>
      <c r="G363" s="0"/>
      <c r="H363" s="0"/>
      <c r="I363" s="0"/>
      <c r="J363" s="0"/>
      <c r="K363" s="0"/>
      <c r="L363" s="0"/>
      <c r="M363" s="0"/>
      <c r="N363" s="0"/>
      <c r="O363" s="0"/>
      <c r="P363" s="0"/>
      <c r="Q363" s="0"/>
      <c r="R363" s="0"/>
      <c r="S363" s="0"/>
      <c r="T363" s="0"/>
      <c r="U363" s="0"/>
      <c r="V363" s="0"/>
      <c r="W363" s="0"/>
      <c r="X363" s="0"/>
      <c r="Y363" s="0"/>
      <c r="Z363" s="0"/>
      <c r="AA363" s="0"/>
      <c r="AB363" s="0"/>
      <c r="AC363" s="0"/>
      <c r="AD363" s="0"/>
      <c r="AE363" s="0"/>
      <c r="AF363" s="0"/>
      <c r="AG363" s="0"/>
    </row>
    <row r="364" customFormat="false" ht="12.75" hidden="false" customHeight="false" outlineLevel="0" collapsed="false">
      <c r="A364" s="28" t="n">
        <v>36284</v>
      </c>
      <c r="B364" s="5"/>
      <c r="C364" s="5"/>
      <c r="D364" s="0"/>
      <c r="E364" s="0"/>
      <c r="F364" s="0"/>
      <c r="G364" s="0"/>
      <c r="H364" s="0"/>
      <c r="I364" s="0"/>
      <c r="J364" s="0"/>
      <c r="K364" s="0"/>
      <c r="L364" s="0"/>
      <c r="M364" s="0"/>
      <c r="N364" s="0"/>
      <c r="O364" s="0"/>
      <c r="P364" s="0"/>
      <c r="Q364" s="0"/>
      <c r="R364" s="0"/>
      <c r="S364" s="0"/>
      <c r="T364" s="0"/>
      <c r="U364" s="0"/>
      <c r="V364" s="0"/>
      <c r="W364" s="0"/>
      <c r="X364" s="0"/>
      <c r="Y364" s="0"/>
      <c r="Z364" s="0"/>
      <c r="AA364" s="0"/>
      <c r="AB364" s="0"/>
      <c r="AC364" s="0"/>
      <c r="AD364" s="0"/>
      <c r="AE364" s="0"/>
      <c r="AF364" s="0"/>
      <c r="AG364" s="0"/>
    </row>
    <row r="365" customFormat="false" ht="12.75" hidden="false" customHeight="false" outlineLevel="0" collapsed="false">
      <c r="A365" s="7" t="s">
        <v>2</v>
      </c>
      <c r="B365" s="8" t="n">
        <v>27320.2401942806</v>
      </c>
      <c r="C365" s="5"/>
      <c r="D365" s="0"/>
      <c r="E365" s="0"/>
      <c r="F365" s="0"/>
      <c r="G365" s="0"/>
      <c r="H365" s="0"/>
      <c r="I365" s="0"/>
      <c r="J365" s="0"/>
      <c r="K365" s="0"/>
      <c r="L365" s="0"/>
      <c r="M365" s="0"/>
      <c r="N365" s="0"/>
      <c r="O365" s="0"/>
      <c r="P365" s="0"/>
      <c r="Q365" s="0"/>
      <c r="R365" s="0"/>
      <c r="S365" s="0"/>
      <c r="T365" s="0"/>
      <c r="U365" s="0"/>
      <c r="V365" s="0"/>
      <c r="W365" s="0"/>
      <c r="X365" s="0"/>
      <c r="Y365" s="0"/>
      <c r="Z365" s="0"/>
      <c r="AA365" s="0"/>
      <c r="AB365" s="0"/>
      <c r="AC365" s="0"/>
      <c r="AD365" s="0"/>
      <c r="AE365" s="0"/>
      <c r="AF365" s="0"/>
      <c r="AG365" s="0"/>
    </row>
    <row r="366" customFormat="false" ht="12.75" hidden="false" customHeight="false" outlineLevel="0" collapsed="false">
      <c r="A366" s="9" t="s">
        <v>3</v>
      </c>
      <c r="B366" s="10" t="n">
        <v>56698.8203144141</v>
      </c>
      <c r="C366" s="5"/>
      <c r="D366" s="0"/>
      <c r="E366" s="0"/>
      <c r="F366" s="0"/>
      <c r="G366" s="0"/>
      <c r="H366" s="0"/>
      <c r="I366" s="0"/>
      <c r="J366" s="0"/>
      <c r="K366" s="0"/>
      <c r="L366" s="0"/>
      <c r="M366" s="0"/>
      <c r="N366" s="0"/>
      <c r="O366" s="0"/>
      <c r="P366" s="0"/>
      <c r="Q366" s="0"/>
      <c r="R366" s="0"/>
      <c r="S366" s="0"/>
      <c r="T366" s="0"/>
      <c r="U366" s="0"/>
      <c r="V366" s="0"/>
      <c r="W366" s="0"/>
      <c r="X366" s="0"/>
      <c r="Y366" s="0"/>
      <c r="Z366" s="0"/>
      <c r="AA366" s="0"/>
      <c r="AB366" s="0"/>
      <c r="AC366" s="0"/>
      <c r="AD366" s="0"/>
      <c r="AE366" s="0"/>
      <c r="AF366" s="0"/>
      <c r="AG366" s="0"/>
    </row>
    <row r="367" customFormat="false" ht="12.75" hidden="false" customHeight="false" outlineLevel="0" collapsed="false">
      <c r="A367" s="11" t="s">
        <v>4</v>
      </c>
      <c r="B367" s="12" t="s">
        <v>5</v>
      </c>
      <c r="C367" s="12" t="s">
        <v>6</v>
      </c>
      <c r="D367" s="13" t="n">
        <v>1999</v>
      </c>
      <c r="E367" s="14" t="n">
        <v>2000</v>
      </c>
      <c r="F367" s="14" t="n">
        <v>2001</v>
      </c>
      <c r="G367" s="14" t="n">
        <v>2002</v>
      </c>
      <c r="H367" s="14" t="n">
        <v>2003</v>
      </c>
      <c r="I367" s="14" t="n">
        <v>2004</v>
      </c>
      <c r="J367" s="14" t="n">
        <v>2005</v>
      </c>
      <c r="K367" s="14" t="n">
        <v>2006</v>
      </c>
      <c r="L367" s="14" t="n">
        <v>2007</v>
      </c>
      <c r="M367" s="14" t="n">
        <v>2008</v>
      </c>
      <c r="N367" s="14" t="n">
        <v>2009</v>
      </c>
      <c r="O367" s="15" t="n">
        <v>2010</v>
      </c>
      <c r="P367" s="16" t="n">
        <v>2011</v>
      </c>
      <c r="Q367" s="16" t="n">
        <v>2012</v>
      </c>
      <c r="R367" s="16" t="n">
        <v>2013</v>
      </c>
      <c r="S367" s="16" t="n">
        <v>2014</v>
      </c>
      <c r="T367" s="16" t="n">
        <v>2015</v>
      </c>
      <c r="U367" s="16" t="n">
        <v>2016</v>
      </c>
      <c r="V367" s="16" t="n">
        <v>2017</v>
      </c>
      <c r="W367" s="16" t="n">
        <v>2018</v>
      </c>
      <c r="X367" s="16" t="n">
        <v>2019</v>
      </c>
      <c r="Y367" s="0"/>
      <c r="Z367" s="0"/>
      <c r="AA367" s="0"/>
      <c r="AB367" s="0"/>
      <c r="AC367" s="0"/>
      <c r="AD367" s="0"/>
      <c r="AE367" s="0"/>
      <c r="AF367" s="0"/>
      <c r="AG367" s="0"/>
    </row>
    <row r="368" customFormat="false" ht="12.75" hidden="false" customHeight="false" outlineLevel="0" collapsed="false">
      <c r="A368" s="11" t="s">
        <v>7</v>
      </c>
      <c r="B368" s="17" t="n">
        <f aca="false">NPV(0.1,D368:Y368)</f>
        <v>391133.134663916</v>
      </c>
      <c r="C368" s="17" t="n">
        <f aca="false">B368-B358</f>
        <v>0</v>
      </c>
      <c r="D368" s="18" t="n">
        <v>28857.4627525</v>
      </c>
      <c r="E368" s="19" t="n">
        <v>39520.1047525</v>
      </c>
      <c r="F368" s="19" t="n">
        <v>39576.3860125</v>
      </c>
      <c r="G368" s="19" t="n">
        <v>39634.3557103</v>
      </c>
      <c r="H368" s="19" t="n">
        <v>43777.6866427899</v>
      </c>
      <c r="I368" s="19" t="n">
        <v>48203.9263776519</v>
      </c>
      <c r="J368" s="19" t="n">
        <v>48634.1661835971</v>
      </c>
      <c r="K368" s="19" t="n">
        <v>49061.3312188141</v>
      </c>
      <c r="L368" s="19" t="n">
        <v>50050.0253335415</v>
      </c>
      <c r="M368" s="19" t="n">
        <v>50486.2494528341</v>
      </c>
      <c r="N368" s="19" t="n">
        <v>51517.6911145821</v>
      </c>
      <c r="O368" s="20" t="n">
        <v>51962.4934404363</v>
      </c>
      <c r="P368" s="21" t="n">
        <v>53038.2224218124</v>
      </c>
      <c r="Q368" s="21" t="n">
        <v>53491.0299074115</v>
      </c>
      <c r="R368" s="21" t="n">
        <v>53937.7658166221</v>
      </c>
      <c r="S368" s="21" t="n">
        <v>54377.6583281237</v>
      </c>
      <c r="T368" s="21" t="n">
        <v>54809.8947757356</v>
      </c>
      <c r="U368" s="21" t="n">
        <v>55233.6198923639</v>
      </c>
      <c r="V368" s="21" t="n">
        <v>55647.933985347</v>
      </c>
      <c r="W368" s="21" t="n">
        <v>56051.891040661</v>
      </c>
      <c r="X368" s="21" t="n">
        <v>40607.5975479621</v>
      </c>
      <c r="Y368" s="0"/>
      <c r="Z368" s="0"/>
      <c r="AA368" s="0"/>
      <c r="AB368" s="0"/>
      <c r="AC368" s="0"/>
      <c r="AD368" s="0"/>
      <c r="AE368" s="0"/>
      <c r="AF368" s="0"/>
      <c r="AG368" s="0"/>
    </row>
    <row r="369" customFormat="false" ht="12.75" hidden="false" customHeight="false" outlineLevel="0" collapsed="false">
      <c r="A369" s="22" t="s">
        <v>8</v>
      </c>
      <c r="B369" s="17" t="n">
        <f aca="false">NPV(0.1,D369:Y369)</f>
        <v>185374.924341369</v>
      </c>
      <c r="C369" s="17" t="n">
        <f aca="false">B369-B359</f>
        <v>1.42410281230696</v>
      </c>
      <c r="D369" s="18" t="n">
        <v>19539.6396942656</v>
      </c>
      <c r="E369" s="19" t="n">
        <v>21044.3782597523</v>
      </c>
      <c r="F369" s="19" t="n">
        <v>21126.572634714</v>
      </c>
      <c r="G369" s="19" t="n">
        <v>21211.7537838024</v>
      </c>
      <c r="H369" s="19" t="n">
        <v>21339.4273927597</v>
      </c>
      <c r="I369" s="19" t="n">
        <v>21489.3455726226</v>
      </c>
      <c r="J369" s="19" t="n">
        <v>21601.6130821789</v>
      </c>
      <c r="K369" s="19" t="n">
        <v>21712.5884679382</v>
      </c>
      <c r="L369" s="19" t="n">
        <v>21827.8579911265</v>
      </c>
      <c r="M369" s="19" t="n">
        <v>21947.5218532327</v>
      </c>
      <c r="N369" s="19" t="n">
        <v>22066.3071067614</v>
      </c>
      <c r="O369" s="20" t="n">
        <v>22972.1648159002</v>
      </c>
      <c r="P369" s="21" t="n">
        <v>23040.6767988546</v>
      </c>
      <c r="Q369" s="21" t="n">
        <v>23097.8362177356</v>
      </c>
      <c r="R369" s="21" t="n">
        <v>23160.1203251731</v>
      </c>
      <c r="S369" s="21" t="n">
        <v>23231.9430878235</v>
      </c>
      <c r="T369" s="21" t="n">
        <v>23280.8620210967</v>
      </c>
      <c r="U369" s="21" t="n">
        <v>23319.0652317773</v>
      </c>
      <c r="V369" s="21" t="n">
        <v>23363.0204551052</v>
      </c>
      <c r="W369" s="21" t="n">
        <v>23510.7014568065</v>
      </c>
      <c r="X369" s="21" t="n">
        <v>7550.48214817668</v>
      </c>
      <c r="Y369" s="0"/>
      <c r="Z369" s="0"/>
      <c r="AA369" s="0"/>
      <c r="AB369" s="0"/>
      <c r="AC369" s="0"/>
      <c r="AD369" s="0"/>
      <c r="AE369" s="0"/>
      <c r="AF369" s="0"/>
      <c r="AG369" s="0"/>
    </row>
    <row r="370" customFormat="false" ht="12.75" hidden="false" customHeight="false" outlineLevel="0" collapsed="false">
      <c r="A370" s="22" t="s">
        <v>9</v>
      </c>
      <c r="B370" s="17" t="n">
        <f aca="false">NPV(0.1,D370:Y370)</f>
        <v>80538.7526143155</v>
      </c>
      <c r="C370" s="17" t="n">
        <f aca="false">B370-B360</f>
        <v>-23.1698833439295</v>
      </c>
      <c r="D370" s="18" t="n">
        <v>1979.19915511761</v>
      </c>
      <c r="E370" s="19" t="n">
        <v>3974.97760229861</v>
      </c>
      <c r="F370" s="19" t="n">
        <v>4195.83592628512</v>
      </c>
      <c r="G370" s="19" t="n">
        <v>4433.4278956409</v>
      </c>
      <c r="H370" s="19" t="n">
        <v>7095.56507605405</v>
      </c>
      <c r="I370" s="19" t="n">
        <v>10020.7386834352</v>
      </c>
      <c r="J370" s="19" t="n">
        <v>10566.0638720447</v>
      </c>
      <c r="K370" s="19" t="n">
        <v>11014.175497569</v>
      </c>
      <c r="L370" s="19" t="n">
        <v>11836.9626787613</v>
      </c>
      <c r="M370" s="19" t="n">
        <v>12350.9831668267</v>
      </c>
      <c r="N370" s="19" t="n">
        <v>13269.2374623844</v>
      </c>
      <c r="O370" s="20" t="n">
        <v>13374.4670311705</v>
      </c>
      <c r="P370" s="21" t="n">
        <v>14420.0567718692</v>
      </c>
      <c r="Q370" s="21" t="n">
        <v>15136.4534604754</v>
      </c>
      <c r="R370" s="21" t="n">
        <v>15891.1904480179</v>
      </c>
      <c r="S370" s="21" t="n">
        <v>16712.9110715214</v>
      </c>
      <c r="T370" s="21" t="n">
        <v>16981.0479626893</v>
      </c>
      <c r="U370" s="21" t="n">
        <v>17222.0834868237</v>
      </c>
      <c r="V370" s="21" t="n">
        <v>17453.6387963609</v>
      </c>
      <c r="W370" s="21" t="n">
        <v>17613.8673902555</v>
      </c>
      <c r="X370" s="21" t="n">
        <v>17936.4338839846</v>
      </c>
      <c r="Y370" s="0"/>
      <c r="Z370" s="0"/>
      <c r="AA370" s="0"/>
      <c r="AB370" s="0"/>
      <c r="AC370" s="0"/>
      <c r="AD370" s="0"/>
      <c r="AE370" s="0"/>
      <c r="AF370" s="0"/>
      <c r="AG370" s="0"/>
    </row>
    <row r="371" customFormat="false" ht="12.75" hidden="false" customHeight="false" outlineLevel="0" collapsed="false">
      <c r="A371" s="22" t="s">
        <v>10</v>
      </c>
      <c r="B371" s="17" t="n">
        <f aca="false">NPV(0.1,D371:Y371)</f>
        <v>91271.6244197847</v>
      </c>
      <c r="C371" s="17" t="n">
        <f aca="false">B371-B361</f>
        <v>18.6165687357425</v>
      </c>
      <c r="D371" s="23" t="n">
        <v>3222.4138076394</v>
      </c>
      <c r="E371" s="24" t="n">
        <v>6928.77684506426</v>
      </c>
      <c r="F371" s="24" t="n">
        <v>6369.6664241344</v>
      </c>
      <c r="G371" s="24" t="n">
        <v>6360.25579723049</v>
      </c>
      <c r="H371" s="24" t="n">
        <v>13732.5397549602</v>
      </c>
      <c r="I371" s="24" t="n">
        <v>12174.9550131073</v>
      </c>
      <c r="J371" s="24" t="n">
        <v>11637.1530866689</v>
      </c>
      <c r="K371" s="24" t="n">
        <v>11553.4369395738</v>
      </c>
      <c r="L371" s="24" t="n">
        <v>11573.1078787753</v>
      </c>
      <c r="M371" s="24" t="n">
        <v>11454.2396092301</v>
      </c>
      <c r="N371" s="24" t="n">
        <v>11433.3575183152</v>
      </c>
      <c r="O371" s="25" t="n">
        <v>11875.7889047758</v>
      </c>
      <c r="P371" s="21" t="n">
        <v>10995.1086256963</v>
      </c>
      <c r="Q371" s="21" t="n">
        <v>10782.9820487873</v>
      </c>
      <c r="R371" s="21" t="n">
        <v>10545.30970336</v>
      </c>
      <c r="S371" s="21" t="n">
        <v>21056.2587609531</v>
      </c>
      <c r="T371" s="21" t="n">
        <v>19581.814019365</v>
      </c>
      <c r="U371" s="21" t="n">
        <v>19806.5084899744</v>
      </c>
      <c r="V371" s="21" t="n">
        <v>20038.0637995116</v>
      </c>
      <c r="W371" s="21" t="n">
        <v>20296.3387145557</v>
      </c>
      <c r="X371" s="21" t="n">
        <v>20341.1072983612</v>
      </c>
      <c r="Y371" s="0"/>
      <c r="Z371" s="0"/>
      <c r="AA371" s="0"/>
      <c r="AB371" s="0"/>
      <c r="AC371" s="0"/>
      <c r="AD371" s="0"/>
      <c r="AE371" s="0"/>
      <c r="AF371" s="0"/>
      <c r="AG371" s="0"/>
    </row>
    <row r="372" customFormat="false" ht="12.75" hidden="false" customHeight="false" outlineLevel="0" collapsed="false">
      <c r="A372" s="5"/>
      <c r="B372" s="5"/>
      <c r="C372" s="5"/>
      <c r="D372" s="0"/>
      <c r="E372" s="0"/>
      <c r="F372" s="0"/>
      <c r="G372" s="0"/>
      <c r="H372" s="0"/>
      <c r="I372" s="0"/>
      <c r="J372" s="0"/>
      <c r="K372" s="0"/>
      <c r="L372" s="0"/>
      <c r="M372" s="0"/>
      <c r="N372" s="0"/>
      <c r="O372" s="0"/>
      <c r="P372" s="0"/>
      <c r="Q372" s="0"/>
      <c r="R372" s="0"/>
      <c r="S372" s="0"/>
      <c r="T372" s="0"/>
      <c r="U372" s="0"/>
      <c r="V372" s="0"/>
      <c r="W372" s="0"/>
      <c r="X372" s="0"/>
      <c r="Y372" s="0"/>
      <c r="Z372" s="0"/>
      <c r="AA372" s="0"/>
      <c r="AB372" s="0"/>
      <c r="AC372" s="0"/>
      <c r="AD372" s="0"/>
      <c r="AE372" s="0"/>
      <c r="AF372" s="0"/>
      <c r="AG372" s="0"/>
    </row>
    <row r="373" customFormat="false" ht="12.75" hidden="false" customHeight="false" outlineLevel="0" collapsed="false">
      <c r="A373" s="26" t="s">
        <v>49</v>
      </c>
      <c r="B373" s="5"/>
      <c r="C373" s="5"/>
      <c r="D373" s="0"/>
      <c r="E373" s="0"/>
      <c r="F373" s="0"/>
      <c r="G373" s="0"/>
      <c r="H373" s="0"/>
      <c r="I373" s="0"/>
      <c r="J373" s="0"/>
      <c r="K373" s="0"/>
      <c r="L373" s="0"/>
      <c r="M373" s="0"/>
      <c r="N373" s="0"/>
      <c r="O373" s="0"/>
      <c r="P373" s="0"/>
      <c r="Q373" s="0"/>
      <c r="R373" s="0"/>
      <c r="S373" s="0"/>
      <c r="T373" s="0"/>
      <c r="U373" s="0"/>
      <c r="V373" s="0"/>
      <c r="W373" s="0"/>
      <c r="X373" s="0"/>
      <c r="Y373" s="0"/>
      <c r="Z373" s="0"/>
      <c r="AA373" s="0"/>
      <c r="AB373" s="0"/>
      <c r="AC373" s="0"/>
      <c r="AD373" s="0"/>
      <c r="AE373" s="0"/>
      <c r="AF373" s="0"/>
      <c r="AG373" s="0"/>
    </row>
    <row r="374" customFormat="false" ht="12.75" hidden="false" customHeight="false" outlineLevel="0" collapsed="false">
      <c r="A374" s="28" t="n">
        <v>36285</v>
      </c>
      <c r="B374" s="5"/>
      <c r="C374" s="5"/>
      <c r="D374" s="0"/>
      <c r="E374" s="0"/>
      <c r="F374" s="0"/>
      <c r="G374" s="0"/>
      <c r="H374" s="0"/>
      <c r="I374" s="0"/>
      <c r="J374" s="0"/>
      <c r="K374" s="0"/>
      <c r="L374" s="0"/>
      <c r="M374" s="0"/>
      <c r="N374" s="0"/>
      <c r="O374" s="0"/>
      <c r="P374" s="0"/>
      <c r="Q374" s="0"/>
      <c r="R374" s="0"/>
      <c r="S374" s="0"/>
      <c r="T374" s="0"/>
      <c r="U374" s="0"/>
      <c r="V374" s="0"/>
      <c r="W374" s="0"/>
      <c r="X374" s="0"/>
      <c r="Y374" s="0"/>
      <c r="Z374" s="0"/>
      <c r="AA374" s="0"/>
      <c r="AB374" s="0"/>
      <c r="AC374" s="0"/>
      <c r="AD374" s="0"/>
      <c r="AE374" s="0"/>
      <c r="AF374" s="0"/>
      <c r="AG374" s="0"/>
    </row>
    <row r="375" customFormat="false" ht="12.75" hidden="false" customHeight="false" outlineLevel="0" collapsed="false">
      <c r="A375" s="7" t="s">
        <v>2</v>
      </c>
      <c r="B375" s="8" t="n">
        <v>27373.5698586225</v>
      </c>
      <c r="C375" s="5"/>
      <c r="D375" s="0"/>
      <c r="E375" s="0"/>
      <c r="F375" s="0"/>
      <c r="G375" s="0"/>
      <c r="H375" s="0"/>
      <c r="I375" s="0"/>
      <c r="J375" s="0"/>
      <c r="K375" s="0"/>
      <c r="L375" s="0"/>
      <c r="M375" s="0"/>
      <c r="N375" s="0"/>
      <c r="O375" s="0"/>
      <c r="P375" s="0"/>
      <c r="Q375" s="0"/>
      <c r="R375" s="0"/>
      <c r="S375" s="0"/>
      <c r="T375" s="0"/>
      <c r="U375" s="0"/>
      <c r="V375" s="0"/>
      <c r="W375" s="0"/>
      <c r="X375" s="0"/>
      <c r="Y375" s="0"/>
      <c r="Z375" s="0"/>
      <c r="AA375" s="0"/>
      <c r="AB375" s="0"/>
      <c r="AC375" s="0"/>
      <c r="AD375" s="0"/>
      <c r="AE375" s="0"/>
      <c r="AF375" s="0"/>
      <c r="AG375" s="0"/>
    </row>
    <row r="376" customFormat="false" ht="12.75" hidden="false" customHeight="false" outlineLevel="0" collapsed="false">
      <c r="A376" s="9" t="s">
        <v>3</v>
      </c>
      <c r="B376" s="10" t="n">
        <v>56769.4007794137</v>
      </c>
      <c r="C376" s="5"/>
      <c r="D376" s="0"/>
      <c r="E376" s="0"/>
      <c r="F376" s="0"/>
      <c r="G376" s="0"/>
      <c r="H376" s="0"/>
      <c r="I376" s="0"/>
      <c r="J376" s="0"/>
      <c r="K376" s="0"/>
      <c r="L376" s="0"/>
      <c r="M376" s="0"/>
      <c r="N376" s="0"/>
      <c r="O376" s="0"/>
      <c r="P376" s="0"/>
      <c r="Q376" s="0"/>
      <c r="R376" s="0"/>
      <c r="S376" s="0"/>
      <c r="T376" s="0"/>
      <c r="U376" s="0"/>
      <c r="V376" s="0"/>
      <c r="W376" s="0"/>
      <c r="X376" s="0"/>
      <c r="Y376" s="0"/>
      <c r="Z376" s="0"/>
      <c r="AA376" s="0"/>
      <c r="AB376" s="0"/>
      <c r="AC376" s="0"/>
      <c r="AD376" s="0"/>
      <c r="AE376" s="0"/>
      <c r="AF376" s="0"/>
      <c r="AG376" s="0"/>
    </row>
    <row r="377" customFormat="false" ht="12.75" hidden="false" customHeight="false" outlineLevel="0" collapsed="false">
      <c r="A377" s="11" t="s">
        <v>4</v>
      </c>
      <c r="B377" s="12" t="s">
        <v>5</v>
      </c>
      <c r="C377" s="12" t="s">
        <v>6</v>
      </c>
      <c r="D377" s="13" t="n">
        <v>1999</v>
      </c>
      <c r="E377" s="14" t="n">
        <v>2000</v>
      </c>
      <c r="F377" s="14" t="n">
        <v>2001</v>
      </c>
      <c r="G377" s="14" t="n">
        <v>2002</v>
      </c>
      <c r="H377" s="14" t="n">
        <v>2003</v>
      </c>
      <c r="I377" s="14" t="n">
        <v>2004</v>
      </c>
      <c r="J377" s="14" t="n">
        <v>2005</v>
      </c>
      <c r="K377" s="14" t="n">
        <v>2006</v>
      </c>
      <c r="L377" s="14" t="n">
        <v>2007</v>
      </c>
      <c r="M377" s="14" t="n">
        <v>2008</v>
      </c>
      <c r="N377" s="14" t="n">
        <v>2009</v>
      </c>
      <c r="O377" s="15" t="n">
        <v>2010</v>
      </c>
      <c r="P377" s="16" t="n">
        <v>2011</v>
      </c>
      <c r="Q377" s="16" t="n">
        <v>2012</v>
      </c>
      <c r="R377" s="16" t="n">
        <v>2013</v>
      </c>
      <c r="S377" s="16" t="n">
        <v>2014</v>
      </c>
      <c r="T377" s="16" t="n">
        <v>2015</v>
      </c>
      <c r="U377" s="16" t="n">
        <v>2016</v>
      </c>
      <c r="V377" s="16" t="n">
        <v>2017</v>
      </c>
      <c r="W377" s="16" t="n">
        <v>2018</v>
      </c>
      <c r="X377" s="16" t="n">
        <v>2019</v>
      </c>
      <c r="Y377" s="0"/>
      <c r="Z377" s="0"/>
      <c r="AA377" s="0"/>
      <c r="AB377" s="0"/>
      <c r="AC377" s="0"/>
      <c r="AD377" s="0"/>
      <c r="AE377" s="0"/>
      <c r="AF377" s="0"/>
      <c r="AG377" s="0"/>
    </row>
    <row r="378" customFormat="false" ht="12.75" hidden="false" customHeight="false" outlineLevel="0" collapsed="false">
      <c r="A378" s="11" t="s">
        <v>7</v>
      </c>
      <c r="B378" s="17" t="n">
        <f aca="false">NPV(0.1,D378:Y378)</f>
        <v>395402.898699225</v>
      </c>
      <c r="C378" s="17" t="n">
        <f aca="false">B378-B368</f>
        <v>4269.76403530926</v>
      </c>
      <c r="D378" s="18" t="n">
        <v>28857.4627525</v>
      </c>
      <c r="E378" s="19" t="n">
        <v>40085.0273146041</v>
      </c>
      <c r="F378" s="19" t="n">
        <v>40141.8036597172</v>
      </c>
      <c r="G378" s="19" t="n">
        <v>40200.2832951837</v>
      </c>
      <c r="H378" s="19" t="n">
        <v>44338.4749352634</v>
      </c>
      <c r="I378" s="19" t="n">
        <v>48759.5803149316</v>
      </c>
      <c r="J378" s="19" t="n">
        <v>49190.3661990801</v>
      </c>
      <c r="K378" s="19" t="n">
        <v>49618.0936948466</v>
      </c>
      <c r="L378" s="19" t="n">
        <v>50607.36714394</v>
      </c>
      <c r="M378" s="19" t="n">
        <v>51044.1879776295</v>
      </c>
      <c r="N378" s="19" t="n">
        <v>52076.2442552064</v>
      </c>
      <c r="O378" s="20" t="n">
        <v>52521.6796353643</v>
      </c>
      <c r="P378" s="21" t="n">
        <v>53598.0606626732</v>
      </c>
      <c r="Q378" s="21" t="n">
        <v>54051.5397555832</v>
      </c>
      <c r="R378" s="21" t="n">
        <v>54498.9674203239</v>
      </c>
      <c r="S378" s="21" t="n">
        <v>54939.5724400216</v>
      </c>
      <c r="T378" s="21" t="n">
        <v>55372.5427710754</v>
      </c>
      <c r="U378" s="21" t="n">
        <v>55797.023787649</v>
      </c>
      <c r="V378" s="21" t="n">
        <v>56212.1164575756</v>
      </c>
      <c r="W378" s="21" t="n">
        <v>56616.8754471414</v>
      </c>
      <c r="X378" s="21" t="n">
        <v>40635.956616222</v>
      </c>
      <c r="Y378" s="0"/>
      <c r="Z378" s="0"/>
      <c r="AA378" s="0"/>
      <c r="AB378" s="0"/>
      <c r="AC378" s="0"/>
      <c r="AD378" s="0"/>
      <c r="AE378" s="0"/>
      <c r="AF378" s="0"/>
      <c r="AG378" s="0"/>
    </row>
    <row r="379" customFormat="false" ht="12.75" hidden="false" customHeight="false" outlineLevel="0" collapsed="false">
      <c r="A379" s="22" t="s">
        <v>8</v>
      </c>
      <c r="B379" s="17" t="n">
        <f aca="false">NPV(0.1,D379:Y379)</f>
        <v>189577.021306144</v>
      </c>
      <c r="C379" s="17" t="n">
        <f aca="false">B379-B369</f>
        <v>4202.09696477526</v>
      </c>
      <c r="D379" s="18" t="n">
        <v>19539.6411681523</v>
      </c>
      <c r="E379" s="19" t="n">
        <v>21592.7865285566</v>
      </c>
      <c r="F379" s="19" t="n">
        <v>21674.9669017078</v>
      </c>
      <c r="G379" s="19" t="n">
        <v>21760.1328917458</v>
      </c>
      <c r="H379" s="19" t="n">
        <v>21889.261731255</v>
      </c>
      <c r="I379" s="19" t="n">
        <v>22041.111619392</v>
      </c>
      <c r="J379" s="19" t="n">
        <v>22153.8085704364</v>
      </c>
      <c r="K379" s="19" t="n">
        <v>22265.2262809284</v>
      </c>
      <c r="L379" s="19" t="n">
        <v>22380.9513985915</v>
      </c>
      <c r="M379" s="19" t="n">
        <v>22501.0845230066</v>
      </c>
      <c r="N379" s="19" t="n">
        <v>22620.3531167135</v>
      </c>
      <c r="O379" s="20" t="n">
        <v>23526.7086662359</v>
      </c>
      <c r="P379" s="21" t="n">
        <v>23595.7334247853</v>
      </c>
      <c r="Q379" s="21" t="n">
        <v>23653.4210025293</v>
      </c>
      <c r="R379" s="21" t="n">
        <v>23716.2491135956</v>
      </c>
      <c r="S379" s="21" t="n">
        <v>23788.6321999837</v>
      </c>
      <c r="T379" s="21" t="n">
        <v>23838.1282667067</v>
      </c>
      <c r="U379" s="21" t="n">
        <v>23876.9259248406</v>
      </c>
      <c r="V379" s="21" t="n">
        <v>23921.4934290454</v>
      </c>
      <c r="W379" s="21" t="n">
        <v>24069.8050800499</v>
      </c>
      <c r="X379" s="21" t="n">
        <v>7572.78400970237</v>
      </c>
      <c r="Y379" s="0"/>
      <c r="Z379" s="0"/>
      <c r="AA379" s="0"/>
      <c r="AB379" s="0"/>
      <c r="AC379" s="0"/>
      <c r="AD379" s="0"/>
      <c r="AE379" s="0"/>
      <c r="AF379" s="0"/>
      <c r="AG379" s="0"/>
    </row>
    <row r="380" customFormat="false" ht="12.75" hidden="false" customHeight="false" outlineLevel="0" collapsed="false">
      <c r="A380" s="22" t="s">
        <v>9</v>
      </c>
      <c r="B380" s="17" t="n">
        <f aca="false">NPV(0.1,D380:Y380)</f>
        <v>80574.5039098528</v>
      </c>
      <c r="C380" s="17" t="n">
        <f aca="false">B380-B370</f>
        <v>35.7512955372658</v>
      </c>
      <c r="D380" s="18" t="n">
        <v>1978.24739033216</v>
      </c>
      <c r="E380" s="19" t="n">
        <v>3983.32722416736</v>
      </c>
      <c r="F380" s="19" t="n">
        <v>4204.87761825392</v>
      </c>
      <c r="G380" s="19" t="n">
        <v>4443.2168772311</v>
      </c>
      <c r="H380" s="19" t="n">
        <v>7101.67620549486</v>
      </c>
      <c r="I380" s="19" t="n">
        <v>10022.5894285999</v>
      </c>
      <c r="J380" s="19" t="n">
        <v>10568.0179624368</v>
      </c>
      <c r="K380" s="19" t="n">
        <v>11016.2398593751</v>
      </c>
      <c r="L380" s="19" t="n">
        <v>11839.14475202</v>
      </c>
      <c r="M380" s="19" t="n">
        <v>12353.2909453296</v>
      </c>
      <c r="N380" s="19" t="n">
        <v>13271.6795367323</v>
      </c>
      <c r="O380" s="20" t="n">
        <v>13377.0526352381</v>
      </c>
      <c r="P380" s="21" t="n">
        <v>14422.7958329472</v>
      </c>
      <c r="Q380" s="21" t="n">
        <v>15139.3566533853</v>
      </c>
      <c r="R380" s="21" t="n">
        <v>15894.2692535145</v>
      </c>
      <c r="S380" s="21" t="n">
        <v>16716.1778393262</v>
      </c>
      <c r="T380" s="21" t="n">
        <v>16984.4127335282</v>
      </c>
      <c r="U380" s="21" t="n">
        <v>17225.5492007877</v>
      </c>
      <c r="V380" s="21" t="n">
        <v>17457.2084817439</v>
      </c>
      <c r="W380" s="21" t="n">
        <v>17617.5441662</v>
      </c>
      <c r="X380" s="21" t="n">
        <v>17940.2209632074</v>
      </c>
      <c r="Y380" s="0"/>
      <c r="Z380" s="0"/>
      <c r="AA380" s="0"/>
      <c r="AB380" s="0"/>
      <c r="AC380" s="0"/>
      <c r="AD380" s="0"/>
      <c r="AE380" s="0"/>
      <c r="AF380" s="0"/>
      <c r="AG380" s="0"/>
    </row>
    <row r="381" customFormat="false" ht="12.75" hidden="false" customHeight="false" outlineLevel="0" collapsed="false">
      <c r="A381" s="22" t="s">
        <v>10</v>
      </c>
      <c r="B381" s="17" t="n">
        <f aca="false">NPV(0.1,D381:Y381)</f>
        <v>91286.1396183418</v>
      </c>
      <c r="C381" s="17" t="n">
        <f aca="false">B381-B371</f>
        <v>14.5151985571138</v>
      </c>
      <c r="D381" s="23" t="n">
        <v>3222.41329792023</v>
      </c>
      <c r="E381" s="24" t="n">
        <v>6934.48803816376</v>
      </c>
      <c r="F381" s="24" t="n">
        <v>6375.55367646162</v>
      </c>
      <c r="G381" s="24" t="n">
        <v>6366.32464550567</v>
      </c>
      <c r="H381" s="24" t="n">
        <v>13739.2490517719</v>
      </c>
      <c r="I381" s="24" t="n">
        <v>12156.1576739682</v>
      </c>
      <c r="J381" s="24" t="n">
        <v>11638.395431133</v>
      </c>
      <c r="K381" s="24" t="n">
        <v>11554.684561451</v>
      </c>
      <c r="L381" s="24" t="n">
        <v>11574.3583769543</v>
      </c>
      <c r="M381" s="24" t="n">
        <v>11455.4903058116</v>
      </c>
      <c r="N381" s="24" t="n">
        <v>11434.6054339278</v>
      </c>
      <c r="O381" s="25" t="n">
        <v>11877.0307318413</v>
      </c>
      <c r="P381" s="21" t="n">
        <v>10996.3406994768</v>
      </c>
      <c r="Q381" s="21" t="n">
        <v>10784.2003160367</v>
      </c>
      <c r="R381" s="21" t="n">
        <v>10546.5096883827</v>
      </c>
      <c r="S381" s="21" t="n">
        <v>21059.5255287579</v>
      </c>
      <c r="T381" s="21" t="n">
        <v>19585.1787902039</v>
      </c>
      <c r="U381" s="21" t="n">
        <v>19809.9742039385</v>
      </c>
      <c r="V381" s="21" t="n">
        <v>20041.6334848946</v>
      </c>
      <c r="W381" s="21" t="n">
        <v>20300.0154905002</v>
      </c>
      <c r="X381" s="21" t="n">
        <v>20344.894377584</v>
      </c>
      <c r="Y381" s="0"/>
      <c r="Z381" s="0"/>
      <c r="AA381" s="0"/>
      <c r="AB381" s="0"/>
      <c r="AC381" s="0"/>
      <c r="AD381" s="0"/>
      <c r="AE381" s="0"/>
      <c r="AF381" s="0"/>
      <c r="AG381" s="0"/>
    </row>
    <row r="382" customFormat="false" ht="12.75" hidden="false" customHeight="false" outlineLevel="0" collapsed="false">
      <c r="A382" s="5"/>
      <c r="B382" s="5"/>
      <c r="C382" s="5"/>
      <c r="D382" s="0"/>
      <c r="E382" s="0"/>
      <c r="F382" s="0"/>
      <c r="G382" s="0"/>
      <c r="H382" s="0"/>
      <c r="I382" s="0"/>
      <c r="J382" s="0"/>
      <c r="K382" s="0"/>
      <c r="L382" s="0"/>
      <c r="M382" s="0"/>
      <c r="N382" s="0"/>
      <c r="O382" s="0"/>
      <c r="P382" s="0"/>
      <c r="Q382" s="0"/>
      <c r="R382" s="0"/>
      <c r="S382" s="0"/>
      <c r="T382" s="0"/>
      <c r="U382" s="0"/>
      <c r="V382" s="0"/>
      <c r="W382" s="0"/>
      <c r="X382" s="0"/>
      <c r="Y382" s="0"/>
      <c r="Z382" s="0"/>
      <c r="AA382" s="0"/>
      <c r="AB382" s="0"/>
      <c r="AC382" s="0"/>
      <c r="AD382" s="0"/>
      <c r="AE382" s="0"/>
      <c r="AF382" s="0"/>
      <c r="AG382" s="0"/>
    </row>
    <row r="383" customFormat="false" ht="12.75" hidden="false" customHeight="false" outlineLevel="0" collapsed="false">
      <c r="A383" s="26" t="s">
        <v>50</v>
      </c>
      <c r="B383" s="5"/>
      <c r="C383" s="5"/>
      <c r="D383" s="0"/>
      <c r="E383" s="0"/>
      <c r="F383" s="0"/>
      <c r="G383" s="0"/>
      <c r="H383" s="0"/>
      <c r="I383" s="0"/>
      <c r="J383" s="0"/>
      <c r="K383" s="0"/>
      <c r="L383" s="0"/>
      <c r="M383" s="0"/>
      <c r="N383" s="0"/>
      <c r="O383" s="0"/>
      <c r="P383" s="0"/>
      <c r="Q383" s="0"/>
      <c r="R383" s="0"/>
      <c r="S383" s="0"/>
      <c r="T383" s="0"/>
      <c r="U383" s="0"/>
      <c r="V383" s="0"/>
      <c r="W383" s="0"/>
      <c r="X383" s="0"/>
      <c r="Y383" s="0"/>
      <c r="Z383" s="0"/>
      <c r="AA383" s="0"/>
      <c r="AB383" s="0"/>
      <c r="AC383" s="0"/>
      <c r="AD383" s="0"/>
      <c r="AE383" s="0"/>
      <c r="AF383" s="0"/>
      <c r="AG383" s="0"/>
    </row>
    <row r="384" customFormat="false" ht="12.75" hidden="false" customHeight="false" outlineLevel="0" collapsed="false">
      <c r="A384" s="28" t="n">
        <v>36285</v>
      </c>
      <c r="B384" s="5"/>
      <c r="C384" s="5"/>
      <c r="D384" s="0"/>
      <c r="E384" s="0"/>
      <c r="F384" s="0"/>
      <c r="G384" s="0"/>
      <c r="H384" s="0"/>
      <c r="I384" s="0"/>
      <c r="J384" s="0"/>
      <c r="K384" s="0"/>
      <c r="L384" s="0"/>
      <c r="M384" s="0"/>
      <c r="N384" s="0"/>
      <c r="O384" s="0"/>
      <c r="P384" s="0"/>
      <c r="Q384" s="0"/>
      <c r="R384" s="0"/>
      <c r="S384" s="0"/>
      <c r="T384" s="0"/>
      <c r="U384" s="0"/>
      <c r="V384" s="0"/>
      <c r="W384" s="0"/>
      <c r="X384" s="0"/>
      <c r="Y384" s="0"/>
      <c r="Z384" s="0"/>
      <c r="AA384" s="0"/>
      <c r="AB384" s="0"/>
      <c r="AC384" s="0"/>
      <c r="AD384" s="0"/>
      <c r="AE384" s="0"/>
      <c r="AF384" s="0"/>
      <c r="AG384" s="0"/>
    </row>
    <row r="385" customFormat="false" ht="12.75" hidden="false" customHeight="false" outlineLevel="0" collapsed="false">
      <c r="A385" s="7" t="s">
        <v>2</v>
      </c>
      <c r="B385" s="8" t="n">
        <v>27373.5698586225</v>
      </c>
      <c r="C385" s="5"/>
      <c r="D385" s="0"/>
      <c r="E385" s="0"/>
      <c r="F385" s="0"/>
      <c r="G385" s="0"/>
      <c r="H385" s="0"/>
      <c r="I385" s="0"/>
      <c r="J385" s="0"/>
      <c r="K385" s="0"/>
      <c r="L385" s="0"/>
      <c r="M385" s="0"/>
      <c r="N385" s="0"/>
      <c r="O385" s="0"/>
      <c r="P385" s="0"/>
      <c r="Q385" s="0"/>
      <c r="R385" s="0"/>
      <c r="S385" s="0"/>
      <c r="T385" s="0"/>
      <c r="U385" s="0"/>
      <c r="V385" s="0"/>
      <c r="W385" s="0"/>
      <c r="X385" s="0"/>
      <c r="Y385" s="0"/>
      <c r="Z385" s="0"/>
      <c r="AA385" s="0"/>
      <c r="AB385" s="0"/>
      <c r="AC385" s="0"/>
      <c r="AD385" s="0"/>
      <c r="AE385" s="0"/>
      <c r="AF385" s="0"/>
      <c r="AG385" s="0"/>
    </row>
    <row r="386" customFormat="false" ht="12.75" hidden="false" customHeight="false" outlineLevel="0" collapsed="false">
      <c r="A386" s="9" t="s">
        <v>3</v>
      </c>
      <c r="B386" s="10" t="n">
        <v>56769.4007794137</v>
      </c>
      <c r="C386" s="5"/>
      <c r="D386" s="0"/>
      <c r="E386" s="0"/>
      <c r="F386" s="0"/>
      <c r="G386" s="0"/>
      <c r="H386" s="0"/>
      <c r="I386" s="0"/>
      <c r="J386" s="0"/>
      <c r="K386" s="0"/>
      <c r="L386" s="0"/>
      <c r="M386" s="0"/>
      <c r="N386" s="0"/>
      <c r="O386" s="0"/>
      <c r="P386" s="0"/>
      <c r="Q386" s="0"/>
      <c r="R386" s="0"/>
      <c r="S386" s="0"/>
      <c r="T386" s="0"/>
      <c r="U386" s="0"/>
      <c r="V386" s="0"/>
      <c r="W386" s="0"/>
      <c r="X386" s="0"/>
      <c r="Y386" s="0"/>
      <c r="Z386" s="0"/>
      <c r="AA386" s="0"/>
      <c r="AB386" s="0"/>
      <c r="AC386" s="0"/>
      <c r="AD386" s="0"/>
      <c r="AE386" s="0"/>
      <c r="AF386" s="0"/>
      <c r="AG386" s="0"/>
    </row>
    <row r="387" customFormat="false" ht="12.75" hidden="false" customHeight="false" outlineLevel="0" collapsed="false">
      <c r="A387" s="11" t="s">
        <v>4</v>
      </c>
      <c r="B387" s="12" t="s">
        <v>5</v>
      </c>
      <c r="C387" s="12" t="s">
        <v>6</v>
      </c>
      <c r="D387" s="13" t="n">
        <v>1999</v>
      </c>
      <c r="E387" s="14" t="n">
        <v>2000</v>
      </c>
      <c r="F387" s="14" t="n">
        <v>2001</v>
      </c>
      <c r="G387" s="14" t="n">
        <v>2002</v>
      </c>
      <c r="H387" s="14" t="n">
        <v>2003</v>
      </c>
      <c r="I387" s="14" t="n">
        <v>2004</v>
      </c>
      <c r="J387" s="14" t="n">
        <v>2005</v>
      </c>
      <c r="K387" s="14" t="n">
        <v>2006</v>
      </c>
      <c r="L387" s="14" t="n">
        <v>2007</v>
      </c>
      <c r="M387" s="14" t="n">
        <v>2008</v>
      </c>
      <c r="N387" s="14" t="n">
        <v>2009</v>
      </c>
      <c r="O387" s="15" t="n">
        <v>2010</v>
      </c>
      <c r="P387" s="16" t="n">
        <v>2011</v>
      </c>
      <c r="Q387" s="16" t="n">
        <v>2012</v>
      </c>
      <c r="R387" s="16" t="n">
        <v>2013</v>
      </c>
      <c r="S387" s="16" t="n">
        <v>2014</v>
      </c>
      <c r="T387" s="16" t="n">
        <v>2015</v>
      </c>
      <c r="U387" s="16" t="n">
        <v>2016</v>
      </c>
      <c r="V387" s="16" t="n">
        <v>2017</v>
      </c>
      <c r="W387" s="16" t="n">
        <v>2018</v>
      </c>
      <c r="X387" s="16" t="n">
        <v>2019</v>
      </c>
      <c r="Y387" s="0"/>
      <c r="Z387" s="0"/>
      <c r="AA387" s="0"/>
      <c r="AB387" s="0"/>
      <c r="AC387" s="0"/>
      <c r="AD387" s="0"/>
      <c r="AE387" s="0"/>
      <c r="AF387" s="0"/>
      <c r="AG387" s="0"/>
    </row>
    <row r="388" customFormat="false" ht="12.75" hidden="false" customHeight="false" outlineLevel="0" collapsed="false">
      <c r="A388" s="11" t="s">
        <v>7</v>
      </c>
      <c r="B388" s="17" t="n">
        <f aca="false">NPV(0.1,D388:Y388)</f>
        <v>396067.836361619</v>
      </c>
      <c r="C388" s="17" t="n">
        <f aca="false">B388-B378</f>
        <v>664.937662394485</v>
      </c>
      <c r="D388" s="18" t="n">
        <v>28934.1784825</v>
      </c>
      <c r="E388" s="19" t="n">
        <v>40164.3465196041</v>
      </c>
      <c r="F388" s="19" t="n">
        <v>40221.1228647172</v>
      </c>
      <c r="G388" s="19" t="n">
        <v>40279.6025001837</v>
      </c>
      <c r="H388" s="19" t="n">
        <v>44417.0009482134</v>
      </c>
      <c r="I388" s="19" t="n">
        <v>48837.3131358316</v>
      </c>
      <c r="J388" s="19" t="n">
        <v>49268.0990199801</v>
      </c>
      <c r="K388" s="19" t="n">
        <v>49695.8265157466</v>
      </c>
      <c r="L388" s="19" t="n">
        <v>50685.09996484</v>
      </c>
      <c r="M388" s="19" t="n">
        <v>51121.9207985295</v>
      </c>
      <c r="N388" s="19" t="n">
        <v>52153.9770761064</v>
      </c>
      <c r="O388" s="20" t="n">
        <v>52599.4124562643</v>
      </c>
      <c r="P388" s="21" t="n">
        <v>53675.7934835732</v>
      </c>
      <c r="Q388" s="21" t="n">
        <v>54129.2725764832</v>
      </c>
      <c r="R388" s="21" t="n">
        <v>54576.7002412239</v>
      </c>
      <c r="S388" s="21" t="n">
        <v>55017.3052609216</v>
      </c>
      <c r="T388" s="21" t="n">
        <v>55450.2755919754</v>
      </c>
      <c r="U388" s="21" t="n">
        <v>55874.756608549</v>
      </c>
      <c r="V388" s="21" t="n">
        <v>56289.8492784756</v>
      </c>
      <c r="W388" s="21" t="n">
        <v>56694.6082680414</v>
      </c>
      <c r="X388" s="21" t="n">
        <v>40635.956616222</v>
      </c>
      <c r="Y388" s="0"/>
      <c r="Z388" s="0"/>
      <c r="AA388" s="0"/>
      <c r="AB388" s="0"/>
      <c r="AC388" s="0"/>
      <c r="AD388" s="0"/>
      <c r="AE388" s="0"/>
      <c r="AF388" s="0"/>
      <c r="AG388" s="0"/>
    </row>
    <row r="389" customFormat="false" ht="12.75" hidden="false" customHeight="false" outlineLevel="0" collapsed="false">
      <c r="A389" s="22" t="s">
        <v>8</v>
      </c>
      <c r="B389" s="17" t="n">
        <f aca="false">NPV(0.1,D389:Y389)</f>
        <v>190241.958968538</v>
      </c>
      <c r="C389" s="17" t="n">
        <f aca="false">B389-B379</f>
        <v>664.937662394543</v>
      </c>
      <c r="D389" s="18" t="n">
        <v>19616.3568981523</v>
      </c>
      <c r="E389" s="19" t="n">
        <v>21672.1057335566</v>
      </c>
      <c r="F389" s="19" t="n">
        <v>21754.2861067078</v>
      </c>
      <c r="G389" s="19" t="n">
        <v>21839.4520967458</v>
      </c>
      <c r="H389" s="19" t="n">
        <v>21967.787744205</v>
      </c>
      <c r="I389" s="19" t="n">
        <v>22118.844440292</v>
      </c>
      <c r="J389" s="19" t="n">
        <v>22231.5413913364</v>
      </c>
      <c r="K389" s="19" t="n">
        <v>22342.9591018284</v>
      </c>
      <c r="L389" s="19" t="n">
        <v>22458.6842194915</v>
      </c>
      <c r="M389" s="19" t="n">
        <v>22578.8173439067</v>
      </c>
      <c r="N389" s="19" t="n">
        <v>22698.0859376135</v>
      </c>
      <c r="O389" s="20" t="n">
        <v>23604.4414871359</v>
      </c>
      <c r="P389" s="21" t="n">
        <v>23673.4662456853</v>
      </c>
      <c r="Q389" s="21" t="n">
        <v>23731.1538234293</v>
      </c>
      <c r="R389" s="21" t="n">
        <v>23793.9819344956</v>
      </c>
      <c r="S389" s="21" t="n">
        <v>23866.3650208837</v>
      </c>
      <c r="T389" s="21" t="n">
        <v>23915.8610876067</v>
      </c>
      <c r="U389" s="21" t="n">
        <v>23954.6587457406</v>
      </c>
      <c r="V389" s="21" t="n">
        <v>23999.2262499454</v>
      </c>
      <c r="W389" s="21" t="n">
        <v>24147.5379009499</v>
      </c>
      <c r="X389" s="21" t="n">
        <v>7572.78400970237</v>
      </c>
      <c r="Y389" s="0"/>
      <c r="Z389" s="0"/>
      <c r="AA389" s="0"/>
      <c r="AB389" s="0"/>
      <c r="AC389" s="0"/>
      <c r="AD389" s="0"/>
      <c r="AE389" s="0"/>
      <c r="AF389" s="0"/>
      <c r="AG389" s="0"/>
    </row>
    <row r="390" customFormat="false" ht="12.75" hidden="false" customHeight="false" outlineLevel="0" collapsed="false">
      <c r="A390" s="22" t="s">
        <v>9</v>
      </c>
      <c r="B390" s="17" t="n">
        <f aca="false">NPV(0.1,D390:Y390)</f>
        <v>80574.5039098528</v>
      </c>
      <c r="C390" s="17" t="n">
        <f aca="false">B390-B380</f>
        <v>0</v>
      </c>
      <c r="D390" s="18" t="n">
        <v>1978.24739033216</v>
      </c>
      <c r="E390" s="19" t="n">
        <v>3983.32722416736</v>
      </c>
      <c r="F390" s="19" t="n">
        <v>4204.87761825391</v>
      </c>
      <c r="G390" s="19" t="n">
        <v>4443.2168772311</v>
      </c>
      <c r="H390" s="19" t="n">
        <v>7101.67620549486</v>
      </c>
      <c r="I390" s="19" t="n">
        <v>10022.5894285999</v>
      </c>
      <c r="J390" s="19" t="n">
        <v>10568.0179624368</v>
      </c>
      <c r="K390" s="19" t="n">
        <v>11016.2398593751</v>
      </c>
      <c r="L390" s="19" t="n">
        <v>11839.14475202</v>
      </c>
      <c r="M390" s="19" t="n">
        <v>12353.2909453296</v>
      </c>
      <c r="N390" s="19" t="n">
        <v>13271.6795367323</v>
      </c>
      <c r="O390" s="20" t="n">
        <v>13377.0526352381</v>
      </c>
      <c r="P390" s="21" t="n">
        <v>14422.7958329472</v>
      </c>
      <c r="Q390" s="21" t="n">
        <v>15139.3566533853</v>
      </c>
      <c r="R390" s="21" t="n">
        <v>15894.2692535145</v>
      </c>
      <c r="S390" s="21" t="n">
        <v>16716.1778393262</v>
      </c>
      <c r="T390" s="21" t="n">
        <v>16984.4127335282</v>
      </c>
      <c r="U390" s="21" t="n">
        <v>17225.5492007877</v>
      </c>
      <c r="V390" s="21" t="n">
        <v>17457.2084817439</v>
      </c>
      <c r="W390" s="21" t="n">
        <v>17617.5441662</v>
      </c>
      <c r="X390" s="21" t="n">
        <v>17940.2209632074</v>
      </c>
      <c r="Y390" s="0"/>
      <c r="Z390" s="0"/>
      <c r="AA390" s="0"/>
      <c r="AB390" s="0"/>
      <c r="AC390" s="0"/>
      <c r="AD390" s="0"/>
      <c r="AE390" s="0"/>
      <c r="AF390" s="0"/>
      <c r="AG390" s="0"/>
    </row>
    <row r="391" customFormat="false" ht="12.75" hidden="false" customHeight="false" outlineLevel="0" collapsed="false">
      <c r="A391" s="22" t="s">
        <v>10</v>
      </c>
      <c r="B391" s="17" t="n">
        <f aca="false">NPV(0.1,D391:Y391)</f>
        <v>91286.1396183418</v>
      </c>
      <c r="C391" s="17" t="n">
        <f aca="false">B391-B381</f>
        <v>0</v>
      </c>
      <c r="D391" s="23" t="n">
        <v>3222.41329792023</v>
      </c>
      <c r="E391" s="24" t="n">
        <v>6934.48803816376</v>
      </c>
      <c r="F391" s="24" t="n">
        <v>6375.55367646163</v>
      </c>
      <c r="G391" s="24" t="n">
        <v>6366.32464550566</v>
      </c>
      <c r="H391" s="24" t="n">
        <v>13739.2490517719</v>
      </c>
      <c r="I391" s="24" t="n">
        <v>12156.1576739682</v>
      </c>
      <c r="J391" s="24" t="n">
        <v>11638.395431133</v>
      </c>
      <c r="K391" s="24" t="n">
        <v>11554.684561451</v>
      </c>
      <c r="L391" s="24" t="n">
        <v>11574.3583769543</v>
      </c>
      <c r="M391" s="24" t="n">
        <v>11455.4903058116</v>
      </c>
      <c r="N391" s="24" t="n">
        <v>11434.6054339278</v>
      </c>
      <c r="O391" s="25" t="n">
        <v>11877.0307318413</v>
      </c>
      <c r="P391" s="21" t="n">
        <v>10996.3406994768</v>
      </c>
      <c r="Q391" s="21" t="n">
        <v>10784.2003160367</v>
      </c>
      <c r="R391" s="21" t="n">
        <v>10546.5096883827</v>
      </c>
      <c r="S391" s="21" t="n">
        <v>21059.5255287579</v>
      </c>
      <c r="T391" s="21" t="n">
        <v>19585.1787902039</v>
      </c>
      <c r="U391" s="21" t="n">
        <v>19809.9742039385</v>
      </c>
      <c r="V391" s="21" t="n">
        <v>20041.6334848946</v>
      </c>
      <c r="W391" s="21" t="n">
        <v>20300.0154905002</v>
      </c>
      <c r="X391" s="21" t="n">
        <v>20344.894377584</v>
      </c>
      <c r="Y391" s="0"/>
      <c r="Z391" s="0"/>
      <c r="AA391" s="0"/>
      <c r="AB391" s="0"/>
      <c r="AC391" s="0"/>
      <c r="AD391" s="0"/>
      <c r="AE391" s="0"/>
      <c r="AF391" s="0"/>
      <c r="AG391" s="0"/>
    </row>
    <row r="392" customFormat="false" ht="12.75" hidden="false" customHeight="false" outlineLevel="0" collapsed="false">
      <c r="A392" s="5"/>
      <c r="B392" s="5"/>
      <c r="C392" s="5"/>
      <c r="D392" s="0"/>
      <c r="E392" s="0"/>
      <c r="F392" s="0"/>
      <c r="G392" s="0"/>
      <c r="H392" s="0"/>
      <c r="I392" s="0"/>
      <c r="J392" s="0"/>
      <c r="K392" s="0"/>
      <c r="L392" s="0"/>
      <c r="M392" s="0"/>
      <c r="N392" s="0"/>
      <c r="O392" s="0"/>
      <c r="P392" s="0"/>
      <c r="Q392" s="0"/>
      <c r="R392" s="0"/>
      <c r="S392" s="0"/>
      <c r="T392" s="0"/>
      <c r="U392" s="0"/>
      <c r="V392" s="0"/>
      <c r="W392" s="0"/>
      <c r="X392" s="0"/>
      <c r="Y392" s="0"/>
      <c r="Z392" s="0"/>
      <c r="AA392" s="0"/>
      <c r="AB392" s="0"/>
      <c r="AC392" s="0"/>
      <c r="AD392" s="0"/>
      <c r="AE392" s="0"/>
      <c r="AF392" s="0"/>
      <c r="AG392" s="0"/>
    </row>
    <row r="393" customFormat="false" ht="12.75" hidden="false" customHeight="false" outlineLevel="0" collapsed="false">
      <c r="A393" s="26" t="s">
        <v>51</v>
      </c>
      <c r="B393" s="5"/>
      <c r="C393" s="5"/>
      <c r="D393" s="0"/>
      <c r="E393" s="0"/>
      <c r="F393" s="0"/>
      <c r="G393" s="0"/>
      <c r="H393" s="0"/>
      <c r="I393" s="0"/>
      <c r="J393" s="0"/>
      <c r="K393" s="0"/>
      <c r="L393" s="0"/>
      <c r="M393" s="0"/>
      <c r="N393" s="0"/>
      <c r="O393" s="0"/>
      <c r="P393" s="0"/>
      <c r="Q393" s="0"/>
      <c r="R393" s="0"/>
      <c r="S393" s="0"/>
      <c r="T393" s="0"/>
      <c r="U393" s="0"/>
      <c r="V393" s="0"/>
      <c r="W393" s="0"/>
      <c r="X393" s="0"/>
      <c r="Y393" s="0"/>
      <c r="Z393" s="0"/>
      <c r="AA393" s="0"/>
      <c r="AB393" s="0"/>
      <c r="AC393" s="0"/>
      <c r="AD393" s="0"/>
      <c r="AE393" s="0"/>
      <c r="AF393" s="0"/>
      <c r="AG393" s="0"/>
    </row>
    <row r="394" customFormat="false" ht="12.75" hidden="false" customHeight="false" outlineLevel="0" collapsed="false">
      <c r="A394" s="28" t="n">
        <v>36285</v>
      </c>
      <c r="B394" s="5"/>
      <c r="C394" s="5"/>
      <c r="D394" s="0"/>
      <c r="E394" s="0"/>
      <c r="F394" s="0"/>
      <c r="G394" s="0"/>
      <c r="H394" s="0"/>
      <c r="I394" s="0"/>
      <c r="J394" s="0"/>
      <c r="K394" s="0"/>
      <c r="L394" s="0"/>
      <c r="M394" s="0"/>
      <c r="N394" s="0"/>
      <c r="O394" s="0"/>
      <c r="P394" s="0"/>
      <c r="Q394" s="0"/>
      <c r="R394" s="0"/>
      <c r="S394" s="0"/>
      <c r="T394" s="0"/>
      <c r="U394" s="0"/>
      <c r="V394" s="0"/>
      <c r="W394" s="0"/>
      <c r="X394" s="0"/>
      <c r="Y394" s="0"/>
      <c r="Z394" s="0"/>
      <c r="AA394" s="0"/>
      <c r="AB394" s="0"/>
      <c r="AC394" s="0"/>
      <c r="AD394" s="0"/>
      <c r="AE394" s="0"/>
      <c r="AF394" s="0"/>
      <c r="AG394" s="0"/>
    </row>
    <row r="395" customFormat="false" ht="12.75" hidden="false" customHeight="false" outlineLevel="0" collapsed="false">
      <c r="A395" s="7" t="s">
        <v>2</v>
      </c>
      <c r="B395" s="8" t="n">
        <v>27071.4010308584</v>
      </c>
      <c r="C395" s="5"/>
      <c r="D395" s="0"/>
      <c r="E395" s="0"/>
      <c r="F395" s="0"/>
      <c r="G395" s="0"/>
      <c r="H395" s="0"/>
      <c r="I395" s="0"/>
      <c r="J395" s="0"/>
      <c r="K395" s="0"/>
      <c r="L395" s="0"/>
      <c r="M395" s="0"/>
      <c r="N395" s="0"/>
      <c r="O395" s="0"/>
      <c r="P395" s="0"/>
      <c r="Q395" s="0"/>
      <c r="R395" s="0"/>
      <c r="S395" s="0"/>
      <c r="T395" s="0"/>
      <c r="U395" s="0"/>
      <c r="V395" s="0"/>
      <c r="W395" s="0"/>
      <c r="X395" s="0"/>
      <c r="Y395" s="0"/>
      <c r="Z395" s="0"/>
      <c r="AA395" s="0"/>
      <c r="AB395" s="0"/>
      <c r="AC395" s="0"/>
      <c r="AD395" s="0"/>
      <c r="AE395" s="0"/>
      <c r="AF395" s="0"/>
      <c r="AG395" s="0"/>
    </row>
    <row r="396" customFormat="false" ht="12.75" hidden="false" customHeight="false" outlineLevel="0" collapsed="false">
      <c r="A396" s="9" t="s">
        <v>3</v>
      </c>
      <c r="B396" s="10" t="n">
        <v>56419.7747232859</v>
      </c>
      <c r="C396" s="5"/>
      <c r="D396" s="0"/>
      <c r="E396" s="0"/>
      <c r="F396" s="0"/>
      <c r="G396" s="0"/>
      <c r="H396" s="0"/>
      <c r="I396" s="0"/>
      <c r="J396" s="0"/>
      <c r="K396" s="0"/>
      <c r="L396" s="0"/>
      <c r="M396" s="0"/>
      <c r="N396" s="0"/>
      <c r="O396" s="0"/>
      <c r="P396" s="0"/>
      <c r="Q396" s="0"/>
      <c r="R396" s="0"/>
      <c r="S396" s="0"/>
      <c r="T396" s="0"/>
      <c r="U396" s="0"/>
      <c r="V396" s="0"/>
      <c r="W396" s="0"/>
      <c r="X396" s="0"/>
      <c r="Y396" s="0"/>
      <c r="Z396" s="0"/>
      <c r="AA396" s="0"/>
      <c r="AB396" s="0"/>
      <c r="AC396" s="0"/>
      <c r="AD396" s="0"/>
      <c r="AE396" s="0"/>
      <c r="AF396" s="0"/>
      <c r="AG396" s="0"/>
    </row>
    <row r="397" customFormat="false" ht="12.75" hidden="false" customHeight="false" outlineLevel="0" collapsed="false">
      <c r="A397" s="11" t="s">
        <v>4</v>
      </c>
      <c r="B397" s="12" t="s">
        <v>5</v>
      </c>
      <c r="C397" s="12" t="s">
        <v>6</v>
      </c>
      <c r="D397" s="13" t="n">
        <v>1999</v>
      </c>
      <c r="E397" s="14" t="n">
        <v>2000</v>
      </c>
      <c r="F397" s="14" t="n">
        <v>2001</v>
      </c>
      <c r="G397" s="14" t="n">
        <v>2002</v>
      </c>
      <c r="H397" s="14" t="n">
        <v>2003</v>
      </c>
      <c r="I397" s="14" t="n">
        <v>2004</v>
      </c>
      <c r="J397" s="14" t="n">
        <v>2005</v>
      </c>
      <c r="K397" s="14" t="n">
        <v>2006</v>
      </c>
      <c r="L397" s="14" t="n">
        <v>2007</v>
      </c>
      <c r="M397" s="14" t="n">
        <v>2008</v>
      </c>
      <c r="N397" s="14" t="n">
        <v>2009</v>
      </c>
      <c r="O397" s="15" t="n">
        <v>2010</v>
      </c>
      <c r="P397" s="16" t="n">
        <v>2011</v>
      </c>
      <c r="Q397" s="16" t="n">
        <v>2012</v>
      </c>
      <c r="R397" s="16" t="n">
        <v>2013</v>
      </c>
      <c r="S397" s="16" t="n">
        <v>2014</v>
      </c>
      <c r="T397" s="16" t="n">
        <v>2015</v>
      </c>
      <c r="U397" s="16" t="n">
        <v>2016</v>
      </c>
      <c r="V397" s="16" t="n">
        <v>2017</v>
      </c>
      <c r="W397" s="16" t="n">
        <v>2018</v>
      </c>
      <c r="X397" s="16" t="n">
        <v>2019</v>
      </c>
      <c r="Y397" s="0"/>
      <c r="Z397" s="0"/>
      <c r="AA397" s="0"/>
      <c r="AB397" s="0"/>
      <c r="AC397" s="0"/>
      <c r="AD397" s="0"/>
      <c r="AE397" s="0"/>
      <c r="AF397" s="0"/>
      <c r="AG397" s="0"/>
    </row>
    <row r="398" customFormat="false" ht="12.75" hidden="false" customHeight="false" outlineLevel="0" collapsed="false">
      <c r="A398" s="11" t="s">
        <v>7</v>
      </c>
      <c r="B398" s="17" t="n">
        <f aca="false">NPV(0.1,D398:Y398)</f>
        <v>394042.518042711</v>
      </c>
      <c r="C398" s="17" t="n">
        <f aca="false">B398-B388</f>
        <v>-2025.31831890822</v>
      </c>
      <c r="D398" s="18" t="n">
        <v>27166.1784825</v>
      </c>
      <c r="E398" s="19" t="n">
        <v>40164.3465196041</v>
      </c>
      <c r="F398" s="19" t="n">
        <v>40221.1228647172</v>
      </c>
      <c r="G398" s="19" t="n">
        <v>40279.6025001837</v>
      </c>
      <c r="H398" s="19" t="n">
        <v>43743.7343424285</v>
      </c>
      <c r="I398" s="19" t="n">
        <v>48837.3131358316</v>
      </c>
      <c r="J398" s="19" t="n">
        <v>49268.0990199801</v>
      </c>
      <c r="K398" s="19" t="n">
        <v>49695.8265157466</v>
      </c>
      <c r="L398" s="19" t="n">
        <v>50685.09996484</v>
      </c>
      <c r="M398" s="19" t="n">
        <v>51121.9207985295</v>
      </c>
      <c r="N398" s="19" t="n">
        <v>52153.9770761064</v>
      </c>
      <c r="O398" s="20" t="n">
        <v>52599.4124562643</v>
      </c>
      <c r="P398" s="21" t="n">
        <v>53675.7934835732</v>
      </c>
      <c r="Q398" s="21" t="n">
        <v>54129.2725764832</v>
      </c>
      <c r="R398" s="21" t="n">
        <v>54576.7002412239</v>
      </c>
      <c r="S398" s="21" t="n">
        <v>55017.3052609216</v>
      </c>
      <c r="T398" s="21" t="n">
        <v>55450.2755919754</v>
      </c>
      <c r="U398" s="21" t="n">
        <v>55874.756608549</v>
      </c>
      <c r="V398" s="21" t="n">
        <v>56289.8492784756</v>
      </c>
      <c r="W398" s="21" t="n">
        <v>56694.6082680414</v>
      </c>
      <c r="X398" s="21" t="n">
        <v>40635.956616222</v>
      </c>
      <c r="Y398" s="0"/>
      <c r="Z398" s="0"/>
      <c r="AA398" s="0"/>
      <c r="AB398" s="0"/>
      <c r="AC398" s="0"/>
      <c r="AD398" s="0"/>
      <c r="AE398" s="0"/>
      <c r="AF398" s="0"/>
      <c r="AG398" s="0"/>
    </row>
    <row r="399" customFormat="false" ht="12.75" hidden="false" customHeight="false" outlineLevel="0" collapsed="false">
      <c r="A399" s="22" t="s">
        <v>8</v>
      </c>
      <c r="B399" s="17" t="n">
        <f aca="false">NPV(0.1,D399:Y399)</f>
        <v>190113.724894935</v>
      </c>
      <c r="C399" s="17" t="n">
        <f aca="false">B399-B389</f>
        <v>-128.234073603438</v>
      </c>
      <c r="D399" s="18" t="n">
        <v>19471.8239304889</v>
      </c>
      <c r="E399" s="19" t="n">
        <v>21673.6736288949</v>
      </c>
      <c r="F399" s="19" t="n">
        <v>21755.8394805282</v>
      </c>
      <c r="G399" s="19" t="n">
        <v>21840.9897686159</v>
      </c>
      <c r="H399" s="19" t="n">
        <v>21962.6480638511</v>
      </c>
      <c r="I399" s="19" t="n">
        <v>22119.4327186431</v>
      </c>
      <c r="J399" s="19" t="n">
        <v>22232.1296696874</v>
      </c>
      <c r="K399" s="19" t="n">
        <v>22343.5473801795</v>
      </c>
      <c r="L399" s="19" t="n">
        <v>22459.2724978425</v>
      </c>
      <c r="M399" s="19" t="n">
        <v>22579.4056222577</v>
      </c>
      <c r="N399" s="19" t="n">
        <v>22698.6742159645</v>
      </c>
      <c r="O399" s="20" t="n">
        <v>23605.0297654869</v>
      </c>
      <c r="P399" s="21" t="n">
        <v>23674.0545240363</v>
      </c>
      <c r="Q399" s="21" t="n">
        <v>23731.7421017804</v>
      </c>
      <c r="R399" s="21" t="n">
        <v>23794.5702128466</v>
      </c>
      <c r="S399" s="21" t="n">
        <v>23866.9340822347</v>
      </c>
      <c r="T399" s="21" t="n">
        <v>23916.4301489578</v>
      </c>
      <c r="U399" s="21" t="n">
        <v>23955.2278070916</v>
      </c>
      <c r="V399" s="21" t="n">
        <v>23999.7953112964</v>
      </c>
      <c r="W399" s="21" t="n">
        <v>24148.106962301</v>
      </c>
      <c r="X399" s="21" t="n">
        <v>7573.35307105339</v>
      </c>
      <c r="Y399" s="0"/>
      <c r="Z399" s="0"/>
      <c r="AA399" s="0"/>
      <c r="AB399" s="0"/>
      <c r="AC399" s="0"/>
      <c r="AD399" s="0"/>
      <c r="AE399" s="0"/>
      <c r="AF399" s="0"/>
      <c r="AG399" s="0"/>
    </row>
    <row r="400" customFormat="false" ht="12.75" hidden="false" customHeight="false" outlineLevel="0" collapsed="false">
      <c r="A400" s="22" t="s">
        <v>9</v>
      </c>
      <c r="B400" s="17" t="n">
        <f aca="false">NPV(0.1,D400:Y400)</f>
        <v>80001.6513396878</v>
      </c>
      <c r="C400" s="17" t="n">
        <f aca="false">B400-B390</f>
        <v>-572.852570164905</v>
      </c>
      <c r="D400" s="18" t="n">
        <v>1617.10326150695</v>
      </c>
      <c r="E400" s="19" t="n">
        <v>3991.99754030646</v>
      </c>
      <c r="F400" s="19" t="n">
        <v>4214.25491213602</v>
      </c>
      <c r="G400" s="19" t="n">
        <v>4453.35643732454</v>
      </c>
      <c r="H400" s="19" t="n">
        <v>6696.24719524664</v>
      </c>
      <c r="I400" s="19" t="n">
        <v>10002.2218506904</v>
      </c>
      <c r="J400" s="19" t="n">
        <v>10567.7227759818</v>
      </c>
      <c r="K400" s="19" t="n">
        <v>11015.9388578359</v>
      </c>
      <c r="L400" s="19" t="n">
        <v>11838.8374701899</v>
      </c>
      <c r="M400" s="19" t="n">
        <v>12352.9768807852</v>
      </c>
      <c r="N400" s="19" t="n">
        <v>13271.3581468566</v>
      </c>
      <c r="O400" s="20" t="n">
        <v>13376.7233340045</v>
      </c>
      <c r="P400" s="21" t="n">
        <v>14422.4579874472</v>
      </c>
      <c r="Q400" s="21" t="n">
        <v>15139.0095800774</v>
      </c>
      <c r="R400" s="21" t="n">
        <v>15893.9122141742</v>
      </c>
      <c r="S400" s="21" t="n">
        <v>16711.0754524996</v>
      </c>
      <c r="T400" s="21" t="n">
        <v>16984.0569457017</v>
      </c>
      <c r="U400" s="21" t="n">
        <v>17225.1934129612</v>
      </c>
      <c r="V400" s="21" t="n">
        <v>17456.8526939173</v>
      </c>
      <c r="W400" s="21" t="n">
        <v>17617.1883783734</v>
      </c>
      <c r="X400" s="21" t="n">
        <v>17939.8651753809</v>
      </c>
      <c r="Y400" s="0"/>
      <c r="Z400" s="0"/>
      <c r="AA400" s="0"/>
      <c r="AB400" s="0"/>
      <c r="AC400" s="0"/>
      <c r="AD400" s="0"/>
      <c r="AE400" s="0"/>
      <c r="AF400" s="0"/>
      <c r="AG400" s="0"/>
    </row>
    <row r="401" customFormat="false" ht="12.75" hidden="false" customHeight="false" outlineLevel="0" collapsed="false">
      <c r="A401" s="22" t="s">
        <v>10</v>
      </c>
      <c r="B401" s="17" t="n">
        <f aca="false">NPV(0.1,D401:Y401)</f>
        <v>90864.8448606611</v>
      </c>
      <c r="C401" s="17" t="n">
        <f aca="false">B401-B391</f>
        <v>-421.294757680676</v>
      </c>
      <c r="D401" s="23" t="n">
        <v>2660.96428257052</v>
      </c>
      <c r="E401" s="24" t="n">
        <v>6933.94580769261</v>
      </c>
      <c r="F401" s="24" t="n">
        <v>6375.0164680154</v>
      </c>
      <c r="G401" s="24" t="n">
        <v>6365.79286731727</v>
      </c>
      <c r="H401" s="24" t="n">
        <v>13330.0213099454</v>
      </c>
      <c r="I401" s="24" t="n">
        <v>12766.7926868912</v>
      </c>
      <c r="J401" s="24" t="n">
        <v>11638.2179589329</v>
      </c>
      <c r="K401" s="24" t="n">
        <v>11554.5106913071</v>
      </c>
      <c r="L401" s="24" t="n">
        <v>11574.1883970312</v>
      </c>
      <c r="M401" s="24" t="n">
        <v>11455.3245273268</v>
      </c>
      <c r="N401" s="24" t="n">
        <v>11434.4441929965</v>
      </c>
      <c r="O401" s="25" t="n">
        <v>11876.8743914676</v>
      </c>
      <c r="P401" s="21" t="n">
        <v>10996.1896517055</v>
      </c>
      <c r="Q401" s="21" t="n">
        <v>10784.0549842758</v>
      </c>
      <c r="R401" s="21" t="n">
        <v>10546.3705299132</v>
      </c>
      <c r="S401" s="21" t="n">
        <v>21062.1099419313</v>
      </c>
      <c r="T401" s="21" t="n">
        <v>19584.8230023773</v>
      </c>
      <c r="U401" s="21" t="n">
        <v>19809.6184161119</v>
      </c>
      <c r="V401" s="21" t="n">
        <v>20041.277697068</v>
      </c>
      <c r="W401" s="21" t="n">
        <v>20299.6597026737</v>
      </c>
      <c r="X401" s="21" t="n">
        <v>20344.5385897575</v>
      </c>
      <c r="Y401" s="0"/>
      <c r="Z401" s="0"/>
      <c r="AA401" s="0"/>
      <c r="AB401" s="0"/>
      <c r="AC401" s="0"/>
      <c r="AD401" s="0"/>
      <c r="AE401" s="0"/>
      <c r="AF401" s="0"/>
      <c r="AG401" s="0"/>
    </row>
    <row r="402" customFormat="false" ht="12.75" hidden="false" customHeight="false" outlineLevel="0" collapsed="false">
      <c r="A402" s="5"/>
      <c r="B402" s="5"/>
      <c r="C402" s="5"/>
      <c r="D402" s="0"/>
      <c r="E402" s="0"/>
      <c r="F402" s="0"/>
      <c r="G402" s="0"/>
      <c r="H402" s="0"/>
      <c r="I402" s="0"/>
      <c r="J402" s="0"/>
      <c r="K402" s="0"/>
      <c r="L402" s="0"/>
      <c r="M402" s="0"/>
      <c r="N402" s="0"/>
      <c r="O402" s="0"/>
      <c r="P402" s="0"/>
      <c r="Q402" s="0"/>
      <c r="R402" s="0"/>
      <c r="S402" s="0"/>
      <c r="T402" s="0"/>
      <c r="U402" s="0"/>
      <c r="V402" s="0"/>
      <c r="W402" s="0"/>
      <c r="X402" s="0"/>
      <c r="Y402" s="0"/>
      <c r="Z402" s="0"/>
      <c r="AA402" s="0"/>
      <c r="AB402" s="0"/>
      <c r="AC402" s="0"/>
      <c r="AD402" s="0"/>
      <c r="AE402" s="0"/>
      <c r="AF402" s="0"/>
      <c r="AG402" s="0"/>
    </row>
    <row r="403" customFormat="false" ht="12.75" hidden="false" customHeight="false" outlineLevel="0" collapsed="false">
      <c r="A403" s="26" t="s">
        <v>52</v>
      </c>
      <c r="B403" s="5"/>
      <c r="C403" s="5"/>
      <c r="D403" s="0"/>
      <c r="E403" s="0"/>
      <c r="F403" s="0"/>
      <c r="G403" s="0"/>
      <c r="H403" s="0"/>
      <c r="I403" s="0"/>
      <c r="J403" s="0"/>
      <c r="K403" s="0"/>
      <c r="L403" s="0"/>
      <c r="M403" s="0"/>
      <c r="N403" s="0"/>
      <c r="O403" s="0"/>
      <c r="P403" s="0"/>
      <c r="Q403" s="0"/>
      <c r="R403" s="0"/>
      <c r="S403" s="0"/>
      <c r="T403" s="0"/>
      <c r="U403" s="0"/>
      <c r="V403" s="0"/>
      <c r="W403" s="0"/>
      <c r="X403" s="0"/>
      <c r="Y403" s="0"/>
      <c r="Z403" s="0"/>
      <c r="AA403" s="0"/>
      <c r="AB403" s="0"/>
      <c r="AC403" s="0"/>
      <c r="AD403" s="0"/>
      <c r="AE403" s="0"/>
      <c r="AF403" s="0"/>
      <c r="AG403" s="0"/>
    </row>
    <row r="404" customFormat="false" ht="12.75" hidden="false" customHeight="false" outlineLevel="0" collapsed="false">
      <c r="A404" s="28" t="n">
        <v>36285</v>
      </c>
      <c r="B404" s="5"/>
      <c r="C404" s="5"/>
      <c r="D404" s="0"/>
      <c r="E404" s="0"/>
      <c r="F404" s="0"/>
      <c r="G404" s="0"/>
      <c r="H404" s="0"/>
      <c r="I404" s="0"/>
      <c r="J404" s="0"/>
      <c r="K404" s="0"/>
      <c r="L404" s="0"/>
      <c r="M404" s="0"/>
      <c r="N404" s="0"/>
      <c r="O404" s="0"/>
      <c r="P404" s="0"/>
      <c r="Q404" s="0"/>
      <c r="R404" s="0"/>
      <c r="S404" s="0"/>
      <c r="T404" s="0"/>
      <c r="U404" s="0"/>
      <c r="V404" s="0"/>
      <c r="W404" s="0"/>
      <c r="X404" s="0"/>
      <c r="Y404" s="0"/>
      <c r="Z404" s="0"/>
      <c r="AA404" s="0"/>
      <c r="AB404" s="0"/>
      <c r="AC404" s="0"/>
      <c r="AD404" s="0"/>
      <c r="AE404" s="0"/>
      <c r="AF404" s="0"/>
      <c r="AG404" s="0"/>
    </row>
    <row r="405" customFormat="false" ht="12.75" hidden="false" customHeight="false" outlineLevel="0" collapsed="false">
      <c r="A405" s="7" t="s">
        <v>2</v>
      </c>
      <c r="B405" s="8" t="n">
        <v>24932.634375701</v>
      </c>
      <c r="C405" s="5"/>
      <c r="D405" s="0"/>
      <c r="E405" s="0"/>
      <c r="F405" s="0"/>
      <c r="G405" s="0"/>
      <c r="H405" s="0"/>
      <c r="I405" s="0"/>
      <c r="J405" s="0"/>
      <c r="K405" s="0"/>
      <c r="L405" s="0"/>
      <c r="M405" s="0"/>
      <c r="N405" s="0"/>
      <c r="O405" s="0"/>
      <c r="P405" s="0"/>
      <c r="Q405" s="0"/>
      <c r="R405" s="0"/>
      <c r="S405" s="0"/>
      <c r="T405" s="0"/>
      <c r="U405" s="0"/>
      <c r="V405" s="0"/>
      <c r="W405" s="0"/>
      <c r="X405" s="0"/>
      <c r="Y405" s="0"/>
      <c r="Z405" s="0"/>
      <c r="AA405" s="0"/>
      <c r="AB405" s="0"/>
      <c r="AC405" s="0"/>
      <c r="AD405" s="0"/>
      <c r="AE405" s="0"/>
      <c r="AF405" s="0"/>
      <c r="AG405" s="0"/>
    </row>
    <row r="406" customFormat="false" ht="12.75" hidden="false" customHeight="false" outlineLevel="0" collapsed="false">
      <c r="A406" s="9" t="s">
        <v>3</v>
      </c>
      <c r="B406" s="10" t="n">
        <v>53822.1988959119</v>
      </c>
      <c r="C406" s="5"/>
      <c r="D406" s="0"/>
      <c r="E406" s="0"/>
      <c r="F406" s="0"/>
      <c r="G406" s="0"/>
      <c r="H406" s="0"/>
      <c r="I406" s="0"/>
      <c r="J406" s="0"/>
      <c r="K406" s="0"/>
      <c r="L406" s="0"/>
      <c r="M406" s="0"/>
      <c r="N406" s="0"/>
      <c r="O406" s="0"/>
      <c r="P406" s="0"/>
      <c r="Q406" s="0"/>
      <c r="R406" s="0"/>
      <c r="S406" s="0"/>
      <c r="T406" s="0"/>
      <c r="U406" s="0"/>
      <c r="V406" s="0"/>
      <c r="W406" s="0"/>
      <c r="X406" s="0"/>
      <c r="Y406" s="0"/>
      <c r="Z406" s="0"/>
      <c r="AA406" s="0"/>
      <c r="AB406" s="0"/>
      <c r="AC406" s="0"/>
      <c r="AD406" s="0"/>
      <c r="AE406" s="0"/>
      <c r="AF406" s="0"/>
      <c r="AG406" s="0"/>
    </row>
    <row r="407" customFormat="false" ht="12.75" hidden="false" customHeight="false" outlineLevel="0" collapsed="false">
      <c r="A407" s="11" t="s">
        <v>4</v>
      </c>
      <c r="B407" s="12" t="s">
        <v>5</v>
      </c>
      <c r="C407" s="12" t="s">
        <v>6</v>
      </c>
      <c r="D407" s="13" t="n">
        <v>1999</v>
      </c>
      <c r="E407" s="14" t="n">
        <v>2000</v>
      </c>
      <c r="F407" s="14" t="n">
        <v>2001</v>
      </c>
      <c r="G407" s="14" t="n">
        <v>2002</v>
      </c>
      <c r="H407" s="14" t="n">
        <v>2003</v>
      </c>
      <c r="I407" s="14" t="n">
        <v>2004</v>
      </c>
      <c r="J407" s="14" t="n">
        <v>2005</v>
      </c>
      <c r="K407" s="14" t="n">
        <v>2006</v>
      </c>
      <c r="L407" s="14" t="n">
        <v>2007</v>
      </c>
      <c r="M407" s="14" t="n">
        <v>2008</v>
      </c>
      <c r="N407" s="14" t="n">
        <v>2009</v>
      </c>
      <c r="O407" s="15" t="n">
        <v>2010</v>
      </c>
      <c r="P407" s="16" t="n">
        <v>2011</v>
      </c>
      <c r="Q407" s="16" t="n">
        <v>2012</v>
      </c>
      <c r="R407" s="16" t="n">
        <v>2013</v>
      </c>
      <c r="S407" s="16" t="n">
        <v>2014</v>
      </c>
      <c r="T407" s="16" t="n">
        <v>2015</v>
      </c>
      <c r="U407" s="16" t="n">
        <v>2016</v>
      </c>
      <c r="V407" s="16" t="n">
        <v>2017</v>
      </c>
      <c r="W407" s="16" t="n">
        <v>2018</v>
      </c>
      <c r="X407" s="16" t="n">
        <v>2019</v>
      </c>
      <c r="Y407" s="0"/>
      <c r="Z407" s="0"/>
      <c r="AA407" s="0"/>
      <c r="AB407" s="0"/>
      <c r="AC407" s="0"/>
      <c r="AD407" s="0"/>
      <c r="AE407" s="0"/>
      <c r="AF407" s="0"/>
      <c r="AG407" s="0"/>
    </row>
    <row r="408" customFormat="false" ht="12.75" hidden="false" customHeight="false" outlineLevel="0" collapsed="false">
      <c r="A408" s="11" t="s">
        <v>7</v>
      </c>
      <c r="B408" s="17" t="n">
        <f aca="false">NPV(0.1,D408:Y408)</f>
        <v>394042.518042711</v>
      </c>
      <c r="C408" s="17" t="n">
        <f aca="false">B408-B398</f>
        <v>0</v>
      </c>
      <c r="D408" s="18" t="n">
        <v>27166.1784825</v>
      </c>
      <c r="E408" s="19" t="n">
        <v>40164.3465196041</v>
      </c>
      <c r="F408" s="19" t="n">
        <v>40221.1228647172</v>
      </c>
      <c r="G408" s="19" t="n">
        <v>40279.6025001837</v>
      </c>
      <c r="H408" s="19" t="n">
        <v>43743.7343424285</v>
      </c>
      <c r="I408" s="19" t="n">
        <v>48837.3131358316</v>
      </c>
      <c r="J408" s="19" t="n">
        <v>49268.0990199801</v>
      </c>
      <c r="K408" s="19" t="n">
        <v>49695.8265157466</v>
      </c>
      <c r="L408" s="19" t="n">
        <v>50685.09996484</v>
      </c>
      <c r="M408" s="19" t="n">
        <v>51121.9207985295</v>
      </c>
      <c r="N408" s="19" t="n">
        <v>52153.9770761064</v>
      </c>
      <c r="O408" s="20" t="n">
        <v>52599.4124562643</v>
      </c>
      <c r="P408" s="21" t="n">
        <v>53675.7934835732</v>
      </c>
      <c r="Q408" s="21" t="n">
        <v>54129.2725764832</v>
      </c>
      <c r="R408" s="21" t="n">
        <v>54576.7002412239</v>
      </c>
      <c r="S408" s="21" t="n">
        <v>55017.3052609216</v>
      </c>
      <c r="T408" s="21" t="n">
        <v>55450.2755919754</v>
      </c>
      <c r="U408" s="21" t="n">
        <v>55874.756608549</v>
      </c>
      <c r="V408" s="21" t="n">
        <v>56289.8492784756</v>
      </c>
      <c r="W408" s="21" t="n">
        <v>56694.6082680414</v>
      </c>
      <c r="X408" s="21" t="n">
        <v>40635.956616222</v>
      </c>
      <c r="Y408" s="0"/>
      <c r="Z408" s="0"/>
      <c r="AA408" s="0"/>
      <c r="AB408" s="0"/>
      <c r="AC408" s="0"/>
      <c r="AD408" s="0"/>
      <c r="AE408" s="0"/>
      <c r="AF408" s="0"/>
      <c r="AG408" s="0"/>
    </row>
    <row r="409" customFormat="false" ht="12.75" hidden="false" customHeight="false" outlineLevel="0" collapsed="false">
      <c r="A409" s="22" t="s">
        <v>8</v>
      </c>
      <c r="B409" s="17" t="n">
        <f aca="false">NPV(0.1,D409:Y409)</f>
        <v>190154.826299035</v>
      </c>
      <c r="C409" s="17" t="n">
        <f aca="false">B409-B399</f>
        <v>41.1014040998998</v>
      </c>
      <c r="D409" s="18" t="n">
        <v>19471.8232159207</v>
      </c>
      <c r="E409" s="19" t="n">
        <v>21681.120465088</v>
      </c>
      <c r="F409" s="19" t="n">
        <v>21763.1529223035</v>
      </c>
      <c r="G409" s="19" t="n">
        <v>21848.169929079</v>
      </c>
      <c r="H409" s="19" t="n">
        <v>21969.6950347868</v>
      </c>
      <c r="I409" s="19" t="n">
        <v>22125.2381330181</v>
      </c>
      <c r="J409" s="19" t="n">
        <v>22237.6174234374</v>
      </c>
      <c r="K409" s="19" t="n">
        <v>22348.7269401795</v>
      </c>
      <c r="L409" s="19" t="n">
        <v>22464.1435772175</v>
      </c>
      <c r="M409" s="19" t="n">
        <v>22583.9685078827</v>
      </c>
      <c r="N409" s="19" t="n">
        <v>22702.9286209645</v>
      </c>
      <c r="O409" s="20" t="n">
        <v>23608.9759767369</v>
      </c>
      <c r="P409" s="21" t="n">
        <v>23677.6922546613</v>
      </c>
      <c r="Q409" s="21" t="n">
        <v>23735.0716386554</v>
      </c>
      <c r="R409" s="21" t="n">
        <v>23797.5912690966</v>
      </c>
      <c r="S409" s="21" t="n">
        <v>23869.6469447347</v>
      </c>
      <c r="T409" s="21" t="n">
        <v>23918.9194458328</v>
      </c>
      <c r="U409" s="21" t="n">
        <v>23957.5781664666</v>
      </c>
      <c r="V409" s="21" t="n">
        <v>24002.0067331714</v>
      </c>
      <c r="W409" s="21" t="n">
        <v>24150.179446676</v>
      </c>
      <c r="X409" s="21" t="n">
        <v>7575.28661792839</v>
      </c>
      <c r="Y409" s="0"/>
      <c r="Z409" s="0"/>
      <c r="AA409" s="0"/>
      <c r="AB409" s="0"/>
      <c r="AC409" s="0"/>
      <c r="AD409" s="0"/>
      <c r="AE409" s="0"/>
      <c r="AF409" s="0"/>
      <c r="AG409" s="0"/>
    </row>
    <row r="410" customFormat="false" ht="12.75" hidden="false" customHeight="false" outlineLevel="0" collapsed="false">
      <c r="A410" s="22" t="s">
        <v>9</v>
      </c>
      <c r="B410" s="17" t="n">
        <f aca="false">NPV(0.1,D410:Y410)</f>
        <v>79577.1566992506</v>
      </c>
      <c r="C410" s="17" t="n">
        <f aca="false">B410-B400</f>
        <v>-424.49464043729</v>
      </c>
      <c r="D410" s="18" t="n">
        <v>1617.56469504873</v>
      </c>
      <c r="E410" s="19" t="n">
        <v>3965.32750623643</v>
      </c>
      <c r="F410" s="19" t="n">
        <v>4155.10045776394</v>
      </c>
      <c r="G410" s="19" t="n">
        <v>4394.12894477037</v>
      </c>
      <c r="H410" s="19" t="n">
        <v>6636.96043256169</v>
      </c>
      <c r="I410" s="19" t="n">
        <v>9943.62761515472</v>
      </c>
      <c r="J410" s="19" t="n">
        <v>10509.2612663075</v>
      </c>
      <c r="K410" s="19" t="n">
        <v>10957.605161608</v>
      </c>
      <c r="L410" s="19" t="n">
        <v>11780.6326666712</v>
      </c>
      <c r="M410" s="19" t="n">
        <v>12294.9017681803</v>
      </c>
      <c r="N410" s="19" t="n">
        <v>13213.4139546259</v>
      </c>
      <c r="O410" s="20" t="n">
        <v>13318.9110225658</v>
      </c>
      <c r="P410" s="21" t="n">
        <v>14364.778961451</v>
      </c>
      <c r="Q410" s="21" t="n">
        <v>15081.4649891471</v>
      </c>
      <c r="R410" s="21" t="n">
        <v>15836.5036673022</v>
      </c>
      <c r="S410" s="21" t="n">
        <v>16653.8043199984</v>
      </c>
      <c r="T410" s="21" t="n">
        <v>16926.9255906211</v>
      </c>
      <c r="U410" s="21" t="n">
        <v>17168.1489242107</v>
      </c>
      <c r="V410" s="21" t="n">
        <v>17399.8950714969</v>
      </c>
      <c r="W410" s="21" t="n">
        <v>17560.3176222831</v>
      </c>
      <c r="X410" s="21" t="n">
        <v>17883.0812856206</v>
      </c>
      <c r="Y410" s="0"/>
      <c r="Z410" s="0"/>
      <c r="AA410" s="0"/>
      <c r="AB410" s="0"/>
      <c r="AC410" s="0"/>
      <c r="AD410" s="0"/>
      <c r="AE410" s="0"/>
      <c r="AF410" s="0"/>
      <c r="AG410" s="0"/>
    </row>
    <row r="411" customFormat="false" ht="12.75" hidden="false" customHeight="false" outlineLevel="0" collapsed="false">
      <c r="A411" s="22" t="s">
        <v>10</v>
      </c>
      <c r="B411" s="17" t="n">
        <f aca="false">NPV(0.1,D411:Y411)</f>
        <v>88863.2719633456</v>
      </c>
      <c r="C411" s="17" t="n">
        <f aca="false">B411-B401</f>
        <v>-2001.57289731549</v>
      </c>
      <c r="D411" s="23" t="n">
        <v>2660.964529692</v>
      </c>
      <c r="E411" s="24" t="n">
        <v>3931.37044350916</v>
      </c>
      <c r="F411" s="24" t="n">
        <v>6372.48723606811</v>
      </c>
      <c r="G411" s="24" t="n">
        <v>6363.30972849042</v>
      </c>
      <c r="H411" s="24" t="n">
        <v>13325.7050402472</v>
      </c>
      <c r="I411" s="24" t="n">
        <v>13206.1547096079</v>
      </c>
      <c r="J411" s="24" t="n">
        <v>11708.1339596807</v>
      </c>
      <c r="K411" s="24" t="n">
        <v>11620.749538835</v>
      </c>
      <c r="L411" s="24" t="n">
        <v>11640.6510985187</v>
      </c>
      <c r="M411" s="24" t="n">
        <v>11521.7809126287</v>
      </c>
      <c r="N411" s="24" t="n">
        <v>11501.123176255</v>
      </c>
      <c r="O411" s="25" t="n">
        <v>11943.5457020573</v>
      </c>
      <c r="P411" s="21" t="n">
        <v>11063.0820952499</v>
      </c>
      <c r="Q411" s="21" t="n">
        <v>10850.9381729494</v>
      </c>
      <c r="R411" s="21" t="n">
        <v>10613.4731427634</v>
      </c>
      <c r="S411" s="21" t="n">
        <v>21128.1163094302</v>
      </c>
      <c r="T411" s="21" t="n">
        <v>19617.1178972968</v>
      </c>
      <c r="U411" s="21" t="n">
        <v>19808.1489273614</v>
      </c>
      <c r="V411" s="21" t="n">
        <v>20039.8950746476</v>
      </c>
      <c r="W411" s="21" t="n">
        <v>20298.3639465833</v>
      </c>
      <c r="X411" s="21" t="n">
        <v>20343.3296999972</v>
      </c>
      <c r="Y411" s="0"/>
      <c r="Z411" s="0"/>
      <c r="AA411" s="0"/>
      <c r="AB411" s="0"/>
      <c r="AC411" s="0"/>
      <c r="AD411" s="0"/>
      <c r="AE411" s="0"/>
      <c r="AF411" s="0"/>
      <c r="AG411" s="0"/>
    </row>
    <row r="412" customFormat="false" ht="12.75" hidden="false" customHeight="false" outlineLevel="0" collapsed="false">
      <c r="A412" s="5"/>
      <c r="B412" s="5"/>
      <c r="C412" s="5"/>
      <c r="D412" s="0"/>
      <c r="E412" s="0"/>
      <c r="F412" s="0"/>
      <c r="G412" s="0"/>
      <c r="H412" s="0"/>
      <c r="I412" s="0"/>
      <c r="J412" s="0"/>
      <c r="K412" s="0"/>
      <c r="L412" s="0"/>
      <c r="M412" s="0"/>
      <c r="N412" s="0"/>
      <c r="O412" s="0"/>
      <c r="P412" s="0"/>
      <c r="Q412" s="0"/>
      <c r="R412" s="0"/>
      <c r="S412" s="0"/>
      <c r="T412" s="0"/>
      <c r="U412" s="0"/>
      <c r="V412" s="0"/>
      <c r="W412" s="0"/>
      <c r="X412" s="0"/>
      <c r="Y412" s="0"/>
      <c r="Z412" s="0"/>
      <c r="AA412" s="0"/>
      <c r="AB412" s="0"/>
      <c r="AC412" s="0"/>
      <c r="AD412" s="0"/>
      <c r="AE412" s="0"/>
      <c r="AF412" s="0"/>
      <c r="AG412" s="0"/>
    </row>
    <row r="413" customFormat="false" ht="12.75" hidden="false" customHeight="false" outlineLevel="0" collapsed="false">
      <c r="A413" s="26" t="s">
        <v>53</v>
      </c>
      <c r="B413" s="5"/>
      <c r="C413" s="5"/>
      <c r="D413" s="0"/>
      <c r="E413" s="0"/>
      <c r="F413" s="0"/>
      <c r="G413" s="0"/>
      <c r="H413" s="0"/>
      <c r="I413" s="0"/>
      <c r="J413" s="0"/>
      <c r="K413" s="0"/>
      <c r="L413" s="0"/>
      <c r="M413" s="0"/>
      <c r="N413" s="0"/>
      <c r="O413" s="0"/>
      <c r="P413" s="0"/>
      <c r="Q413" s="0"/>
      <c r="R413" s="0"/>
      <c r="S413" s="0"/>
      <c r="T413" s="0"/>
      <c r="U413" s="0"/>
      <c r="V413" s="0"/>
      <c r="W413" s="0"/>
      <c r="X413" s="0"/>
      <c r="Y413" s="0"/>
      <c r="Z413" s="0"/>
      <c r="AA413" s="0"/>
      <c r="AB413" s="0"/>
      <c r="AC413" s="0"/>
      <c r="AD413" s="0"/>
      <c r="AE413" s="0"/>
      <c r="AF413" s="0"/>
      <c r="AG413" s="0"/>
    </row>
    <row r="414" customFormat="false" ht="12.75" hidden="false" customHeight="false" outlineLevel="0" collapsed="false">
      <c r="A414" s="28" t="n">
        <v>36286</v>
      </c>
      <c r="B414" s="5"/>
      <c r="C414" s="5"/>
      <c r="D414" s="0"/>
      <c r="E414" s="0"/>
      <c r="F414" s="0"/>
      <c r="G414" s="0"/>
      <c r="H414" s="0"/>
      <c r="I414" s="0"/>
      <c r="J414" s="0"/>
      <c r="K414" s="0"/>
      <c r="L414" s="0"/>
      <c r="M414" s="0"/>
      <c r="N414" s="0"/>
      <c r="O414" s="0"/>
      <c r="P414" s="0"/>
      <c r="Q414" s="0"/>
      <c r="R414" s="0"/>
      <c r="S414" s="0"/>
      <c r="T414" s="0"/>
      <c r="U414" s="0"/>
      <c r="V414" s="0"/>
      <c r="W414" s="0"/>
      <c r="X414" s="0"/>
      <c r="Y414" s="0"/>
      <c r="Z414" s="0"/>
      <c r="AA414" s="0"/>
      <c r="AB414" s="0"/>
      <c r="AC414" s="0"/>
      <c r="AD414" s="0"/>
      <c r="AE414" s="0"/>
      <c r="AF414" s="0"/>
      <c r="AG414" s="0"/>
    </row>
    <row r="415" customFormat="false" ht="12.75" hidden="false" customHeight="false" outlineLevel="0" collapsed="false">
      <c r="A415" s="7" t="s">
        <v>2</v>
      </c>
      <c r="B415" s="8" t="n">
        <v>20336.0514719047</v>
      </c>
      <c r="C415" s="5"/>
      <c r="D415" s="0"/>
      <c r="E415" s="0"/>
      <c r="F415" s="0"/>
      <c r="G415" s="0"/>
      <c r="H415" s="0"/>
      <c r="I415" s="0"/>
      <c r="J415" s="0"/>
      <c r="K415" s="0"/>
      <c r="L415" s="0"/>
      <c r="M415" s="0"/>
      <c r="N415" s="0"/>
      <c r="O415" s="0"/>
      <c r="P415" s="0"/>
      <c r="Q415" s="0"/>
      <c r="R415" s="0"/>
      <c r="S415" s="0"/>
      <c r="T415" s="0"/>
      <c r="U415" s="0"/>
      <c r="V415" s="0"/>
      <c r="W415" s="0"/>
      <c r="X415" s="0"/>
      <c r="Y415" s="0"/>
      <c r="Z415" s="0"/>
      <c r="AA415" s="0"/>
      <c r="AB415" s="0"/>
      <c r="AC415" s="0"/>
      <c r="AD415" s="0"/>
      <c r="AE415" s="0"/>
      <c r="AF415" s="0"/>
      <c r="AG415" s="0"/>
    </row>
    <row r="416" customFormat="false" ht="12.75" hidden="false" customHeight="false" outlineLevel="0" collapsed="false">
      <c r="A416" s="9" t="s">
        <v>3</v>
      </c>
      <c r="B416" s="10" t="n">
        <v>47543.5728210971</v>
      </c>
      <c r="C416" s="5"/>
      <c r="D416" s="0"/>
      <c r="E416" s="0"/>
      <c r="F416" s="0"/>
      <c r="G416" s="0"/>
      <c r="H416" s="0"/>
      <c r="I416" s="0"/>
      <c r="J416" s="0"/>
      <c r="K416" s="0"/>
      <c r="L416" s="0"/>
      <c r="M416" s="0"/>
      <c r="N416" s="0"/>
      <c r="O416" s="0"/>
      <c r="P416" s="0"/>
      <c r="Q416" s="0"/>
      <c r="R416" s="0"/>
      <c r="S416" s="0"/>
      <c r="T416" s="0"/>
      <c r="U416" s="0"/>
      <c r="V416" s="0"/>
      <c r="W416" s="0"/>
      <c r="X416" s="0"/>
      <c r="Y416" s="0"/>
      <c r="Z416" s="0"/>
      <c r="AA416" s="0"/>
      <c r="AB416" s="0"/>
      <c r="AC416" s="0"/>
      <c r="AD416" s="0"/>
      <c r="AE416" s="0"/>
      <c r="AF416" s="0"/>
      <c r="AG416" s="0"/>
    </row>
    <row r="417" customFormat="false" ht="12.75" hidden="false" customHeight="false" outlineLevel="0" collapsed="false">
      <c r="A417" s="11" t="s">
        <v>4</v>
      </c>
      <c r="B417" s="12" t="s">
        <v>5</v>
      </c>
      <c r="C417" s="12" t="s">
        <v>6</v>
      </c>
      <c r="D417" s="13" t="n">
        <v>1999</v>
      </c>
      <c r="E417" s="14" t="n">
        <v>2000</v>
      </c>
      <c r="F417" s="14" t="n">
        <v>2001</v>
      </c>
      <c r="G417" s="14" t="n">
        <v>2002</v>
      </c>
      <c r="H417" s="14" t="n">
        <v>2003</v>
      </c>
      <c r="I417" s="14" t="n">
        <v>2004</v>
      </c>
      <c r="J417" s="14" t="n">
        <v>2005</v>
      </c>
      <c r="K417" s="14" t="n">
        <v>2006</v>
      </c>
      <c r="L417" s="14" t="n">
        <v>2007</v>
      </c>
      <c r="M417" s="14" t="n">
        <v>2008</v>
      </c>
      <c r="N417" s="14" t="n">
        <v>2009</v>
      </c>
      <c r="O417" s="15" t="n">
        <v>2010</v>
      </c>
      <c r="P417" s="16" t="n">
        <v>2011</v>
      </c>
      <c r="Q417" s="16" t="n">
        <v>2012</v>
      </c>
      <c r="R417" s="16" t="n">
        <v>2013</v>
      </c>
      <c r="S417" s="16" t="n">
        <v>2014</v>
      </c>
      <c r="T417" s="16" t="n">
        <v>2015</v>
      </c>
      <c r="U417" s="16" t="n">
        <v>2016</v>
      </c>
      <c r="V417" s="16" t="n">
        <v>2017</v>
      </c>
      <c r="W417" s="16" t="n">
        <v>2018</v>
      </c>
      <c r="X417" s="16" t="n">
        <v>2019</v>
      </c>
      <c r="Y417" s="0"/>
      <c r="Z417" s="0"/>
      <c r="AA417" s="0"/>
      <c r="AB417" s="0"/>
      <c r="AC417" s="0"/>
      <c r="AD417" s="0"/>
      <c r="AE417" s="0"/>
      <c r="AF417" s="0"/>
      <c r="AG417" s="0"/>
    </row>
    <row r="418" customFormat="false" ht="12.75" hidden="false" customHeight="false" outlineLevel="0" collapsed="false">
      <c r="A418" s="11" t="s">
        <v>7</v>
      </c>
      <c r="B418" s="17" t="n">
        <f aca="false">NPV(0.1,D418:Y418)</f>
        <v>387761.060398355</v>
      </c>
      <c r="C418" s="17" t="n">
        <f aca="false">B418-B408</f>
        <v>-6281.45764435624</v>
      </c>
      <c r="D418" s="18" t="n">
        <v>27166.1784825</v>
      </c>
      <c r="E418" s="19" t="n">
        <v>40164.3465196041</v>
      </c>
      <c r="F418" s="19" t="n">
        <v>40221.1228647172</v>
      </c>
      <c r="G418" s="19" t="n">
        <v>40279.6025001837</v>
      </c>
      <c r="H418" s="19" t="n">
        <v>43321.8936404405</v>
      </c>
      <c r="I418" s="19" t="n">
        <v>47794.5229205172</v>
      </c>
      <c r="J418" s="19" t="n">
        <v>48194.0250982063</v>
      </c>
      <c r="K418" s="19" t="n">
        <v>48589.5303763196</v>
      </c>
      <c r="L418" s="19" t="n">
        <v>49545.6149412302</v>
      </c>
      <c r="M418" s="19" t="n">
        <v>49948.2512242114</v>
      </c>
      <c r="N418" s="19" t="n">
        <v>50945.0974145588</v>
      </c>
      <c r="O418" s="20" t="n">
        <v>51354.2664048702</v>
      </c>
      <c r="P418" s="21" t="n">
        <v>52393.2930506373</v>
      </c>
      <c r="Q418" s="21" t="n">
        <v>52808.2971305592</v>
      </c>
      <c r="R418" s="21" t="n">
        <v>53216.0955319222</v>
      </c>
      <c r="S418" s="21" t="n">
        <v>53615.8824103409</v>
      </c>
      <c r="T418" s="21" t="n">
        <v>54006.8100558772</v>
      </c>
      <c r="U418" s="21" t="n">
        <v>54387.9871063679</v>
      </c>
      <c r="V418" s="21" t="n">
        <v>54758.476691229</v>
      </c>
      <c r="W418" s="21" t="n">
        <v>55117.2945031775</v>
      </c>
      <c r="X418" s="21" t="n">
        <v>39011.3234384121</v>
      </c>
      <c r="Y418" s="0"/>
      <c r="Z418" s="0"/>
      <c r="AA418" s="0"/>
      <c r="AB418" s="0"/>
      <c r="AC418" s="0"/>
      <c r="AD418" s="0"/>
      <c r="AE418" s="0"/>
      <c r="AF418" s="0"/>
      <c r="AG418" s="0"/>
    </row>
    <row r="419" customFormat="false" ht="12.75" hidden="false" customHeight="false" outlineLevel="0" collapsed="false">
      <c r="A419" s="22" t="s">
        <v>8</v>
      </c>
      <c r="B419" s="17" t="n">
        <f aca="false">NPV(0.1,D419:Y419)</f>
        <v>190242.141862926</v>
      </c>
      <c r="C419" s="17" t="n">
        <f aca="false">B419-B409</f>
        <v>87.3155638916651</v>
      </c>
      <c r="D419" s="18" t="n">
        <v>19471.7482277503</v>
      </c>
      <c r="E419" s="19" t="n">
        <v>21697.3784480303</v>
      </c>
      <c r="F419" s="19" t="n">
        <v>21779.7228450905</v>
      </c>
      <c r="G419" s="19" t="n">
        <v>21865.0523283678</v>
      </c>
      <c r="H419" s="19" t="n">
        <v>21982.7083469753</v>
      </c>
      <c r="I419" s="19" t="n">
        <v>22132.4944102785</v>
      </c>
      <c r="J419" s="19" t="n">
        <v>22245.0913890157</v>
      </c>
      <c r="K419" s="19" t="n">
        <v>22356.4251247251</v>
      </c>
      <c r="L419" s="19" t="n">
        <v>22472.0727072995</v>
      </c>
      <c r="M419" s="19" t="n">
        <v>22592.1355118671</v>
      </c>
      <c r="N419" s="19" t="n">
        <v>22711.3406350685</v>
      </c>
      <c r="O419" s="20" t="n">
        <v>23617.640351264</v>
      </c>
      <c r="P419" s="21" t="n">
        <v>23686.6165604242</v>
      </c>
      <c r="Q419" s="21" t="n">
        <v>23744.2636735911</v>
      </c>
      <c r="R419" s="21" t="n">
        <v>23807.0590650805</v>
      </c>
      <c r="S419" s="21" t="n">
        <v>23879.3987745981</v>
      </c>
      <c r="T419" s="21" t="n">
        <v>23928.963830592</v>
      </c>
      <c r="U419" s="21" t="n">
        <v>23967.9238827686</v>
      </c>
      <c r="V419" s="21" t="n">
        <v>24012.6628209625</v>
      </c>
      <c r="W419" s="21" t="n">
        <v>24161.1552171008</v>
      </c>
      <c r="X419" s="21" t="n">
        <v>7586.59166146598</v>
      </c>
      <c r="Y419" s="0"/>
      <c r="Z419" s="0"/>
      <c r="AA419" s="0"/>
      <c r="AB419" s="0"/>
      <c r="AC419" s="0"/>
      <c r="AD419" s="0"/>
      <c r="AE419" s="0"/>
      <c r="AF419" s="0"/>
      <c r="AG419" s="0"/>
    </row>
    <row r="420" customFormat="false" ht="12.75" hidden="false" customHeight="false" outlineLevel="0" collapsed="false">
      <c r="A420" s="22" t="s">
        <v>9</v>
      </c>
      <c r="B420" s="17" t="n">
        <f aca="false">NPV(0.1,D420:Y420)</f>
        <v>76453.5301303717</v>
      </c>
      <c r="C420" s="17" t="n">
        <f aca="false">B420-B410</f>
        <v>-3123.62656887881</v>
      </c>
      <c r="D420" s="18" t="n">
        <v>1665.98842863779</v>
      </c>
      <c r="E420" s="19" t="n">
        <v>4075.0187477305</v>
      </c>
      <c r="F420" s="19" t="n">
        <v>4273.36681410896</v>
      </c>
      <c r="G420" s="19" t="n">
        <v>4521.63981453299</v>
      </c>
      <c r="H420" s="19" t="n">
        <v>6518.09064697947</v>
      </c>
      <c r="I420" s="19" t="n">
        <v>9443.77596970625</v>
      </c>
      <c r="J420" s="19" t="n">
        <v>9981.4980083064</v>
      </c>
      <c r="K420" s="19" t="n">
        <v>10400.0596576225</v>
      </c>
      <c r="L420" s="19" t="n">
        <v>11191.2955014621</v>
      </c>
      <c r="M420" s="19" t="n">
        <v>11671.6139682228</v>
      </c>
      <c r="N420" s="19" t="n">
        <v>12553.8553592941</v>
      </c>
      <c r="O420" s="20" t="n">
        <v>12620.5877350884</v>
      </c>
      <c r="P420" s="21" t="n">
        <v>13625.0098063207</v>
      </c>
      <c r="Q420" s="21" t="n">
        <v>14297.3668968121</v>
      </c>
      <c r="R420" s="21" t="n">
        <v>15004.9759006423</v>
      </c>
      <c r="S420" s="21" t="n">
        <v>15771.5114502595</v>
      </c>
      <c r="T420" s="21" t="n">
        <v>16018.16393479</v>
      </c>
      <c r="U420" s="21" t="n">
        <v>16232.1244187047</v>
      </c>
      <c r="V420" s="21" t="n">
        <v>16435.7898308257</v>
      </c>
      <c r="W420" s="21" t="n">
        <v>16567.2892243918</v>
      </c>
      <c r="X420" s="21" t="n">
        <v>16860.2620357926</v>
      </c>
      <c r="Y420" s="0"/>
      <c r="Z420" s="0"/>
      <c r="AA420" s="0"/>
      <c r="AB420" s="0"/>
      <c r="AC420" s="0"/>
      <c r="AD420" s="0"/>
      <c r="AE420" s="0"/>
      <c r="AF420" s="0"/>
      <c r="AG420" s="0"/>
    </row>
    <row r="421" customFormat="false" ht="12.75" hidden="false" customHeight="false" outlineLevel="0" collapsed="false">
      <c r="A421" s="22" t="s">
        <v>10</v>
      </c>
      <c r="B421" s="17" t="n">
        <f aca="false">NPV(0.1,D421:Y421)</f>
        <v>86324.9710799543</v>
      </c>
      <c r="C421" s="17" t="n">
        <f aca="false">B421-B411</f>
        <v>-2538.30088339129</v>
      </c>
      <c r="D421" s="23" t="n">
        <v>2660.99046310094</v>
      </c>
      <c r="E421" s="24" t="n">
        <v>3925.74789107496</v>
      </c>
      <c r="F421" s="24" t="n">
        <v>6366.75680443762</v>
      </c>
      <c r="G421" s="24" t="n">
        <v>6357.47123206973</v>
      </c>
      <c r="H421" s="24" t="n">
        <v>13059.3569565642</v>
      </c>
      <c r="I421" s="24" t="n">
        <v>12696.0735898512</v>
      </c>
      <c r="J421" s="24" t="n">
        <v>11372.599961569</v>
      </c>
      <c r="K421" s="24" t="n">
        <v>11283.7902101782</v>
      </c>
      <c r="L421" s="24" t="n">
        <v>11302.9149345524</v>
      </c>
      <c r="M421" s="24" t="n">
        <v>11183.9911638577</v>
      </c>
      <c r="N421" s="24" t="n">
        <v>11164.0845151442</v>
      </c>
      <c r="O421" s="25" t="n">
        <v>11608.1514436464</v>
      </c>
      <c r="P421" s="21" t="n">
        <v>10730.3220166226</v>
      </c>
      <c r="Q421" s="21" t="n">
        <v>10521.9069801019</v>
      </c>
      <c r="R421" s="21" t="n">
        <v>10289.3796373204</v>
      </c>
      <c r="S421" s="21" t="n">
        <v>20245.8234396913</v>
      </c>
      <c r="T421" s="21" t="n">
        <v>18708.3562414657</v>
      </c>
      <c r="U421" s="21" t="n">
        <v>18872.1244218554</v>
      </c>
      <c r="V421" s="21" t="n">
        <v>19075.7898339764</v>
      </c>
      <c r="W421" s="21" t="n">
        <v>19305.335548692</v>
      </c>
      <c r="X421" s="21" t="n">
        <v>19320.5104501692</v>
      </c>
      <c r="Y421" s="0"/>
      <c r="Z421" s="0"/>
      <c r="AA421" s="0"/>
      <c r="AB421" s="0"/>
      <c r="AC421" s="0"/>
      <c r="AD421" s="0"/>
      <c r="AE421" s="0"/>
      <c r="AF421" s="0"/>
      <c r="AG421" s="0"/>
    </row>
    <row r="422" customFormat="false" ht="12.75" hidden="false" customHeight="false" outlineLevel="0" collapsed="false">
      <c r="A422" s="5"/>
      <c r="B422" s="5"/>
      <c r="C422" s="5"/>
      <c r="D422" s="0"/>
      <c r="E422" s="0"/>
      <c r="F422" s="0"/>
      <c r="G422" s="0"/>
      <c r="H422" s="0"/>
      <c r="I422" s="0"/>
      <c r="J422" s="0"/>
      <c r="K422" s="0"/>
      <c r="L422" s="0"/>
      <c r="M422" s="0"/>
      <c r="N422" s="0"/>
      <c r="O422" s="0"/>
      <c r="P422" s="0"/>
      <c r="Q422" s="0"/>
      <c r="R422" s="0"/>
      <c r="S422" s="0"/>
      <c r="T422" s="0"/>
      <c r="U422" s="0"/>
      <c r="V422" s="0"/>
      <c r="W422" s="0"/>
      <c r="X422" s="0"/>
      <c r="Y422" s="0"/>
      <c r="Z422" s="0"/>
      <c r="AA422" s="0"/>
      <c r="AB422" s="0"/>
      <c r="AC422" s="0"/>
      <c r="AD422" s="0"/>
      <c r="AE422" s="0"/>
      <c r="AF422" s="0"/>
      <c r="AG422" s="0"/>
    </row>
    <row r="423" customFormat="false" ht="12.75" hidden="false" customHeight="false" outlineLevel="0" collapsed="false">
      <c r="A423" s="26" t="s">
        <v>54</v>
      </c>
      <c r="B423" s="5"/>
      <c r="C423" s="5"/>
      <c r="D423" s="0"/>
      <c r="E423" s="0"/>
      <c r="F423" s="0"/>
      <c r="G423" s="0"/>
      <c r="H423" s="0"/>
      <c r="I423" s="0"/>
      <c r="J423" s="0"/>
      <c r="K423" s="0"/>
      <c r="L423" s="0"/>
      <c r="M423" s="0"/>
      <c r="N423" s="0"/>
      <c r="O423" s="0"/>
      <c r="P423" s="0"/>
      <c r="Q423" s="0"/>
      <c r="R423" s="0"/>
      <c r="S423" s="0"/>
      <c r="T423" s="0"/>
      <c r="U423" s="0"/>
      <c r="V423" s="0"/>
      <c r="W423" s="0"/>
      <c r="X423" s="0"/>
      <c r="Y423" s="0"/>
      <c r="Z423" s="0"/>
      <c r="AA423" s="0"/>
      <c r="AB423" s="0"/>
      <c r="AC423" s="0"/>
      <c r="AD423" s="0"/>
      <c r="AE423" s="0"/>
      <c r="AF423" s="0"/>
      <c r="AG423" s="0"/>
    </row>
    <row r="424" customFormat="false" ht="12.75" hidden="false" customHeight="false" outlineLevel="0" collapsed="false">
      <c r="A424" s="28" t="n">
        <v>36286</v>
      </c>
      <c r="B424" s="5"/>
      <c r="C424" s="5"/>
      <c r="D424" s="0"/>
      <c r="E424" s="0"/>
      <c r="F424" s="0"/>
      <c r="G424" s="0"/>
      <c r="H424" s="0"/>
      <c r="I424" s="0"/>
      <c r="J424" s="0"/>
      <c r="K424" s="0"/>
      <c r="L424" s="0"/>
      <c r="M424" s="0"/>
      <c r="N424" s="0"/>
      <c r="O424" s="0"/>
      <c r="P424" s="0"/>
      <c r="Q424" s="0"/>
      <c r="R424" s="0"/>
      <c r="S424" s="0"/>
      <c r="T424" s="0"/>
      <c r="U424" s="0"/>
      <c r="V424" s="0"/>
      <c r="W424" s="0"/>
      <c r="X424" s="0"/>
      <c r="Y424" s="0"/>
      <c r="Z424" s="0"/>
      <c r="AA424" s="0"/>
      <c r="AB424" s="0"/>
      <c r="AC424" s="0"/>
      <c r="AD424" s="0"/>
      <c r="AE424" s="0"/>
      <c r="AF424" s="0"/>
      <c r="AG424" s="0"/>
    </row>
    <row r="425" customFormat="false" ht="12.75" hidden="false" customHeight="false" outlineLevel="0" collapsed="false">
      <c r="A425" s="7" t="s">
        <v>2</v>
      </c>
      <c r="B425" s="8" t="n">
        <v>26364.8048716752</v>
      </c>
      <c r="C425" s="5"/>
      <c r="D425" s="0"/>
      <c r="E425" s="0"/>
      <c r="F425" s="0"/>
      <c r="G425" s="0"/>
      <c r="H425" s="0"/>
      <c r="I425" s="0"/>
      <c r="J425" s="0"/>
      <c r="K425" s="0"/>
      <c r="L425" s="0"/>
      <c r="M425" s="0"/>
      <c r="N425" s="0"/>
      <c r="O425" s="0"/>
      <c r="P425" s="0"/>
      <c r="Q425" s="0"/>
      <c r="R425" s="0"/>
      <c r="S425" s="0"/>
      <c r="T425" s="0"/>
      <c r="U425" s="0"/>
      <c r="V425" s="0"/>
      <c r="W425" s="0"/>
      <c r="X425" s="0"/>
      <c r="Y425" s="0"/>
      <c r="Z425" s="0"/>
      <c r="AA425" s="0"/>
      <c r="AB425" s="0"/>
      <c r="AC425" s="0"/>
      <c r="AD425" s="0"/>
      <c r="AE425" s="0"/>
      <c r="AF425" s="0"/>
      <c r="AG425" s="0"/>
    </row>
    <row r="426" customFormat="false" ht="12.75" hidden="false" customHeight="false" outlineLevel="0" collapsed="false">
      <c r="A426" s="9" t="s">
        <v>3</v>
      </c>
      <c r="B426" s="10" t="n">
        <v>55716.997277339</v>
      </c>
      <c r="C426" s="5"/>
      <c r="D426" s="0"/>
      <c r="E426" s="0"/>
      <c r="F426" s="0"/>
      <c r="G426" s="0"/>
      <c r="H426" s="0"/>
      <c r="I426" s="0"/>
      <c r="J426" s="0"/>
      <c r="K426" s="0"/>
      <c r="L426" s="0"/>
      <c r="M426" s="0"/>
      <c r="N426" s="0"/>
      <c r="O426" s="0"/>
      <c r="P426" s="0"/>
      <c r="Q426" s="0"/>
      <c r="R426" s="0"/>
      <c r="S426" s="0"/>
      <c r="T426" s="0"/>
      <c r="U426" s="0"/>
      <c r="V426" s="0"/>
      <c r="W426" s="0"/>
      <c r="X426" s="0"/>
      <c r="Y426" s="0"/>
      <c r="Z426" s="0"/>
      <c r="AA426" s="0"/>
      <c r="AB426" s="0"/>
      <c r="AC426" s="0"/>
      <c r="AD426" s="0"/>
      <c r="AE426" s="0"/>
      <c r="AF426" s="0"/>
      <c r="AG426" s="0"/>
    </row>
    <row r="427" customFormat="false" ht="12.75" hidden="false" customHeight="false" outlineLevel="0" collapsed="false">
      <c r="A427" s="11" t="s">
        <v>4</v>
      </c>
      <c r="B427" s="12" t="s">
        <v>5</v>
      </c>
      <c r="C427" s="12" t="s">
        <v>6</v>
      </c>
      <c r="D427" s="13" t="n">
        <v>1999</v>
      </c>
      <c r="E427" s="14" t="n">
        <v>2000</v>
      </c>
      <c r="F427" s="14" t="n">
        <v>2001</v>
      </c>
      <c r="G427" s="14" t="n">
        <v>2002</v>
      </c>
      <c r="H427" s="14" t="n">
        <v>2003</v>
      </c>
      <c r="I427" s="14" t="n">
        <v>2004</v>
      </c>
      <c r="J427" s="14" t="n">
        <v>2005</v>
      </c>
      <c r="K427" s="14" t="n">
        <v>2006</v>
      </c>
      <c r="L427" s="14" t="n">
        <v>2007</v>
      </c>
      <c r="M427" s="14" t="n">
        <v>2008</v>
      </c>
      <c r="N427" s="14" t="n">
        <v>2009</v>
      </c>
      <c r="O427" s="15" t="n">
        <v>2010</v>
      </c>
      <c r="P427" s="16" t="n">
        <v>2011</v>
      </c>
      <c r="Q427" s="16" t="n">
        <v>2012</v>
      </c>
      <c r="R427" s="16" t="n">
        <v>2013</v>
      </c>
      <c r="S427" s="16" t="n">
        <v>2014</v>
      </c>
      <c r="T427" s="16" t="n">
        <v>2015</v>
      </c>
      <c r="U427" s="16" t="n">
        <v>2016</v>
      </c>
      <c r="V427" s="16" t="n">
        <v>2017</v>
      </c>
      <c r="W427" s="16" t="n">
        <v>2018</v>
      </c>
      <c r="X427" s="16" t="n">
        <v>2019</v>
      </c>
      <c r="Y427" s="0"/>
      <c r="Z427" s="0"/>
      <c r="AA427" s="0"/>
      <c r="AB427" s="0"/>
      <c r="AC427" s="0"/>
      <c r="AD427" s="0"/>
      <c r="AE427" s="0"/>
      <c r="AF427" s="0"/>
      <c r="AG427" s="0"/>
    </row>
    <row r="428" customFormat="false" ht="12.75" hidden="false" customHeight="false" outlineLevel="0" collapsed="false">
      <c r="A428" s="11" t="s">
        <v>7</v>
      </c>
      <c r="B428" s="17" t="n">
        <f aca="false">NPV(0.1,D428:Y428)</f>
        <v>395568.763482325</v>
      </c>
      <c r="C428" s="17" t="n">
        <f aca="false">B428-B418</f>
        <v>7807.70308396965</v>
      </c>
      <c r="D428" s="18" t="n">
        <v>27166.1784825</v>
      </c>
      <c r="E428" s="19" t="n">
        <v>40240.583501052</v>
      </c>
      <c r="F428" s="19" t="n">
        <v>40941.1228647172</v>
      </c>
      <c r="G428" s="19" t="n">
        <v>40999.6025001837</v>
      </c>
      <c r="H428" s="19" t="n">
        <v>45385.1792816764</v>
      </c>
      <c r="I428" s="19" t="n">
        <v>48812.5719085379</v>
      </c>
      <c r="J428" s="19" t="n">
        <v>49224.5364100458</v>
      </c>
      <c r="K428" s="19" t="n">
        <v>49632.3355073179</v>
      </c>
      <c r="L428" s="19" t="n">
        <v>50619.7042261585</v>
      </c>
      <c r="M428" s="19" t="n">
        <v>51034.8076169111</v>
      </c>
      <c r="N428" s="19" t="n">
        <v>52064.2504990395</v>
      </c>
      <c r="O428" s="20" t="n">
        <v>52486.0353968487</v>
      </c>
      <c r="P428" s="21" t="n">
        <v>53559.0151123752</v>
      </c>
      <c r="Q428" s="21" t="n">
        <v>53986.7557851938</v>
      </c>
      <c r="R428" s="21" t="n">
        <v>54407.0058251719</v>
      </c>
      <c r="S428" s="21" t="n">
        <v>54818.9308277332</v>
      </c>
      <c r="T428" s="21" t="n">
        <v>55221.653065597</v>
      </c>
      <c r="U428" s="21" t="n">
        <v>55614.249640379</v>
      </c>
      <c r="V428" s="21" t="n">
        <v>55995.7505622803</v>
      </c>
      <c r="W428" s="21" t="n">
        <v>56365.1367552106</v>
      </c>
      <c r="X428" s="21" t="n">
        <v>40269.2546278021</v>
      </c>
      <c r="Y428" s="0"/>
      <c r="Z428" s="0"/>
      <c r="AA428" s="0"/>
      <c r="AB428" s="0"/>
      <c r="AC428" s="0"/>
      <c r="AD428" s="0"/>
      <c r="AE428" s="0"/>
      <c r="AF428" s="0"/>
      <c r="AG428" s="0"/>
    </row>
    <row r="429" customFormat="false" ht="12.75" hidden="false" customHeight="false" outlineLevel="0" collapsed="false">
      <c r="A429" s="22" t="s">
        <v>8</v>
      </c>
      <c r="B429" s="17" t="n">
        <f aca="false">NPV(0.1,D429:Y429)</f>
        <v>190013.378934592</v>
      </c>
      <c r="C429" s="17" t="n">
        <f aca="false">B429-B419</f>
        <v>-228.76292833453</v>
      </c>
      <c r="D429" s="18" t="n">
        <v>19471.8618644654</v>
      </c>
      <c r="E429" s="19" t="n">
        <v>21413.6618259828</v>
      </c>
      <c r="F429" s="19" t="n">
        <v>21779.357063499</v>
      </c>
      <c r="G429" s="19" t="n">
        <v>21864.2604749629</v>
      </c>
      <c r="H429" s="19" t="n">
        <v>21993.057446165</v>
      </c>
      <c r="I429" s="19" t="n">
        <v>22132.4944102785</v>
      </c>
      <c r="J429" s="19" t="n">
        <v>22245.0913890157</v>
      </c>
      <c r="K429" s="19" t="n">
        <v>22356.4251247251</v>
      </c>
      <c r="L429" s="19" t="n">
        <v>22472.0727072995</v>
      </c>
      <c r="M429" s="19" t="n">
        <v>22592.1355118671</v>
      </c>
      <c r="N429" s="19" t="n">
        <v>22711.3406350685</v>
      </c>
      <c r="O429" s="20" t="n">
        <v>23617.640351264</v>
      </c>
      <c r="P429" s="21" t="n">
        <v>23686.6165604242</v>
      </c>
      <c r="Q429" s="21" t="n">
        <v>23744.2636735911</v>
      </c>
      <c r="R429" s="21" t="n">
        <v>23807.0590650805</v>
      </c>
      <c r="S429" s="21" t="n">
        <v>23879.3987745981</v>
      </c>
      <c r="T429" s="21" t="n">
        <v>23928.963830592</v>
      </c>
      <c r="U429" s="21" t="n">
        <v>23967.9238827686</v>
      </c>
      <c r="V429" s="21" t="n">
        <v>24012.6628209625</v>
      </c>
      <c r="W429" s="21" t="n">
        <v>24161.1552171008</v>
      </c>
      <c r="X429" s="21" t="n">
        <v>7586.59166146598</v>
      </c>
      <c r="Y429" s="0"/>
      <c r="Z429" s="0"/>
      <c r="AA429" s="0"/>
      <c r="AB429" s="0"/>
      <c r="AC429" s="0"/>
      <c r="AD429" s="0"/>
      <c r="AE429" s="0"/>
      <c r="AF429" s="0"/>
      <c r="AG429" s="0"/>
    </row>
    <row r="430" customFormat="false" ht="12.75" hidden="false" customHeight="false" outlineLevel="0" collapsed="false">
      <c r="A430" s="22" t="s">
        <v>9</v>
      </c>
      <c r="B430" s="17" t="n">
        <f aca="false">NPV(0.1,D430:Y430)</f>
        <v>80506.8053031033</v>
      </c>
      <c r="C430" s="17" t="n">
        <f aca="false">B430-B420</f>
        <v>4053.27517273158</v>
      </c>
      <c r="D430" s="18" t="n">
        <v>1592.60733414986</v>
      </c>
      <c r="E430" s="19" t="n">
        <v>4118.43922362429</v>
      </c>
      <c r="F430" s="19" t="n">
        <v>4539.53149310892</v>
      </c>
      <c r="G430" s="19" t="n">
        <v>4796.77638420189</v>
      </c>
      <c r="H430" s="19" t="n">
        <v>7630.14404428147</v>
      </c>
      <c r="I430" s="19" t="n">
        <v>9935.64580845301</v>
      </c>
      <c r="J430" s="19" t="n">
        <v>10489.705495418</v>
      </c>
      <c r="K430" s="19" t="n">
        <v>10925.4293739322</v>
      </c>
      <c r="L430" s="19" t="n">
        <v>11746.7015584403</v>
      </c>
      <c r="M430" s="19" t="n">
        <v>12246.7479227576</v>
      </c>
      <c r="N430" s="19" t="n">
        <v>13162.5036130289</v>
      </c>
      <c r="O430" s="20" t="n">
        <v>13251.9527765842</v>
      </c>
      <c r="P430" s="21" t="n">
        <v>14293.8676466951</v>
      </c>
      <c r="Q430" s="21" t="n">
        <v>14992.4246858235</v>
      </c>
      <c r="R430" s="21" t="n">
        <v>15727.7660979624</v>
      </c>
      <c r="S430" s="21" t="n">
        <v>16523.6798779711</v>
      </c>
      <c r="T430" s="21" t="n">
        <v>16777.7065627733</v>
      </c>
      <c r="U430" s="21" t="n">
        <v>16998.8067473909</v>
      </c>
      <c r="V430" s="21" t="n">
        <v>17209.356653892</v>
      </c>
      <c r="W430" s="21" t="n">
        <v>17347.4635974051</v>
      </c>
      <c r="X430" s="21" t="n">
        <v>17646.744201609</v>
      </c>
      <c r="Y430" s="0"/>
      <c r="Z430" s="0"/>
      <c r="AA430" s="0"/>
      <c r="AB430" s="0"/>
      <c r="AC430" s="0"/>
      <c r="AD430" s="0"/>
      <c r="AE430" s="0"/>
      <c r="AF430" s="0"/>
      <c r="AG430" s="0"/>
    </row>
    <row r="431" customFormat="false" ht="12.75" hidden="false" customHeight="false" outlineLevel="0" collapsed="false">
      <c r="A431" s="22" t="s">
        <v>10</v>
      </c>
      <c r="B431" s="17" t="n">
        <f aca="false">NPV(0.1,D431:Y431)</f>
        <v>88973.236702903</v>
      </c>
      <c r="C431" s="17" t="n">
        <f aca="false">B431-B421</f>
        <v>2648.26562294866</v>
      </c>
      <c r="D431" s="23" t="n">
        <v>2660.95116373695</v>
      </c>
      <c r="E431" s="24" t="n">
        <v>4050.23184561715</v>
      </c>
      <c r="F431" s="24" t="n">
        <v>6615.88330390469</v>
      </c>
      <c r="G431" s="24" t="n">
        <v>6606.74508137225</v>
      </c>
      <c r="H431" s="24" t="n">
        <v>14283.1664942243</v>
      </c>
      <c r="I431" s="24" t="n">
        <v>12042.9780273453</v>
      </c>
      <c r="J431" s="24" t="n">
        <v>11688.9875508882</v>
      </c>
      <c r="K431" s="24" t="n">
        <v>11597.0769092087</v>
      </c>
      <c r="L431" s="24" t="n">
        <v>11616.757671297</v>
      </c>
      <c r="M431" s="24" t="n">
        <v>11493.2498894315</v>
      </c>
      <c r="N431" s="24" t="n">
        <v>11472.5488448889</v>
      </c>
      <c r="O431" s="25" t="n">
        <v>11910.2714842337</v>
      </c>
      <c r="P431" s="21" t="n">
        <v>11030.014028112</v>
      </c>
      <c r="Q431" s="21" t="n">
        <v>10813.171036759</v>
      </c>
      <c r="R431" s="21" t="n">
        <v>10571.0919482517</v>
      </c>
      <c r="S431" s="21" t="n">
        <v>20997.9918674028</v>
      </c>
      <c r="T431" s="21" t="n">
        <v>19467.8988694489</v>
      </c>
      <c r="U431" s="21" t="n">
        <v>19638.8067505417</v>
      </c>
      <c r="V431" s="21" t="n">
        <v>19849.3566570427</v>
      </c>
      <c r="W431" s="21" t="n">
        <v>20085.5099217053</v>
      </c>
      <c r="X431" s="21" t="n">
        <v>20106.9926159856</v>
      </c>
      <c r="Y431" s="0"/>
      <c r="Z431" s="0"/>
      <c r="AA431" s="0"/>
      <c r="AB431" s="0"/>
      <c r="AC431" s="0"/>
      <c r="AD431" s="0"/>
      <c r="AE431" s="0"/>
      <c r="AF431" s="0"/>
      <c r="AG431" s="0"/>
    </row>
    <row r="432" customFormat="false" ht="12.75" hidden="false" customHeight="false" outlineLevel="0" collapsed="false">
      <c r="A432" s="5"/>
      <c r="B432" s="5"/>
      <c r="C432" s="5"/>
      <c r="D432" s="0"/>
      <c r="E432" s="0"/>
      <c r="F432" s="0"/>
      <c r="G432" s="0"/>
      <c r="H432" s="0"/>
      <c r="I432" s="0"/>
      <c r="J432" s="0"/>
      <c r="K432" s="0"/>
      <c r="L432" s="0"/>
      <c r="M432" s="0"/>
      <c r="N432" s="0"/>
      <c r="O432" s="0"/>
      <c r="P432" s="0"/>
      <c r="Q432" s="0"/>
      <c r="R432" s="0"/>
      <c r="S432" s="0"/>
      <c r="T432" s="0"/>
      <c r="U432" s="0"/>
      <c r="V432" s="0"/>
      <c r="W432" s="0"/>
      <c r="X432" s="0"/>
      <c r="Y432" s="0"/>
      <c r="Z432" s="0"/>
      <c r="AA432" s="0"/>
      <c r="AB432" s="0"/>
      <c r="AC432" s="0"/>
      <c r="AD432" s="0"/>
      <c r="AE432" s="0"/>
      <c r="AF432" s="0"/>
      <c r="AG432" s="0"/>
    </row>
    <row r="433" customFormat="false" ht="12.75" hidden="false" customHeight="false" outlineLevel="0" collapsed="false">
      <c r="A433" s="26" t="s">
        <v>55</v>
      </c>
      <c r="B433" s="5"/>
      <c r="C433" s="5"/>
      <c r="D433" s="0"/>
      <c r="E433" s="0"/>
      <c r="F433" s="0"/>
      <c r="G433" s="0"/>
      <c r="H433" s="0"/>
      <c r="I433" s="0"/>
      <c r="J433" s="0"/>
      <c r="K433" s="0"/>
      <c r="L433" s="0"/>
      <c r="M433" s="0"/>
      <c r="N433" s="0"/>
      <c r="O433" s="0"/>
      <c r="P433" s="0"/>
      <c r="Q433" s="0"/>
      <c r="R433" s="0"/>
      <c r="S433" s="0"/>
      <c r="T433" s="0"/>
      <c r="U433" s="0"/>
      <c r="V433" s="0"/>
      <c r="W433" s="0"/>
      <c r="X433" s="0"/>
      <c r="Y433" s="0"/>
      <c r="Z433" s="0"/>
      <c r="AA433" s="0"/>
      <c r="AB433" s="0"/>
      <c r="AC433" s="0"/>
      <c r="AD433" s="0"/>
      <c r="AE433" s="0"/>
      <c r="AF433" s="0"/>
      <c r="AG433" s="0"/>
    </row>
    <row r="434" customFormat="false" ht="12.75" hidden="false" customHeight="false" outlineLevel="0" collapsed="false">
      <c r="A434" s="28" t="n">
        <v>36286</v>
      </c>
      <c r="B434" s="5"/>
      <c r="C434" s="5"/>
      <c r="D434" s="0"/>
      <c r="E434" s="0"/>
      <c r="F434" s="0"/>
      <c r="G434" s="0"/>
      <c r="H434" s="0"/>
      <c r="I434" s="0"/>
      <c r="J434" s="0"/>
      <c r="K434" s="0"/>
      <c r="L434" s="0"/>
      <c r="M434" s="0"/>
      <c r="N434" s="0"/>
      <c r="O434" s="0"/>
      <c r="P434" s="0"/>
      <c r="Q434" s="0"/>
      <c r="R434" s="0"/>
      <c r="S434" s="0"/>
      <c r="T434" s="0"/>
      <c r="U434" s="0"/>
      <c r="V434" s="0"/>
      <c r="W434" s="0"/>
      <c r="X434" s="0"/>
      <c r="Y434" s="0"/>
      <c r="Z434" s="0"/>
      <c r="AA434" s="0"/>
      <c r="AB434" s="0"/>
      <c r="AC434" s="0"/>
      <c r="AD434" s="0"/>
      <c r="AE434" s="0"/>
      <c r="AF434" s="0"/>
      <c r="AG434" s="0"/>
    </row>
    <row r="435" customFormat="false" ht="12.75" hidden="false" customHeight="false" outlineLevel="0" collapsed="false">
      <c r="A435" s="7" t="s">
        <v>2</v>
      </c>
      <c r="B435" s="8" t="n">
        <v>23850.0096480383</v>
      </c>
      <c r="C435" s="5"/>
      <c r="D435" s="0"/>
      <c r="E435" s="0"/>
      <c r="F435" s="0"/>
      <c r="G435" s="0"/>
      <c r="H435" s="0"/>
      <c r="I435" s="0"/>
      <c r="J435" s="0"/>
      <c r="K435" s="0"/>
      <c r="L435" s="0"/>
      <c r="M435" s="0"/>
      <c r="N435" s="0"/>
      <c r="O435" s="0"/>
      <c r="P435" s="0"/>
      <c r="Q435" s="0"/>
      <c r="R435" s="0"/>
      <c r="S435" s="0"/>
      <c r="T435" s="0"/>
      <c r="U435" s="0"/>
      <c r="V435" s="0"/>
      <c r="W435" s="0"/>
      <c r="X435" s="0"/>
      <c r="Y435" s="0"/>
      <c r="Z435" s="0"/>
      <c r="AA435" s="0"/>
      <c r="AB435" s="0"/>
      <c r="AC435" s="0"/>
      <c r="AD435" s="0"/>
      <c r="AE435" s="0"/>
      <c r="AF435" s="0"/>
      <c r="AG435" s="0"/>
    </row>
    <row r="436" customFormat="false" ht="12.75" hidden="false" customHeight="false" outlineLevel="0" collapsed="false">
      <c r="A436" s="9" t="s">
        <v>3</v>
      </c>
      <c r="B436" s="10" t="n">
        <v>52288.9447748818</v>
      </c>
      <c r="C436" s="5"/>
      <c r="D436" s="0"/>
      <c r="E436" s="0"/>
      <c r="F436" s="0"/>
      <c r="G436" s="0"/>
      <c r="H436" s="0"/>
      <c r="I436" s="0"/>
      <c r="J436" s="0"/>
      <c r="K436" s="0"/>
      <c r="L436" s="0"/>
      <c r="M436" s="0"/>
      <c r="N436" s="0"/>
      <c r="O436" s="0"/>
      <c r="P436" s="0"/>
      <c r="Q436" s="0"/>
      <c r="R436" s="0"/>
      <c r="S436" s="0"/>
      <c r="T436" s="0"/>
      <c r="U436" s="0"/>
      <c r="V436" s="0"/>
      <c r="W436" s="0"/>
      <c r="X436" s="0"/>
      <c r="Y436" s="0"/>
      <c r="Z436" s="0"/>
      <c r="AA436" s="0"/>
      <c r="AB436" s="0"/>
      <c r="AC436" s="0"/>
      <c r="AD436" s="0"/>
      <c r="AE436" s="0"/>
      <c r="AF436" s="0"/>
      <c r="AG436" s="0"/>
    </row>
    <row r="437" customFormat="false" ht="12.75" hidden="false" customHeight="false" outlineLevel="0" collapsed="false">
      <c r="A437" s="11" t="s">
        <v>4</v>
      </c>
      <c r="B437" s="12" t="s">
        <v>5</v>
      </c>
      <c r="C437" s="12" t="s">
        <v>6</v>
      </c>
      <c r="D437" s="13" t="n">
        <v>1999</v>
      </c>
      <c r="E437" s="14" t="n">
        <v>2000</v>
      </c>
      <c r="F437" s="14" t="n">
        <v>2001</v>
      </c>
      <c r="G437" s="14" t="n">
        <v>2002</v>
      </c>
      <c r="H437" s="14" t="n">
        <v>2003</v>
      </c>
      <c r="I437" s="14" t="n">
        <v>2004</v>
      </c>
      <c r="J437" s="14" t="n">
        <v>2005</v>
      </c>
      <c r="K437" s="14" t="n">
        <v>2006</v>
      </c>
      <c r="L437" s="14" t="n">
        <v>2007</v>
      </c>
      <c r="M437" s="14" t="n">
        <v>2008</v>
      </c>
      <c r="N437" s="14" t="n">
        <v>2009</v>
      </c>
      <c r="O437" s="15" t="n">
        <v>2010</v>
      </c>
      <c r="P437" s="16" t="n">
        <v>2011</v>
      </c>
      <c r="Q437" s="16" t="n">
        <v>2012</v>
      </c>
      <c r="R437" s="16" t="n">
        <v>2013</v>
      </c>
      <c r="S437" s="16" t="n">
        <v>2014</v>
      </c>
      <c r="T437" s="16" t="n">
        <v>2015</v>
      </c>
      <c r="U437" s="16" t="n">
        <v>2016</v>
      </c>
      <c r="V437" s="16" t="n">
        <v>2017</v>
      </c>
      <c r="W437" s="16" t="n">
        <v>2018</v>
      </c>
      <c r="X437" s="16" t="n">
        <v>2019</v>
      </c>
      <c r="Y437" s="0"/>
      <c r="Z437" s="0"/>
      <c r="AA437" s="0"/>
      <c r="AB437" s="0"/>
      <c r="AC437" s="0"/>
      <c r="AD437" s="0"/>
      <c r="AE437" s="0"/>
      <c r="AF437" s="0"/>
      <c r="AG437" s="0"/>
    </row>
    <row r="438" customFormat="false" ht="12.75" hidden="false" customHeight="false" outlineLevel="0" collapsed="false">
      <c r="A438" s="11" t="s">
        <v>7</v>
      </c>
      <c r="B438" s="17" t="n">
        <f aca="false">NPV(0.1,D438:Y438)</f>
        <v>389576.042466964</v>
      </c>
      <c r="C438" s="17" t="n">
        <f aca="false">B438-B428</f>
        <v>-5992.72101536079</v>
      </c>
      <c r="D438" s="18" t="n">
        <v>26898.21696</v>
      </c>
      <c r="E438" s="19" t="n">
        <v>40079.9158149774</v>
      </c>
      <c r="F438" s="19" t="n">
        <v>40673.1613422172</v>
      </c>
      <c r="G438" s="19" t="n">
        <v>40731.6409776837</v>
      </c>
      <c r="H438" s="19" t="n">
        <v>40720.3998154613</v>
      </c>
      <c r="I438" s="19" t="n">
        <v>47935.0278426706</v>
      </c>
      <c r="J438" s="19" t="n">
        <v>48339.3986348649</v>
      </c>
      <c r="K438" s="19" t="n">
        <v>48739.7066983296</v>
      </c>
      <c r="L438" s="19" t="n">
        <v>49708.0129393755</v>
      </c>
      <c r="M438" s="19" t="n">
        <v>50115.5197057928</v>
      </c>
      <c r="N438" s="19" t="n">
        <v>51125.1003370626</v>
      </c>
      <c r="O438" s="20" t="n">
        <v>51539.1979419032</v>
      </c>
      <c r="P438" s="21" t="n">
        <v>52591.4889202563</v>
      </c>
      <c r="Q438" s="21" t="n">
        <v>53011.4687624698</v>
      </c>
      <c r="R438" s="21" t="n">
        <v>53424.1316039851</v>
      </c>
      <c r="S438" s="21" t="n">
        <v>53828.6604429021</v>
      </c>
      <c r="T438" s="21" t="n">
        <v>54224.1958425078</v>
      </c>
      <c r="U438" s="21" t="n">
        <v>54609.8341204882</v>
      </c>
      <c r="V438" s="21" t="n">
        <v>54984.6254676864</v>
      </c>
      <c r="W438" s="21" t="n">
        <v>55347.5719938051</v>
      </c>
      <c r="X438" s="21" t="n">
        <v>55697.6256973672</v>
      </c>
      <c r="Y438" s="0"/>
      <c r="Z438" s="0"/>
      <c r="AA438" s="0"/>
      <c r="AB438" s="0"/>
      <c r="AC438" s="0"/>
      <c r="AD438" s="0"/>
      <c r="AE438" s="0"/>
      <c r="AF438" s="0"/>
      <c r="AG438" s="0"/>
    </row>
    <row r="439" customFormat="false" ht="12.75" hidden="false" customHeight="false" outlineLevel="0" collapsed="false">
      <c r="A439" s="22" t="s">
        <v>8</v>
      </c>
      <c r="B439" s="17" t="n">
        <f aca="false">NPV(0.1,D439:Y439)</f>
        <v>187475.076742428</v>
      </c>
      <c r="C439" s="17" t="n">
        <f aca="false">B439-B429</f>
        <v>-2538.30219216394</v>
      </c>
      <c r="D439" s="18" t="n">
        <v>19203.8590357272</v>
      </c>
      <c r="E439" s="19" t="n">
        <v>21192.7923069032</v>
      </c>
      <c r="F439" s="19" t="n">
        <v>21511.0802656978</v>
      </c>
      <c r="G439" s="19" t="n">
        <v>21595.8613327135</v>
      </c>
      <c r="H439" s="19" t="n">
        <v>17727.3108323725</v>
      </c>
      <c r="I439" s="19" t="n">
        <v>21864.5328877785</v>
      </c>
      <c r="J439" s="19" t="n">
        <v>21977.1298665157</v>
      </c>
      <c r="K439" s="19" t="n">
        <v>22088.4636022251</v>
      </c>
      <c r="L439" s="19" t="n">
        <v>22204.1111847995</v>
      </c>
      <c r="M439" s="19" t="n">
        <v>22324.1739893671</v>
      </c>
      <c r="N439" s="19" t="n">
        <v>22443.3791125685</v>
      </c>
      <c r="O439" s="20" t="n">
        <v>23349.678828764</v>
      </c>
      <c r="P439" s="21" t="n">
        <v>23418.6550379242</v>
      </c>
      <c r="Q439" s="21" t="n">
        <v>23476.3021510911</v>
      </c>
      <c r="R439" s="21" t="n">
        <v>23539.0975425805</v>
      </c>
      <c r="S439" s="21" t="n">
        <v>23611.4372520981</v>
      </c>
      <c r="T439" s="21" t="n">
        <v>23661.002308092</v>
      </c>
      <c r="U439" s="21" t="n">
        <v>23699.9623602686</v>
      </c>
      <c r="V439" s="21" t="n">
        <v>23744.7012984625</v>
      </c>
      <c r="W439" s="21" t="n">
        <v>23893.1936946008</v>
      </c>
      <c r="X439" s="21" t="n">
        <v>23770.713495766</v>
      </c>
      <c r="Y439" s="0"/>
      <c r="Z439" s="0"/>
      <c r="AA439" s="0"/>
      <c r="AB439" s="0"/>
      <c r="AC439" s="0"/>
      <c r="AD439" s="0"/>
      <c r="AE439" s="0"/>
      <c r="AF439" s="0"/>
      <c r="AG439" s="0"/>
    </row>
    <row r="440" customFormat="false" ht="12.75" hidden="false" customHeight="false" outlineLevel="0" collapsed="false">
      <c r="A440" s="22" t="s">
        <v>9</v>
      </c>
      <c r="B440" s="17" t="n">
        <f aca="false">NPV(0.1,D440:Y440)</f>
        <v>78822.6352533989</v>
      </c>
      <c r="C440" s="17" t="n">
        <f aca="false">B440-B430</f>
        <v>-1684.17004970439</v>
      </c>
      <c r="D440" s="18" t="n">
        <v>1619.2809049838</v>
      </c>
      <c r="E440" s="19" t="n">
        <v>4222.0996454712</v>
      </c>
      <c r="F440" s="19" t="n">
        <v>4612.78704131811</v>
      </c>
      <c r="G440" s="19" t="n">
        <v>4875.78051154372</v>
      </c>
      <c r="H440" s="19" t="n">
        <v>7468.24429033858</v>
      </c>
      <c r="I440" s="19" t="n">
        <v>9641.2281961416</v>
      </c>
      <c r="J440" s="19" t="n">
        <v>10185.4311884827</v>
      </c>
      <c r="K440" s="19" t="n">
        <v>10610.8037981142</v>
      </c>
      <c r="L440" s="19" t="n">
        <v>11413.8885884392</v>
      </c>
      <c r="M440" s="19" t="n">
        <v>11902.0380165279</v>
      </c>
      <c r="N440" s="19" t="n">
        <v>12797.5061708506</v>
      </c>
      <c r="O440" s="20" t="n">
        <v>12873.2577895898</v>
      </c>
      <c r="P440" s="21" t="n">
        <v>13892.4831628725</v>
      </c>
      <c r="Q440" s="21" t="n">
        <v>14575.2443044762</v>
      </c>
      <c r="R440" s="21" t="n">
        <v>15293.8695286914</v>
      </c>
      <c r="S440" s="21" t="n">
        <v>16072.0788339505</v>
      </c>
      <c r="T440" s="21" t="n">
        <v>16321.6121727205</v>
      </c>
      <c r="U440" s="21" t="n">
        <v>16538.3618997098</v>
      </c>
      <c r="V440" s="21" t="n">
        <v>16744.7168543019</v>
      </c>
      <c r="W440" s="21" t="n">
        <v>16878.7975973806</v>
      </c>
      <c r="X440" s="21" t="n">
        <v>17174.2346531698</v>
      </c>
      <c r="Y440" s="0"/>
      <c r="Z440" s="0"/>
      <c r="AA440" s="0"/>
      <c r="AB440" s="0"/>
      <c r="AC440" s="0"/>
      <c r="AD440" s="0"/>
      <c r="AE440" s="0"/>
      <c r="AF440" s="0"/>
      <c r="AG440" s="0"/>
    </row>
    <row r="441" customFormat="false" ht="12.75" hidden="false" customHeight="false" outlineLevel="0" collapsed="false">
      <c r="A441" s="22" t="s">
        <v>10</v>
      </c>
      <c r="B441" s="17" t="n">
        <f aca="false">NPV(0.1,D441:Y441)</f>
        <v>87606.5124059593</v>
      </c>
      <c r="C441" s="17" t="n">
        <f aca="false">B441-B431</f>
        <v>-1366.72429694366</v>
      </c>
      <c r="D441" s="23" t="n">
        <v>2660.96544881101</v>
      </c>
      <c r="E441" s="24" t="n">
        <v>4071.051646198</v>
      </c>
      <c r="F441" s="24" t="n">
        <v>6615.99233661301</v>
      </c>
      <c r="G441" s="24" t="n">
        <v>6606.89642486891</v>
      </c>
      <c r="H441" s="24" t="n">
        <v>13963.9970547624</v>
      </c>
      <c r="I441" s="24" t="n">
        <v>11851.9807627865</v>
      </c>
      <c r="J441" s="24" t="n">
        <v>11499.4447032511</v>
      </c>
      <c r="K441" s="24" t="n">
        <v>11409.3577229558</v>
      </c>
      <c r="L441" s="24" t="n">
        <v>11428.6285931441</v>
      </c>
      <c r="M441" s="24" t="n">
        <v>11307.8372361321</v>
      </c>
      <c r="N441" s="24" t="n">
        <v>11287.5373362186</v>
      </c>
      <c r="O441" s="25" t="n">
        <v>11729.0362226154</v>
      </c>
      <c r="P441" s="21" t="n">
        <v>10850.161542565</v>
      </c>
      <c r="Q441" s="21" t="n">
        <v>10638.3495457913</v>
      </c>
      <c r="R441" s="21" t="n">
        <v>10401.9778599759</v>
      </c>
      <c r="S441" s="21" t="n">
        <v>20546.3908233822</v>
      </c>
      <c r="T441" s="21" t="n">
        <v>19011.8044793961</v>
      </c>
      <c r="U441" s="21" t="n">
        <v>19178.3619028605</v>
      </c>
      <c r="V441" s="21" t="n">
        <v>19384.7168574527</v>
      </c>
      <c r="W441" s="21" t="n">
        <v>19616.8439216809</v>
      </c>
      <c r="X441" s="21" t="n">
        <v>19634.4830675464</v>
      </c>
      <c r="Y441" s="0"/>
      <c r="Z441" s="0"/>
      <c r="AA441" s="0"/>
      <c r="AB441" s="0"/>
      <c r="AC441" s="0"/>
      <c r="AD441" s="0"/>
      <c r="AE441" s="0"/>
      <c r="AF441" s="0"/>
      <c r="AG441" s="0"/>
    </row>
    <row r="442" customFormat="false" ht="12.75" hidden="false" customHeight="false" outlineLevel="0" collapsed="false">
      <c r="A442" s="5"/>
      <c r="B442" s="5"/>
      <c r="C442" s="5"/>
      <c r="D442" s="0"/>
      <c r="E442" s="0"/>
      <c r="F442" s="0"/>
      <c r="G442" s="0"/>
      <c r="H442" s="0"/>
      <c r="I442" s="0"/>
      <c r="J442" s="0"/>
      <c r="K442" s="0"/>
      <c r="L442" s="0"/>
      <c r="M442" s="0"/>
      <c r="N442" s="0"/>
      <c r="O442" s="0"/>
      <c r="P442" s="0"/>
      <c r="Q442" s="0"/>
      <c r="R442" s="0"/>
      <c r="S442" s="0"/>
      <c r="T442" s="0"/>
      <c r="U442" s="0"/>
      <c r="V442" s="0"/>
      <c r="W442" s="0"/>
      <c r="X442" s="0"/>
      <c r="Y442" s="0"/>
      <c r="Z442" s="0"/>
      <c r="AA442" s="0"/>
      <c r="AB442" s="0"/>
      <c r="AC442" s="0"/>
      <c r="AD442" s="0"/>
      <c r="AE442" s="0"/>
      <c r="AF442" s="0"/>
      <c r="AG442" s="0"/>
    </row>
    <row r="443" customFormat="false" ht="12.75" hidden="false" customHeight="false" outlineLevel="0" collapsed="false">
      <c r="A443" s="26" t="s">
        <v>56</v>
      </c>
      <c r="B443" s="5"/>
      <c r="C443" s="5"/>
      <c r="D443" s="0"/>
      <c r="E443" s="0"/>
      <c r="F443" s="0"/>
      <c r="G443" s="0"/>
      <c r="H443" s="0"/>
      <c r="I443" s="0"/>
      <c r="J443" s="0"/>
      <c r="K443" s="0"/>
      <c r="L443" s="0"/>
      <c r="M443" s="0"/>
      <c r="N443" s="0"/>
      <c r="O443" s="0"/>
      <c r="P443" s="0"/>
      <c r="Q443" s="0"/>
      <c r="R443" s="0"/>
      <c r="S443" s="0"/>
      <c r="T443" s="0"/>
      <c r="U443" s="0"/>
      <c r="V443" s="0"/>
      <c r="W443" s="0"/>
      <c r="X443" s="0"/>
      <c r="Y443" s="0"/>
      <c r="Z443" s="0"/>
      <c r="AA443" s="0"/>
      <c r="AB443" s="0"/>
      <c r="AC443" s="0"/>
      <c r="AD443" s="0"/>
      <c r="AE443" s="0"/>
      <c r="AF443" s="0"/>
      <c r="AG443" s="0"/>
    </row>
    <row r="444" customFormat="false" ht="12.75" hidden="false" customHeight="false" outlineLevel="0" collapsed="false">
      <c r="A444" s="28" t="n">
        <v>36292</v>
      </c>
      <c r="B444" s="5"/>
      <c r="C444" s="5"/>
      <c r="D444" s="0"/>
      <c r="E444" s="0"/>
      <c r="F444" s="0"/>
      <c r="G444" s="0"/>
      <c r="H444" s="0"/>
      <c r="I444" s="0"/>
      <c r="J444" s="0"/>
      <c r="K444" s="0"/>
      <c r="L444" s="0"/>
      <c r="M444" s="0"/>
      <c r="N444" s="0"/>
      <c r="O444" s="0"/>
      <c r="P444" s="0"/>
      <c r="Q444" s="0"/>
      <c r="R444" s="0"/>
      <c r="S444" s="0"/>
      <c r="T444" s="0"/>
      <c r="U444" s="0"/>
      <c r="V444" s="0"/>
      <c r="W444" s="0"/>
      <c r="X444" s="0"/>
      <c r="Y444" s="0"/>
      <c r="Z444" s="0"/>
      <c r="AA444" s="0"/>
      <c r="AB444" s="0"/>
      <c r="AC444" s="0"/>
      <c r="AD444" s="0"/>
      <c r="AE444" s="0"/>
      <c r="AF444" s="0"/>
      <c r="AG444" s="0"/>
    </row>
    <row r="445" customFormat="false" ht="12.75" hidden="false" customHeight="false" outlineLevel="0" collapsed="false">
      <c r="A445" s="7" t="s">
        <v>2</v>
      </c>
      <c r="B445" s="8" t="n">
        <v>23821.5946647002</v>
      </c>
      <c r="C445" s="5"/>
      <c r="D445" s="0"/>
      <c r="E445" s="0"/>
      <c r="F445" s="0"/>
      <c r="G445" s="0"/>
      <c r="H445" s="0"/>
      <c r="I445" s="0"/>
      <c r="J445" s="0"/>
      <c r="K445" s="0"/>
      <c r="L445" s="0"/>
      <c r="M445" s="0"/>
      <c r="N445" s="0"/>
      <c r="O445" s="0"/>
      <c r="P445" s="0"/>
      <c r="Q445" s="0"/>
      <c r="R445" s="0"/>
      <c r="S445" s="0"/>
      <c r="T445" s="0"/>
      <c r="U445" s="0"/>
      <c r="V445" s="0"/>
      <c r="W445" s="0"/>
      <c r="X445" s="0"/>
      <c r="Y445" s="0"/>
      <c r="Z445" s="0"/>
      <c r="AA445" s="0"/>
      <c r="AB445" s="0"/>
      <c r="AC445" s="0"/>
      <c r="AD445" s="0"/>
      <c r="AE445" s="0"/>
      <c r="AF445" s="0"/>
      <c r="AG445" s="0"/>
    </row>
    <row r="446" customFormat="false" ht="12.75" hidden="false" customHeight="false" outlineLevel="0" collapsed="false">
      <c r="A446" s="9" t="s">
        <v>3</v>
      </c>
      <c r="B446" s="10" t="n">
        <v>52254.7604351906</v>
      </c>
      <c r="C446" s="5"/>
      <c r="D446" s="0"/>
      <c r="E446" s="0"/>
      <c r="F446" s="0"/>
      <c r="G446" s="0"/>
      <c r="H446" s="0"/>
      <c r="I446" s="0"/>
      <c r="J446" s="0"/>
      <c r="K446" s="0"/>
      <c r="L446" s="0"/>
      <c r="M446" s="0"/>
      <c r="N446" s="0"/>
      <c r="O446" s="0"/>
      <c r="P446" s="0"/>
      <c r="Q446" s="0"/>
      <c r="R446" s="0"/>
      <c r="S446" s="0"/>
      <c r="T446" s="0"/>
      <c r="U446" s="0"/>
      <c r="V446" s="0"/>
      <c r="W446" s="0"/>
      <c r="X446" s="0"/>
      <c r="Y446" s="0"/>
      <c r="Z446" s="0"/>
      <c r="AA446" s="0"/>
      <c r="AB446" s="0"/>
      <c r="AC446" s="0"/>
      <c r="AD446" s="0"/>
      <c r="AE446" s="0"/>
      <c r="AF446" s="0"/>
      <c r="AG446" s="0"/>
    </row>
    <row r="447" customFormat="false" ht="12.75" hidden="false" customHeight="false" outlineLevel="0" collapsed="false">
      <c r="A447" s="11" t="s">
        <v>4</v>
      </c>
      <c r="B447" s="12" t="s">
        <v>5</v>
      </c>
      <c r="C447" s="12" t="s">
        <v>6</v>
      </c>
      <c r="D447" s="13" t="n">
        <v>1999</v>
      </c>
      <c r="E447" s="14" t="n">
        <v>2000</v>
      </c>
      <c r="F447" s="14" t="n">
        <v>2001</v>
      </c>
      <c r="G447" s="14" t="n">
        <v>2002</v>
      </c>
      <c r="H447" s="14" t="n">
        <v>2003</v>
      </c>
      <c r="I447" s="14" t="n">
        <v>2004</v>
      </c>
      <c r="J447" s="14" t="n">
        <v>2005</v>
      </c>
      <c r="K447" s="14" t="n">
        <v>2006</v>
      </c>
      <c r="L447" s="14" t="n">
        <v>2007</v>
      </c>
      <c r="M447" s="14" t="n">
        <v>2008</v>
      </c>
      <c r="N447" s="14" t="n">
        <v>2009</v>
      </c>
      <c r="O447" s="15" t="n">
        <v>2010</v>
      </c>
      <c r="P447" s="16" t="n">
        <v>2011</v>
      </c>
      <c r="Q447" s="16" t="n">
        <v>2012</v>
      </c>
      <c r="R447" s="16" t="n">
        <v>2013</v>
      </c>
      <c r="S447" s="16" t="n">
        <v>2014</v>
      </c>
      <c r="T447" s="16" t="n">
        <v>2015</v>
      </c>
      <c r="U447" s="16" t="n">
        <v>2016</v>
      </c>
      <c r="V447" s="16" t="n">
        <v>2017</v>
      </c>
      <c r="W447" s="16" t="n">
        <v>2018</v>
      </c>
      <c r="X447" s="16" t="n">
        <v>2019</v>
      </c>
      <c r="Y447" s="0"/>
      <c r="Z447" s="0"/>
      <c r="AA447" s="0"/>
      <c r="AB447" s="0"/>
      <c r="AC447" s="0"/>
      <c r="AD447" s="0"/>
      <c r="AE447" s="0"/>
      <c r="AF447" s="0"/>
      <c r="AG447" s="0"/>
    </row>
    <row r="448" customFormat="false" ht="12.75" hidden="false" customHeight="false" outlineLevel="0" collapsed="false">
      <c r="A448" s="11" t="s">
        <v>7</v>
      </c>
      <c r="B448" s="17" t="n">
        <f aca="false">NPV(0.1,D448:Y448)</f>
        <v>389576.042466964</v>
      </c>
      <c r="C448" s="17" t="n">
        <f aca="false">B448-B438</f>
        <v>0</v>
      </c>
      <c r="D448" s="18" t="n">
        <v>26898.21696</v>
      </c>
      <c r="E448" s="19" t="n">
        <v>40079.9158149774</v>
      </c>
      <c r="F448" s="19" t="n">
        <v>40673.1613422172</v>
      </c>
      <c r="G448" s="19" t="n">
        <v>40731.6409776837</v>
      </c>
      <c r="H448" s="19" t="n">
        <v>40720.3998154613</v>
      </c>
      <c r="I448" s="19" t="n">
        <v>47935.0278426706</v>
      </c>
      <c r="J448" s="19" t="n">
        <v>48339.3986348649</v>
      </c>
      <c r="K448" s="19" t="n">
        <v>48739.7066983296</v>
      </c>
      <c r="L448" s="19" t="n">
        <v>49708.0129393755</v>
      </c>
      <c r="M448" s="19" t="n">
        <v>50115.5197057928</v>
      </c>
      <c r="N448" s="19" t="n">
        <v>51125.1003370626</v>
      </c>
      <c r="O448" s="20" t="n">
        <v>51539.1979419032</v>
      </c>
      <c r="P448" s="21" t="n">
        <v>52591.4889202563</v>
      </c>
      <c r="Q448" s="21" t="n">
        <v>53011.4687624698</v>
      </c>
      <c r="R448" s="21" t="n">
        <v>53424.1316039851</v>
      </c>
      <c r="S448" s="21" t="n">
        <v>53828.6604429021</v>
      </c>
      <c r="T448" s="21" t="n">
        <v>54224.1958425078</v>
      </c>
      <c r="U448" s="21" t="n">
        <v>54609.8341204882</v>
      </c>
      <c r="V448" s="21" t="n">
        <v>54984.6254676864</v>
      </c>
      <c r="W448" s="21" t="n">
        <v>55347.5719938051</v>
      </c>
      <c r="X448" s="21" t="n">
        <v>55697.6256973672</v>
      </c>
      <c r="Y448" s="0"/>
      <c r="Z448" s="0"/>
      <c r="AA448" s="0"/>
      <c r="AB448" s="0"/>
      <c r="AC448" s="0"/>
      <c r="AD448" s="0"/>
      <c r="AE448" s="0"/>
      <c r="AF448" s="0"/>
      <c r="AG448" s="0"/>
    </row>
    <row r="449" customFormat="false" ht="12.75" hidden="false" customHeight="false" outlineLevel="0" collapsed="false">
      <c r="A449" s="22" t="s">
        <v>8</v>
      </c>
      <c r="B449" s="17" t="n">
        <f aca="false">NPV(0.1,D449:Y449)</f>
        <v>187475.584400148</v>
      </c>
      <c r="C449" s="17" t="n">
        <f aca="false">B449-B439</f>
        <v>0.507657720067073</v>
      </c>
      <c r="D449" s="18" t="n">
        <v>19203.9425437576</v>
      </c>
      <c r="E449" s="19" t="n">
        <v>21192.8742348934</v>
      </c>
      <c r="F449" s="19" t="n">
        <v>21511.1606147141</v>
      </c>
      <c r="G449" s="19" t="n">
        <v>21595.9401039467</v>
      </c>
      <c r="H449" s="19" t="n">
        <v>17727.375460759</v>
      </c>
      <c r="I449" s="19" t="n">
        <v>21864.5939030663</v>
      </c>
      <c r="J449" s="19" t="n">
        <v>21977.1874706123</v>
      </c>
      <c r="K449" s="19" t="n">
        <v>22088.5177919553</v>
      </c>
      <c r="L449" s="19" t="n">
        <v>22204.1619633385</v>
      </c>
      <c r="M449" s="19" t="n">
        <v>22324.2213535398</v>
      </c>
      <c r="N449" s="19" t="n">
        <v>22443.42306555</v>
      </c>
      <c r="O449" s="20" t="n">
        <v>23349.7193673791</v>
      </c>
      <c r="P449" s="21" t="n">
        <v>23418.6921653482</v>
      </c>
      <c r="Q449" s="21" t="n">
        <v>23476.3358641487</v>
      </c>
      <c r="R449" s="21" t="n">
        <v>23539.1278444469</v>
      </c>
      <c r="S449" s="21" t="n">
        <v>23611.4650794657</v>
      </c>
      <c r="T449" s="21" t="n">
        <v>23661.028597653</v>
      </c>
      <c r="U449" s="21" t="n">
        <v>23699.9871120231</v>
      </c>
      <c r="V449" s="21" t="n">
        <v>23744.7245124104</v>
      </c>
      <c r="W449" s="21" t="n">
        <v>23893.2153707421</v>
      </c>
      <c r="X449" s="21" t="n">
        <v>23770.7336341007</v>
      </c>
      <c r="Y449" s="0"/>
      <c r="Z449" s="0"/>
      <c r="AA449" s="0"/>
      <c r="AB449" s="0"/>
      <c r="AC449" s="0"/>
      <c r="AD449" s="0"/>
      <c r="AE449" s="0"/>
      <c r="AF449" s="0"/>
      <c r="AG449" s="0"/>
    </row>
    <row r="450" customFormat="false" ht="12.75" hidden="false" customHeight="false" outlineLevel="0" collapsed="false">
      <c r="A450" s="22" t="s">
        <v>9</v>
      </c>
      <c r="B450" s="17" t="n">
        <f aca="false">NPV(0.1,D450:Y450)</f>
        <v>78817.2246847956</v>
      </c>
      <c r="C450" s="17" t="n">
        <f aca="false">B450-B440</f>
        <v>-5.41056860335812</v>
      </c>
      <c r="D450" s="18" t="n">
        <v>1618.96121812011</v>
      </c>
      <c r="E450" s="19" t="n">
        <v>4221.40427766564</v>
      </c>
      <c r="F450" s="19" t="n">
        <v>4612.09098487306</v>
      </c>
      <c r="G450" s="19" t="n">
        <v>4875.0836862127</v>
      </c>
      <c r="H450" s="19" t="n">
        <v>7467.55468668833</v>
      </c>
      <c r="I450" s="19" t="n">
        <v>9640.55727414478</v>
      </c>
      <c r="J450" s="19" t="n">
        <v>10184.7856905119</v>
      </c>
      <c r="K450" s="19" t="n">
        <v>10610.1597477976</v>
      </c>
      <c r="L450" s="19" t="n">
        <v>11413.2459962937</v>
      </c>
      <c r="M450" s="19" t="n">
        <v>11901.3968979783</v>
      </c>
      <c r="N450" s="19" t="n">
        <v>12796.866538489</v>
      </c>
      <c r="O450" s="20" t="n">
        <v>12872.6196610826</v>
      </c>
      <c r="P450" s="21" t="n">
        <v>13891.8465532325</v>
      </c>
      <c r="Q450" s="21" t="n">
        <v>14574.609233984</v>
      </c>
      <c r="R450" s="21" t="n">
        <v>15293.2360151833</v>
      </c>
      <c r="S450" s="21" t="n">
        <v>16071.4463131335</v>
      </c>
      <c r="T450" s="21" t="n">
        <v>16320.980613369</v>
      </c>
      <c r="U450" s="21" t="n">
        <v>16537.7313018238</v>
      </c>
      <c r="V450" s="21" t="n">
        <v>16744.0872178815</v>
      </c>
      <c r="W450" s="21" t="n">
        <v>16878.1689224256</v>
      </c>
      <c r="X450" s="21" t="n">
        <v>17173.6069396803</v>
      </c>
      <c r="Y450" s="0"/>
      <c r="Z450" s="0"/>
      <c r="AA450" s="0"/>
      <c r="AB450" s="0"/>
      <c r="AC450" s="0"/>
      <c r="AD450" s="0"/>
      <c r="AE450" s="0"/>
      <c r="AF450" s="0"/>
      <c r="AG450" s="0"/>
    </row>
    <row r="451" customFormat="false" ht="12.75" hidden="false" customHeight="false" outlineLevel="0" collapsed="false">
      <c r="A451" s="22" t="s">
        <v>10</v>
      </c>
      <c r="B451" s="17" t="n">
        <f aca="false">NPV(0.1,D451:Y451)</f>
        <v>87612.4245487896</v>
      </c>
      <c r="C451" s="17" t="n">
        <f aca="false">B451-B441</f>
        <v>5.91214283026056</v>
      </c>
      <c r="D451" s="23" t="n">
        <v>2660.9365689505</v>
      </c>
      <c r="E451" s="24" t="n">
        <v>4071.02331276807</v>
      </c>
      <c r="F451" s="24" t="n">
        <v>6615.96454924487</v>
      </c>
      <c r="G451" s="24" t="n">
        <v>6606.86918315077</v>
      </c>
      <c r="H451" s="24" t="n">
        <v>13968.9790219679</v>
      </c>
      <c r="I451" s="24" t="n">
        <v>11852.7692217549</v>
      </c>
      <c r="J451" s="24" t="n">
        <v>11500.1775900771</v>
      </c>
      <c r="K451" s="24" t="n">
        <v>11410.0930744474</v>
      </c>
      <c r="L451" s="24" t="n">
        <v>11429.3638606594</v>
      </c>
      <c r="M451" s="24" t="n">
        <v>11308.5749522438</v>
      </c>
      <c r="N451" s="24" t="n">
        <v>11288.2749509994</v>
      </c>
      <c r="O451" s="25" t="n">
        <v>11729.7762672496</v>
      </c>
      <c r="P451" s="21" t="n">
        <v>10850.9014656257</v>
      </c>
      <c r="Q451" s="21" t="n">
        <v>10639.0918768435</v>
      </c>
      <c r="R451" s="21" t="n">
        <v>10402.7200458437</v>
      </c>
      <c r="S451" s="21" t="n">
        <v>20546.748102109</v>
      </c>
      <c r="T451" s="21" t="n">
        <v>19011.7880426696</v>
      </c>
      <c r="U451" s="21" t="n">
        <v>19178.3464275995</v>
      </c>
      <c r="V451" s="21" t="n">
        <v>19384.7023436572</v>
      </c>
      <c r="W451" s="21" t="n">
        <v>19616.8303693509</v>
      </c>
      <c r="X451" s="21" t="n">
        <v>19634.4704766819</v>
      </c>
      <c r="Y451" s="0"/>
      <c r="Z451" s="0"/>
      <c r="AA451" s="0"/>
      <c r="AB451" s="0"/>
      <c r="AC451" s="0"/>
      <c r="AD451" s="0"/>
      <c r="AE451" s="0"/>
      <c r="AF451" s="0"/>
      <c r="AG451" s="0"/>
    </row>
    <row r="452" customFormat="false" ht="12.75" hidden="false" customHeight="false" outlineLevel="0" collapsed="false">
      <c r="A452" s="5"/>
      <c r="B452" s="5"/>
      <c r="C452" s="5"/>
      <c r="D452" s="0"/>
      <c r="E452" s="0"/>
      <c r="F452" s="0"/>
      <c r="G452" s="0"/>
      <c r="H452" s="0"/>
      <c r="I452" s="0"/>
      <c r="J452" s="0"/>
      <c r="K452" s="0"/>
      <c r="L452" s="0"/>
      <c r="M452" s="0"/>
      <c r="N452" s="0"/>
      <c r="O452" s="0"/>
      <c r="P452" s="0"/>
      <c r="Q452" s="0"/>
      <c r="R452" s="0"/>
      <c r="S452" s="0"/>
      <c r="T452" s="0"/>
      <c r="U452" s="0"/>
      <c r="V452" s="0"/>
      <c r="W452" s="0"/>
      <c r="X452" s="0"/>
      <c r="Y452" s="0"/>
      <c r="Z452" s="0"/>
      <c r="AA452" s="0"/>
      <c r="AB452" s="0"/>
      <c r="AC452" s="0"/>
      <c r="AD452" s="0"/>
      <c r="AE452" s="0"/>
      <c r="AF452" s="0"/>
      <c r="AG452" s="0"/>
    </row>
    <row r="453" customFormat="false" ht="12.75" hidden="false" customHeight="false" outlineLevel="0" collapsed="false">
      <c r="A453" s="26" t="s">
        <v>57</v>
      </c>
      <c r="B453" s="5"/>
      <c r="C453" s="5"/>
      <c r="D453" s="0"/>
      <c r="E453" s="0"/>
      <c r="F453" s="0"/>
      <c r="G453" s="0"/>
      <c r="H453" s="0"/>
      <c r="I453" s="0"/>
      <c r="J453" s="0"/>
      <c r="K453" s="0"/>
      <c r="L453" s="0"/>
      <c r="M453" s="0"/>
      <c r="N453" s="0"/>
      <c r="O453" s="0"/>
      <c r="P453" s="0"/>
      <c r="Q453" s="0"/>
      <c r="R453" s="0"/>
      <c r="S453" s="0"/>
      <c r="T453" s="0"/>
      <c r="U453" s="0"/>
      <c r="V453" s="0"/>
      <c r="W453" s="0"/>
      <c r="X453" s="0"/>
      <c r="Y453" s="0"/>
      <c r="Z453" s="0"/>
      <c r="AA453" s="0"/>
      <c r="AB453" s="0"/>
      <c r="AC453" s="0"/>
      <c r="AD453" s="0"/>
      <c r="AE453" s="0"/>
      <c r="AF453" s="0"/>
      <c r="AG453" s="0"/>
    </row>
    <row r="454" customFormat="false" ht="12.75" hidden="false" customHeight="false" outlineLevel="0" collapsed="false">
      <c r="A454" s="28" t="n">
        <v>36293</v>
      </c>
      <c r="B454" s="5"/>
      <c r="C454" s="5"/>
      <c r="D454" s="0"/>
      <c r="E454" s="0"/>
      <c r="F454" s="0"/>
      <c r="G454" s="0"/>
      <c r="H454" s="0"/>
      <c r="I454" s="0"/>
      <c r="J454" s="0"/>
      <c r="K454" s="0"/>
      <c r="L454" s="0"/>
      <c r="M454" s="0"/>
      <c r="N454" s="0"/>
      <c r="O454" s="0"/>
      <c r="P454" s="0"/>
      <c r="Q454" s="0"/>
      <c r="R454" s="0"/>
      <c r="S454" s="0"/>
      <c r="T454" s="0"/>
      <c r="U454" s="0"/>
      <c r="V454" s="0"/>
      <c r="W454" s="0"/>
      <c r="X454" s="0"/>
      <c r="Y454" s="0"/>
      <c r="Z454" s="0"/>
      <c r="AA454" s="0"/>
      <c r="AB454" s="0"/>
      <c r="AC454" s="0"/>
      <c r="AD454" s="0"/>
      <c r="AE454" s="0"/>
      <c r="AF454" s="0"/>
      <c r="AG454" s="0"/>
    </row>
    <row r="455" customFormat="false" ht="12.75" hidden="false" customHeight="false" outlineLevel="0" collapsed="false">
      <c r="A455" s="7" t="s">
        <v>2</v>
      </c>
      <c r="B455" s="8" t="n">
        <v>22589.9768354464</v>
      </c>
      <c r="C455" s="5"/>
      <c r="D455" s="0"/>
      <c r="E455" s="0"/>
      <c r="F455" s="0"/>
      <c r="G455" s="0"/>
      <c r="H455" s="0"/>
      <c r="I455" s="0"/>
      <c r="J455" s="0"/>
      <c r="K455" s="0"/>
      <c r="L455" s="0"/>
      <c r="M455" s="0"/>
      <c r="N455" s="0"/>
      <c r="O455" s="0"/>
      <c r="P455" s="0"/>
      <c r="Q455" s="0"/>
      <c r="R455" s="0"/>
      <c r="S455" s="0"/>
      <c r="T455" s="0"/>
      <c r="U455" s="0"/>
      <c r="V455" s="0"/>
      <c r="W455" s="0"/>
      <c r="X455" s="0"/>
      <c r="Y455" s="0"/>
      <c r="Z455" s="0"/>
      <c r="AA455" s="0"/>
      <c r="AB455" s="0"/>
      <c r="AC455" s="0"/>
      <c r="AD455" s="0"/>
      <c r="AE455" s="0"/>
      <c r="AF455" s="0"/>
      <c r="AG455" s="0"/>
    </row>
    <row r="456" customFormat="false" ht="12.75" hidden="false" customHeight="false" outlineLevel="0" collapsed="false">
      <c r="A456" s="9" t="s">
        <v>3</v>
      </c>
      <c r="B456" s="10" t="n">
        <v>50240.2494396539</v>
      </c>
      <c r="C456" s="5"/>
      <c r="D456" s="0"/>
      <c r="E456" s="0"/>
      <c r="F456" s="0"/>
      <c r="G456" s="0"/>
      <c r="H456" s="0"/>
      <c r="I456" s="0"/>
      <c r="J456" s="0"/>
      <c r="K456" s="0"/>
      <c r="L456" s="0"/>
      <c r="M456" s="0"/>
      <c r="N456" s="0"/>
      <c r="O456" s="0"/>
      <c r="P456" s="0"/>
      <c r="Q456" s="0"/>
      <c r="R456" s="0"/>
      <c r="S456" s="0"/>
      <c r="T456" s="0"/>
      <c r="U456" s="0"/>
      <c r="V456" s="0"/>
      <c r="W456" s="0"/>
      <c r="X456" s="0"/>
      <c r="Y456" s="0"/>
      <c r="Z456" s="0"/>
      <c r="AA456" s="0"/>
      <c r="AB456" s="0"/>
      <c r="AC456" s="0"/>
      <c r="AD456" s="0"/>
      <c r="AE456" s="0"/>
      <c r="AF456" s="0"/>
      <c r="AG456" s="0"/>
    </row>
    <row r="457" customFormat="false" ht="12.75" hidden="false" customHeight="false" outlineLevel="0" collapsed="false">
      <c r="A457" s="11" t="s">
        <v>4</v>
      </c>
      <c r="B457" s="12" t="s">
        <v>5</v>
      </c>
      <c r="C457" s="12" t="s">
        <v>6</v>
      </c>
      <c r="D457" s="13" t="n">
        <v>1999</v>
      </c>
      <c r="E457" s="14" t="n">
        <v>2000</v>
      </c>
      <c r="F457" s="14" t="n">
        <v>2001</v>
      </c>
      <c r="G457" s="14" t="n">
        <v>2002</v>
      </c>
      <c r="H457" s="14" t="n">
        <v>2003</v>
      </c>
      <c r="I457" s="14" t="n">
        <v>2004</v>
      </c>
      <c r="J457" s="14" t="n">
        <v>2005</v>
      </c>
      <c r="K457" s="14" t="n">
        <v>2006</v>
      </c>
      <c r="L457" s="14" t="n">
        <v>2007</v>
      </c>
      <c r="M457" s="14" t="n">
        <v>2008</v>
      </c>
      <c r="N457" s="14" t="n">
        <v>2009</v>
      </c>
      <c r="O457" s="15" t="n">
        <v>2010</v>
      </c>
      <c r="P457" s="16" t="n">
        <v>2011</v>
      </c>
      <c r="Q457" s="16" t="n">
        <v>2012</v>
      </c>
      <c r="R457" s="16" t="n">
        <v>2013</v>
      </c>
      <c r="S457" s="16" t="n">
        <v>2014</v>
      </c>
      <c r="T457" s="16" t="n">
        <v>2015</v>
      </c>
      <c r="U457" s="16" t="n">
        <v>2016</v>
      </c>
      <c r="V457" s="16" t="n">
        <v>2017</v>
      </c>
      <c r="W457" s="16" t="n">
        <v>2018</v>
      </c>
      <c r="X457" s="16" t="n">
        <v>2019</v>
      </c>
      <c r="Y457" s="0"/>
      <c r="Z457" s="0"/>
      <c r="AA457" s="0"/>
      <c r="AB457" s="0"/>
      <c r="AC457" s="0"/>
      <c r="AD457" s="0"/>
      <c r="AE457" s="0"/>
      <c r="AF457" s="0"/>
      <c r="AG457" s="0"/>
    </row>
    <row r="458" customFormat="false" ht="12.75" hidden="false" customHeight="false" outlineLevel="0" collapsed="false">
      <c r="A458" s="11" t="s">
        <v>7</v>
      </c>
      <c r="B458" s="17" t="n">
        <f aca="false">NPV(0.1,D458:Y458)</f>
        <v>385196.633800791</v>
      </c>
      <c r="C458" s="17" t="n">
        <f aca="false">B458-B448</f>
        <v>-4379.40866617317</v>
      </c>
      <c r="D458" s="18" t="n">
        <v>26898.21696</v>
      </c>
      <c r="E458" s="19" t="n">
        <v>40079.9158149774</v>
      </c>
      <c r="F458" s="19" t="n">
        <v>40673.1613422172</v>
      </c>
      <c r="G458" s="19" t="n">
        <v>40731.6409776837</v>
      </c>
      <c r="H458" s="19" t="n">
        <v>40720.3998154613</v>
      </c>
      <c r="I458" s="19" t="n">
        <v>47935.0278426706</v>
      </c>
      <c r="J458" s="19" t="n">
        <v>48339.3986348649</v>
      </c>
      <c r="K458" s="19" t="n">
        <v>48739.7066983296</v>
      </c>
      <c r="L458" s="19" t="n">
        <v>49708.0129393755</v>
      </c>
      <c r="M458" s="19" t="n">
        <v>50115.5197057928</v>
      </c>
      <c r="N458" s="19" t="n">
        <v>51125.1003370626</v>
      </c>
      <c r="O458" s="20" t="n">
        <v>51539.1979419032</v>
      </c>
      <c r="P458" s="21" t="n">
        <v>52591.4889202563</v>
      </c>
      <c r="Q458" s="21" t="n">
        <v>53011.4687624698</v>
      </c>
      <c r="R458" s="21" t="n">
        <v>53424.1316039851</v>
      </c>
      <c r="S458" s="21" t="n">
        <v>53828.6604429021</v>
      </c>
      <c r="T458" s="21" t="n">
        <v>54224.1958425078</v>
      </c>
      <c r="U458" s="21" t="n">
        <v>54609.8341204882</v>
      </c>
      <c r="V458" s="21" t="n">
        <v>54984.6254676864</v>
      </c>
      <c r="W458" s="21" t="n">
        <v>55347.5719938051</v>
      </c>
      <c r="X458" s="21" t="n">
        <v>23288.9069596357</v>
      </c>
      <c r="Y458" s="0"/>
      <c r="Z458" s="0"/>
      <c r="AA458" s="0"/>
      <c r="AB458" s="0"/>
      <c r="AC458" s="0"/>
      <c r="AD458" s="0"/>
      <c r="AE458" s="0"/>
      <c r="AF458" s="0"/>
      <c r="AG458" s="0"/>
    </row>
    <row r="459" customFormat="false" ht="12.75" hidden="false" customHeight="false" outlineLevel="0" collapsed="false">
      <c r="A459" s="22" t="s">
        <v>8</v>
      </c>
      <c r="B459" s="17" t="n">
        <f aca="false">NPV(0.1,D459:Y459)</f>
        <v>185862.86629136</v>
      </c>
      <c r="C459" s="17" t="n">
        <f aca="false">B459-B449</f>
        <v>-1612.71810878805</v>
      </c>
      <c r="D459" s="18" t="n">
        <v>19203.9425437576</v>
      </c>
      <c r="E459" s="19" t="n">
        <v>21192.8742348934</v>
      </c>
      <c r="F459" s="19" t="n">
        <v>21511.1606147141</v>
      </c>
      <c r="G459" s="19" t="n">
        <v>21595.9401039467</v>
      </c>
      <c r="H459" s="19" t="n">
        <v>17727.375460759</v>
      </c>
      <c r="I459" s="19" t="n">
        <v>21864.5939030663</v>
      </c>
      <c r="J459" s="19" t="n">
        <v>21977.1874706123</v>
      </c>
      <c r="K459" s="19" t="n">
        <v>22088.5177919553</v>
      </c>
      <c r="L459" s="19" t="n">
        <v>22204.1619633385</v>
      </c>
      <c r="M459" s="19" t="n">
        <v>22324.2213535398</v>
      </c>
      <c r="N459" s="19" t="n">
        <v>22443.42306555</v>
      </c>
      <c r="O459" s="20" t="n">
        <v>23349.7193673791</v>
      </c>
      <c r="P459" s="21" t="n">
        <v>23418.6921653482</v>
      </c>
      <c r="Q459" s="21" t="n">
        <v>23476.3358641487</v>
      </c>
      <c r="R459" s="21" t="n">
        <v>23539.1278444469</v>
      </c>
      <c r="S459" s="21" t="n">
        <v>23611.4650794657</v>
      </c>
      <c r="T459" s="21" t="n">
        <v>23661.028597653</v>
      </c>
      <c r="U459" s="21" t="n">
        <v>23699.9871120231</v>
      </c>
      <c r="V459" s="21" t="n">
        <v>23744.7245124104</v>
      </c>
      <c r="W459" s="21" t="n">
        <v>23893.2153707421</v>
      </c>
      <c r="X459" s="21" t="n">
        <v>11836.216539438</v>
      </c>
      <c r="Y459" s="0"/>
      <c r="Z459" s="0"/>
      <c r="AA459" s="0"/>
      <c r="AB459" s="0"/>
      <c r="AC459" s="0"/>
      <c r="AD459" s="0"/>
      <c r="AE459" s="0"/>
      <c r="AF459" s="0"/>
      <c r="AG459" s="0"/>
    </row>
    <row r="460" customFormat="false" ht="12.75" hidden="false" customHeight="false" outlineLevel="0" collapsed="false">
      <c r="A460" s="22" t="s">
        <v>9</v>
      </c>
      <c r="B460" s="17" t="n">
        <f aca="false">NPV(0.1,D460:Y460)</f>
        <v>77087.4378728705</v>
      </c>
      <c r="C460" s="17" t="n">
        <f aca="false">B460-B450</f>
        <v>-1729.78681192511</v>
      </c>
      <c r="D460" s="18" t="n">
        <v>1618.96121812011</v>
      </c>
      <c r="E460" s="19" t="n">
        <v>4221.40427766564</v>
      </c>
      <c r="F460" s="19" t="n">
        <v>4612.09098487306</v>
      </c>
      <c r="G460" s="19" t="n">
        <v>4875.0836862127</v>
      </c>
      <c r="H460" s="19" t="n">
        <v>7467.55468668833</v>
      </c>
      <c r="I460" s="19" t="n">
        <v>9640.55727414478</v>
      </c>
      <c r="J460" s="19" t="n">
        <v>10184.7856905119</v>
      </c>
      <c r="K460" s="19" t="n">
        <v>10610.1597477976</v>
      </c>
      <c r="L460" s="19" t="n">
        <v>11413.2459962937</v>
      </c>
      <c r="M460" s="19" t="n">
        <v>11901.3968979783</v>
      </c>
      <c r="N460" s="19" t="n">
        <v>12796.866538489</v>
      </c>
      <c r="O460" s="20" t="n">
        <v>12872.6196610826</v>
      </c>
      <c r="P460" s="21" t="n">
        <v>13891.8465532325</v>
      </c>
      <c r="Q460" s="21" t="n">
        <v>14574.609233984</v>
      </c>
      <c r="R460" s="21" t="n">
        <v>15293.2360151833</v>
      </c>
      <c r="S460" s="21" t="n">
        <v>16071.4463131335</v>
      </c>
      <c r="T460" s="21" t="n">
        <v>16320.980613369</v>
      </c>
      <c r="U460" s="21" t="n">
        <v>16537.7313018238</v>
      </c>
      <c r="V460" s="21" t="n">
        <v>16744.0872178815</v>
      </c>
      <c r="W460" s="21" t="n">
        <v>16878.1689224256</v>
      </c>
      <c r="X460" s="21" t="n">
        <v>4372.75218115302</v>
      </c>
      <c r="Y460" s="0"/>
      <c r="Z460" s="0"/>
      <c r="AA460" s="0"/>
      <c r="AB460" s="0"/>
      <c r="AC460" s="0"/>
      <c r="AD460" s="0"/>
      <c r="AE460" s="0"/>
      <c r="AF460" s="0"/>
      <c r="AG460" s="0"/>
    </row>
    <row r="461" customFormat="false" ht="12.75" hidden="false" customHeight="false" outlineLevel="0" collapsed="false">
      <c r="A461" s="22" t="s">
        <v>10</v>
      </c>
      <c r="B461" s="17" t="n">
        <f aca="false">NPV(0.1,D461:Y461)</f>
        <v>85926.8012547132</v>
      </c>
      <c r="C461" s="17" t="n">
        <f aca="false">B461-B451</f>
        <v>-1685.62329407636</v>
      </c>
      <c r="D461" s="23" t="n">
        <v>2660.9365689505</v>
      </c>
      <c r="E461" s="24" t="n">
        <v>4071.02331276807</v>
      </c>
      <c r="F461" s="24" t="n">
        <v>6615.96454924487</v>
      </c>
      <c r="G461" s="24" t="n">
        <v>6606.86918315077</v>
      </c>
      <c r="H461" s="24" t="n">
        <v>13968.9790219679</v>
      </c>
      <c r="I461" s="24" t="n">
        <v>11852.7692217549</v>
      </c>
      <c r="J461" s="24" t="n">
        <v>11500.1775900771</v>
      </c>
      <c r="K461" s="24" t="n">
        <v>11410.0930744474</v>
      </c>
      <c r="L461" s="24" t="n">
        <v>11429.3638606594</v>
      </c>
      <c r="M461" s="24" t="n">
        <v>11308.5749522438</v>
      </c>
      <c r="N461" s="24" t="n">
        <v>11288.2749509994</v>
      </c>
      <c r="O461" s="25" t="n">
        <v>11729.7762672496</v>
      </c>
      <c r="P461" s="21" t="n">
        <v>10850.9014656257</v>
      </c>
      <c r="Q461" s="21" t="n">
        <v>10639.0918768435</v>
      </c>
      <c r="R461" s="21" t="n">
        <v>10402.7200458437</v>
      </c>
      <c r="S461" s="21" t="n">
        <v>20546.748102109</v>
      </c>
      <c r="T461" s="21" t="n">
        <v>19011.7880426696</v>
      </c>
      <c r="U461" s="21" t="n">
        <v>19178.3464275995</v>
      </c>
      <c r="V461" s="21" t="n">
        <v>19384.7023436572</v>
      </c>
      <c r="W461" s="21" t="n">
        <v>19616.8303693509</v>
      </c>
      <c r="X461" s="21" t="n">
        <v>7160.43678865302</v>
      </c>
      <c r="Y461" s="0"/>
      <c r="Z461" s="0"/>
      <c r="AA461" s="0"/>
      <c r="AB461" s="0"/>
      <c r="AC461" s="0"/>
      <c r="AD461" s="0"/>
      <c r="AE461" s="0"/>
      <c r="AF461" s="0"/>
      <c r="AG461" s="0"/>
    </row>
    <row r="462" customFormat="false" ht="12.75" hidden="false" customHeight="false" outlineLevel="0" collapsed="false">
      <c r="A462" s="5"/>
      <c r="B462" s="5"/>
      <c r="C462" s="5"/>
      <c r="D462" s="0"/>
      <c r="E462" s="0"/>
      <c r="F462" s="0"/>
      <c r="G462" s="0"/>
      <c r="H462" s="0"/>
      <c r="I462" s="0"/>
      <c r="J462" s="0"/>
      <c r="K462" s="0"/>
      <c r="L462" s="0"/>
      <c r="M462" s="0"/>
      <c r="N462" s="0"/>
      <c r="O462" s="0"/>
      <c r="P462" s="0"/>
      <c r="Q462" s="0"/>
      <c r="R462" s="0"/>
      <c r="S462" s="0"/>
      <c r="T462" s="0"/>
      <c r="U462" s="0"/>
      <c r="V462" s="0"/>
      <c r="W462" s="0"/>
      <c r="X462" s="0"/>
      <c r="Y462" s="0"/>
      <c r="Z462" s="0"/>
      <c r="AA462" s="0"/>
      <c r="AB462" s="0"/>
      <c r="AC462" s="0"/>
      <c r="AD462" s="0"/>
      <c r="AE462" s="0"/>
      <c r="AF462" s="0"/>
      <c r="AG462" s="0"/>
    </row>
    <row r="463" customFormat="false" ht="12.75" hidden="false" customHeight="false" outlineLevel="0" collapsed="false">
      <c r="A463" s="26" t="s">
        <v>58</v>
      </c>
      <c r="B463" s="5"/>
      <c r="C463" s="5"/>
      <c r="D463" s="0"/>
      <c r="E463" s="0"/>
      <c r="F463" s="0"/>
      <c r="G463" s="0"/>
      <c r="H463" s="0"/>
      <c r="I463" s="0"/>
      <c r="J463" s="0"/>
      <c r="K463" s="0"/>
      <c r="L463" s="0"/>
      <c r="M463" s="0"/>
      <c r="N463" s="0"/>
      <c r="O463" s="0"/>
      <c r="P463" s="0"/>
      <c r="Q463" s="0"/>
      <c r="R463" s="0"/>
      <c r="S463" s="0"/>
      <c r="T463" s="0"/>
      <c r="U463" s="0"/>
      <c r="V463" s="0"/>
      <c r="W463" s="0"/>
      <c r="X463" s="0"/>
      <c r="Y463" s="0"/>
      <c r="Z463" s="0"/>
      <c r="AA463" s="0"/>
      <c r="AB463" s="0"/>
      <c r="AC463" s="0"/>
      <c r="AD463" s="0"/>
      <c r="AE463" s="0"/>
      <c r="AF463" s="0"/>
      <c r="AG463" s="0"/>
    </row>
    <row r="464" customFormat="false" ht="12.75" hidden="false" customHeight="false" outlineLevel="0" collapsed="false">
      <c r="A464" s="28" t="n">
        <v>36298</v>
      </c>
      <c r="B464" s="5"/>
      <c r="C464" s="5"/>
      <c r="D464" s="0"/>
      <c r="E464" s="0"/>
      <c r="F464" s="0"/>
      <c r="G464" s="0"/>
      <c r="H464" s="0"/>
      <c r="I464" s="0"/>
      <c r="J464" s="0"/>
      <c r="K464" s="0"/>
      <c r="L464" s="0"/>
      <c r="M464" s="0"/>
      <c r="N464" s="0"/>
      <c r="O464" s="0"/>
      <c r="P464" s="0"/>
      <c r="Q464" s="0"/>
      <c r="R464" s="0"/>
      <c r="S464" s="0"/>
      <c r="T464" s="0"/>
      <c r="U464" s="0"/>
      <c r="V464" s="0"/>
      <c r="W464" s="0"/>
      <c r="X464" s="0"/>
      <c r="Y464" s="0"/>
      <c r="Z464" s="0"/>
      <c r="AA464" s="0"/>
      <c r="AB464" s="0"/>
      <c r="AC464" s="0"/>
      <c r="AD464" s="0"/>
      <c r="AE464" s="0"/>
      <c r="AF464" s="0"/>
      <c r="AG464" s="0"/>
    </row>
    <row r="465" customFormat="false" ht="12.75" hidden="false" customHeight="false" outlineLevel="0" collapsed="false">
      <c r="A465" s="7" t="s">
        <v>2</v>
      </c>
      <c r="B465" s="8" t="n">
        <v>22277.4559051174</v>
      </c>
      <c r="C465" s="5"/>
      <c r="D465" s="0"/>
      <c r="E465" s="0"/>
      <c r="F465" s="0"/>
      <c r="G465" s="0"/>
      <c r="H465" s="0"/>
      <c r="I465" s="0"/>
      <c r="J465" s="0"/>
      <c r="K465" s="0"/>
      <c r="L465" s="0"/>
      <c r="M465" s="0"/>
      <c r="N465" s="0"/>
      <c r="O465" s="0"/>
      <c r="P465" s="0"/>
      <c r="Q465" s="0"/>
      <c r="R465" s="0"/>
      <c r="S465" s="0"/>
      <c r="T465" s="0"/>
      <c r="U465" s="0"/>
      <c r="V465" s="0"/>
      <c r="W465" s="0"/>
      <c r="X465" s="0"/>
      <c r="Y465" s="0"/>
      <c r="Z465" s="0"/>
      <c r="AA465" s="0"/>
      <c r="AB465" s="0"/>
      <c r="AC465" s="0"/>
      <c r="AD465" s="0"/>
      <c r="AE465" s="0"/>
      <c r="AF465" s="0"/>
      <c r="AG465" s="0"/>
    </row>
    <row r="466" customFormat="false" ht="12.75" hidden="false" customHeight="false" outlineLevel="0" collapsed="false">
      <c r="A466" s="9" t="s">
        <v>3</v>
      </c>
      <c r="B466" s="10" t="n">
        <v>49866.3925635606</v>
      </c>
      <c r="C466" s="5"/>
      <c r="D466" s="0"/>
      <c r="E466" s="0"/>
      <c r="F466" s="0"/>
      <c r="G466" s="0"/>
      <c r="H466" s="0"/>
      <c r="I466" s="0"/>
      <c r="J466" s="0"/>
      <c r="K466" s="0"/>
      <c r="L466" s="0"/>
      <c r="M466" s="0"/>
      <c r="N466" s="0"/>
      <c r="O466" s="0"/>
      <c r="P466" s="0"/>
      <c r="Q466" s="0"/>
      <c r="R466" s="0"/>
      <c r="S466" s="0"/>
      <c r="T466" s="0"/>
      <c r="U466" s="0"/>
      <c r="V466" s="0"/>
      <c r="W466" s="0"/>
      <c r="X466" s="0"/>
      <c r="Y466" s="0"/>
      <c r="Z466" s="0"/>
      <c r="AA466" s="0"/>
      <c r="AB466" s="0"/>
      <c r="AC466" s="0"/>
      <c r="AD466" s="0"/>
      <c r="AE466" s="0"/>
      <c r="AF466" s="0"/>
      <c r="AG466" s="0"/>
    </row>
    <row r="467" customFormat="false" ht="12.75" hidden="false" customHeight="false" outlineLevel="0" collapsed="false">
      <c r="A467" s="11" t="s">
        <v>4</v>
      </c>
      <c r="B467" s="12" t="s">
        <v>5</v>
      </c>
      <c r="C467" s="12" t="s">
        <v>6</v>
      </c>
      <c r="D467" s="13" t="n">
        <v>1999</v>
      </c>
      <c r="E467" s="14" t="n">
        <v>2000</v>
      </c>
      <c r="F467" s="14" t="n">
        <v>2001</v>
      </c>
      <c r="G467" s="14" t="n">
        <v>2002</v>
      </c>
      <c r="H467" s="14" t="n">
        <v>2003</v>
      </c>
      <c r="I467" s="14" t="n">
        <v>2004</v>
      </c>
      <c r="J467" s="14" t="n">
        <v>2005</v>
      </c>
      <c r="K467" s="14" t="n">
        <v>2006</v>
      </c>
      <c r="L467" s="14" t="n">
        <v>2007</v>
      </c>
      <c r="M467" s="14" t="n">
        <v>2008</v>
      </c>
      <c r="N467" s="14" t="n">
        <v>2009</v>
      </c>
      <c r="O467" s="15" t="n">
        <v>2010</v>
      </c>
      <c r="P467" s="16" t="n">
        <v>2011</v>
      </c>
      <c r="Q467" s="16" t="n">
        <v>2012</v>
      </c>
      <c r="R467" s="16" t="n">
        <v>2013</v>
      </c>
      <c r="S467" s="16" t="n">
        <v>2014</v>
      </c>
      <c r="T467" s="16" t="n">
        <v>2015</v>
      </c>
      <c r="U467" s="16" t="n">
        <v>2016</v>
      </c>
      <c r="V467" s="16" t="n">
        <v>2017</v>
      </c>
      <c r="W467" s="16" t="n">
        <v>2018</v>
      </c>
      <c r="X467" s="16" t="n">
        <v>2019</v>
      </c>
      <c r="Y467" s="0"/>
      <c r="Z467" s="0"/>
      <c r="AA467" s="0"/>
      <c r="AB467" s="0"/>
      <c r="AC467" s="0"/>
      <c r="AD467" s="0"/>
      <c r="AE467" s="0"/>
      <c r="AF467" s="0"/>
      <c r="AG467" s="0"/>
    </row>
    <row r="468" customFormat="false" ht="12.75" hidden="false" customHeight="false" outlineLevel="0" collapsed="false">
      <c r="A468" s="11" t="s">
        <v>7</v>
      </c>
      <c r="B468" s="17" t="n">
        <f aca="false">NPV(0.1,D468:Y468)</f>
        <v>385196.633800791</v>
      </c>
      <c r="C468" s="17" t="n">
        <f aca="false">B468-B458</f>
        <v>0</v>
      </c>
      <c r="D468" s="18" t="n">
        <v>26898.21696</v>
      </c>
      <c r="E468" s="19" t="n">
        <v>40079.9158149774</v>
      </c>
      <c r="F468" s="19" t="n">
        <v>40673.1613422172</v>
      </c>
      <c r="G468" s="19" t="n">
        <v>40731.6409776837</v>
      </c>
      <c r="H468" s="19" t="n">
        <v>40720.3998154613</v>
      </c>
      <c r="I468" s="19" t="n">
        <v>47935.0278426706</v>
      </c>
      <c r="J468" s="19" t="n">
        <v>48339.3986348649</v>
      </c>
      <c r="K468" s="19" t="n">
        <v>48739.7066983296</v>
      </c>
      <c r="L468" s="19" t="n">
        <v>49708.0129393755</v>
      </c>
      <c r="M468" s="19" t="n">
        <v>50115.5197057928</v>
      </c>
      <c r="N468" s="19" t="n">
        <v>51125.1003370626</v>
      </c>
      <c r="O468" s="20" t="n">
        <v>51539.1979419032</v>
      </c>
      <c r="P468" s="21" t="n">
        <v>52591.4889202563</v>
      </c>
      <c r="Q468" s="21" t="n">
        <v>53011.4687624698</v>
      </c>
      <c r="R468" s="21" t="n">
        <v>53424.1316039851</v>
      </c>
      <c r="S468" s="21" t="n">
        <v>53828.6604429021</v>
      </c>
      <c r="T468" s="21" t="n">
        <v>54224.1958425078</v>
      </c>
      <c r="U468" s="21" t="n">
        <v>54609.8341204882</v>
      </c>
      <c r="V468" s="21" t="n">
        <v>54984.6254676864</v>
      </c>
      <c r="W468" s="21" t="n">
        <v>55347.5719938051</v>
      </c>
      <c r="X468" s="21" t="n">
        <v>23288.9069596357</v>
      </c>
      <c r="Y468" s="0"/>
      <c r="Z468" s="0"/>
      <c r="AA468" s="0"/>
      <c r="AB468" s="0"/>
      <c r="AC468" s="0"/>
      <c r="AD468" s="0"/>
      <c r="AE468" s="0"/>
      <c r="AF468" s="0"/>
      <c r="AG468" s="0"/>
    </row>
    <row r="469" customFormat="false" ht="12.75" hidden="false" customHeight="false" outlineLevel="0" collapsed="false">
      <c r="A469" s="22" t="s">
        <v>8</v>
      </c>
      <c r="B469" s="17" t="n">
        <f aca="false">NPV(0.1,D469:Y469)</f>
        <v>185852.049155978</v>
      </c>
      <c r="C469" s="17" t="n">
        <f aca="false">B469-B459</f>
        <v>-10.8171353824437</v>
      </c>
      <c r="D469" s="18" t="n">
        <v>19204.8940262802</v>
      </c>
      <c r="E469" s="19" t="n">
        <v>21191.8103490266</v>
      </c>
      <c r="F469" s="19" t="n">
        <v>21510.1187308037</v>
      </c>
      <c r="G469" s="19" t="n">
        <v>21594.9202235982</v>
      </c>
      <c r="H469" s="19" t="n">
        <v>17726.2408582533</v>
      </c>
      <c r="I469" s="19" t="n">
        <v>21863.4590771085</v>
      </c>
      <c r="J469" s="19" t="n">
        <v>21976.0536301854</v>
      </c>
      <c r="K469" s="19" t="n">
        <v>22087.4050723871</v>
      </c>
      <c r="L469" s="19" t="n">
        <v>22203.070401265</v>
      </c>
      <c r="M469" s="19" t="n">
        <v>22323.150912325</v>
      </c>
      <c r="N469" s="19" t="n">
        <v>22442.3939537935</v>
      </c>
      <c r="O469" s="20" t="n">
        <v>23345.8267856723</v>
      </c>
      <c r="P469" s="21" t="n">
        <v>23415.0628047004</v>
      </c>
      <c r="Q469" s="21" t="n">
        <v>23473.0302038151</v>
      </c>
      <c r="R469" s="21" t="n">
        <v>23536.1459210634</v>
      </c>
      <c r="S469" s="21" t="n">
        <v>23608.817700608</v>
      </c>
      <c r="T469" s="21" t="n">
        <v>23658.8476026792</v>
      </c>
      <c r="U469" s="21" t="n">
        <v>23698.3330168241</v>
      </c>
      <c r="V469" s="21" t="n">
        <v>23743.5973169863</v>
      </c>
      <c r="W469" s="21" t="n">
        <v>23892.2519797464</v>
      </c>
      <c r="X469" s="21" t="n">
        <v>11835.2354051972</v>
      </c>
      <c r="Y469" s="0"/>
      <c r="Z469" s="0"/>
      <c r="AA469" s="0"/>
      <c r="AB469" s="0"/>
      <c r="AC469" s="0"/>
      <c r="AD469" s="0"/>
      <c r="AE469" s="0"/>
      <c r="AF469" s="0"/>
      <c r="AG469" s="0"/>
    </row>
    <row r="470" customFormat="false" ht="12.75" hidden="false" customHeight="false" outlineLevel="0" collapsed="false">
      <c r="A470" s="22" t="s">
        <v>9</v>
      </c>
      <c r="B470" s="17" t="n">
        <f aca="false">NPV(0.1,D470:Y470)</f>
        <v>77034.931911064</v>
      </c>
      <c r="C470" s="17" t="n">
        <f aca="false">B470-B460</f>
        <v>-52.5059618065134</v>
      </c>
      <c r="D470" s="18" t="n">
        <v>1615.30947805453</v>
      </c>
      <c r="E470" s="19" t="n">
        <v>4214.69490724666</v>
      </c>
      <c r="F470" s="19" t="n">
        <v>4605.38031519011</v>
      </c>
      <c r="G470" s="19" t="n">
        <v>4868.37197970764</v>
      </c>
      <c r="H470" s="19" t="n">
        <v>7460.91999927552</v>
      </c>
      <c r="I470" s="19" t="n">
        <v>9633.9254050501</v>
      </c>
      <c r="J470" s="19" t="n">
        <v>10178.1561025608</v>
      </c>
      <c r="K470" s="19" t="n">
        <v>10603.5200643168</v>
      </c>
      <c r="L470" s="19" t="n">
        <v>11406.5960257997</v>
      </c>
      <c r="M470" s="19" t="n">
        <v>11894.7364805885</v>
      </c>
      <c r="N470" s="19" t="n">
        <v>12790.1828427208</v>
      </c>
      <c r="O470" s="20" t="n">
        <v>12867.7282102469</v>
      </c>
      <c r="P470" s="21" t="n">
        <v>13886.8492196375</v>
      </c>
      <c r="Q470" s="21" t="n">
        <v>14569.4676986557</v>
      </c>
      <c r="R470" s="21" t="n">
        <v>15287.94851344</v>
      </c>
      <c r="S470" s="21" t="n">
        <v>16066.0042060337</v>
      </c>
      <c r="T470" s="21" t="n">
        <v>16315.2469143203</v>
      </c>
      <c r="U470" s="21" t="n">
        <v>16531.6681751565</v>
      </c>
      <c r="V470" s="21" t="n">
        <v>16737.6946635955</v>
      </c>
      <c r="W470" s="21" t="n">
        <v>16871.6739545398</v>
      </c>
      <c r="X470" s="21" t="n">
        <v>4366.2683066766</v>
      </c>
      <c r="Y470" s="0"/>
      <c r="Z470" s="0"/>
      <c r="AA470" s="0"/>
      <c r="AB470" s="0"/>
      <c r="AC470" s="0"/>
      <c r="AD470" s="0"/>
      <c r="AE470" s="0"/>
      <c r="AF470" s="0"/>
      <c r="AG470" s="0"/>
    </row>
    <row r="471" customFormat="false" ht="12.75" hidden="false" customHeight="false" outlineLevel="0" collapsed="false">
      <c r="A471" s="22" t="s">
        <v>10</v>
      </c>
      <c r="B471" s="17" t="n">
        <f aca="false">NPV(0.1,D471:Y471)</f>
        <v>85997.3833186554</v>
      </c>
      <c r="C471" s="17" t="n">
        <f aca="false">B471-B461</f>
        <v>70.5820639421581</v>
      </c>
      <c r="D471" s="23" t="n">
        <v>2660.60751457811</v>
      </c>
      <c r="E471" s="24" t="n">
        <v>4069.38921048367</v>
      </c>
      <c r="F471" s="24" t="n">
        <v>6616.36531247055</v>
      </c>
      <c r="G471" s="24" t="n">
        <v>6607.26233681127</v>
      </c>
      <c r="H471" s="24" t="n">
        <v>14024.3569905253</v>
      </c>
      <c r="I471" s="24" t="n">
        <v>11862.3460993986</v>
      </c>
      <c r="J471" s="24" t="n">
        <v>11509.268857847</v>
      </c>
      <c r="K471" s="24" t="n">
        <v>11419.2125360576</v>
      </c>
      <c r="L471" s="24" t="n">
        <v>11438.4620810816</v>
      </c>
      <c r="M471" s="24" t="n">
        <v>11317.6813616342</v>
      </c>
      <c r="N471" s="24" t="n">
        <v>11297.376033677</v>
      </c>
      <c r="O471" s="25" t="n">
        <v>11736.6236607209</v>
      </c>
      <c r="P471" s="21" t="n">
        <v>10860.7730597547</v>
      </c>
      <c r="Q471" s="21" t="n">
        <v>10648.9298497708</v>
      </c>
      <c r="R471" s="21" t="n">
        <v>10412.4354919924</v>
      </c>
      <c r="S471" s="21" t="n">
        <v>20553.0903286692</v>
      </c>
      <c r="T471" s="21" t="n">
        <v>19013.6369821009</v>
      </c>
      <c r="U471" s="21" t="n">
        <v>19179.9266069722</v>
      </c>
      <c r="V471" s="21" t="n">
        <v>19385.9530954112</v>
      </c>
      <c r="W471" s="21" t="n">
        <v>19617.614702145</v>
      </c>
      <c r="X471" s="21" t="n">
        <v>7161.0502121766</v>
      </c>
      <c r="Y471" s="0"/>
      <c r="Z471" s="0"/>
      <c r="AA471" s="0"/>
      <c r="AB471" s="0"/>
      <c r="AC471" s="0"/>
      <c r="AD471" s="0"/>
      <c r="AE471" s="0"/>
      <c r="AF471" s="0"/>
      <c r="AG471" s="0"/>
    </row>
    <row r="472" customFormat="false" ht="12.75" hidden="false" customHeight="false" outlineLevel="0" collapsed="false">
      <c r="A472" s="5"/>
      <c r="B472" s="5"/>
      <c r="C472" s="5"/>
      <c r="D472" s="0"/>
      <c r="E472" s="0"/>
      <c r="F472" s="0"/>
      <c r="G472" s="0"/>
      <c r="H472" s="0"/>
      <c r="I472" s="0"/>
      <c r="J472" s="0"/>
      <c r="K472" s="0"/>
      <c r="L472" s="0"/>
      <c r="M472" s="0"/>
      <c r="N472" s="0"/>
      <c r="O472" s="0"/>
      <c r="P472" s="0"/>
      <c r="Q472" s="0"/>
      <c r="R472" s="0"/>
      <c r="S472" s="0"/>
      <c r="T472" s="0"/>
      <c r="U472" s="0"/>
      <c r="V472" s="0"/>
      <c r="W472" s="0"/>
      <c r="X472" s="0"/>
      <c r="Y472" s="0"/>
      <c r="Z472" s="0"/>
      <c r="AA472" s="0"/>
      <c r="AB472" s="0"/>
      <c r="AC472" s="0"/>
      <c r="AD472" s="0"/>
      <c r="AE472" s="0"/>
      <c r="AF472" s="0"/>
      <c r="AG472" s="0"/>
    </row>
    <row r="473" customFormat="false" ht="12.75" hidden="false" customHeight="false" outlineLevel="0" collapsed="false">
      <c r="A473" s="26" t="s">
        <v>59</v>
      </c>
      <c r="B473" s="5"/>
      <c r="C473" s="5"/>
      <c r="D473" s="0"/>
      <c r="E473" s="0"/>
      <c r="F473" s="0"/>
      <c r="G473" s="0"/>
      <c r="H473" s="0"/>
      <c r="I473" s="0"/>
      <c r="J473" s="0"/>
      <c r="K473" s="0"/>
      <c r="L473" s="0"/>
      <c r="M473" s="0"/>
      <c r="N473" s="0"/>
      <c r="O473" s="0"/>
      <c r="P473" s="0"/>
      <c r="Q473" s="0"/>
      <c r="R473" s="0"/>
      <c r="S473" s="0"/>
      <c r="T473" s="0"/>
      <c r="U473" s="0"/>
      <c r="V473" s="0"/>
      <c r="W473" s="0"/>
      <c r="X473" s="0"/>
      <c r="Y473" s="0"/>
      <c r="Z473" s="0"/>
      <c r="AA473" s="0"/>
      <c r="AB473" s="0"/>
      <c r="AC473" s="0"/>
      <c r="AD473" s="0"/>
      <c r="AE473" s="0"/>
      <c r="AF473" s="0"/>
      <c r="AG473" s="0"/>
    </row>
    <row r="474" customFormat="false" ht="12.75" hidden="false" customHeight="false" outlineLevel="0" collapsed="false">
      <c r="A474" s="28" t="n">
        <v>36300</v>
      </c>
      <c r="B474" s="5"/>
      <c r="C474" s="5"/>
      <c r="D474" s="0"/>
      <c r="E474" s="0"/>
      <c r="F474" s="0"/>
      <c r="G474" s="0"/>
      <c r="H474" s="0"/>
      <c r="I474" s="0"/>
      <c r="J474" s="0"/>
      <c r="K474" s="0"/>
      <c r="L474" s="0"/>
      <c r="M474" s="0"/>
      <c r="N474" s="0"/>
      <c r="O474" s="0"/>
      <c r="P474" s="0"/>
      <c r="Q474" s="0"/>
      <c r="R474" s="0"/>
      <c r="S474" s="0"/>
      <c r="T474" s="0"/>
      <c r="U474" s="0"/>
      <c r="V474" s="0"/>
      <c r="W474" s="0"/>
      <c r="X474" s="0"/>
      <c r="Y474" s="0"/>
      <c r="Z474" s="0"/>
      <c r="AA474" s="0"/>
      <c r="AB474" s="0"/>
      <c r="AC474" s="0"/>
      <c r="AD474" s="0"/>
      <c r="AE474" s="0"/>
      <c r="AF474" s="0"/>
      <c r="AG474" s="0"/>
    </row>
    <row r="475" customFormat="false" ht="12.75" hidden="false" customHeight="false" outlineLevel="0" collapsed="false">
      <c r="A475" s="7" t="s">
        <v>2</v>
      </c>
      <c r="B475" s="8" t="n">
        <v>22490.0337358742</v>
      </c>
      <c r="C475" s="5"/>
      <c r="D475" s="0"/>
      <c r="E475" s="0"/>
      <c r="F475" s="0"/>
      <c r="G475" s="0"/>
      <c r="H475" s="0"/>
      <c r="I475" s="0"/>
      <c r="J475" s="0"/>
      <c r="K475" s="0"/>
      <c r="L475" s="0"/>
      <c r="M475" s="0"/>
      <c r="N475" s="0"/>
      <c r="O475" s="0"/>
      <c r="P475" s="0"/>
      <c r="Q475" s="0"/>
      <c r="R475" s="0"/>
      <c r="S475" s="0"/>
      <c r="T475" s="0"/>
      <c r="U475" s="0"/>
      <c r="V475" s="0"/>
      <c r="W475" s="0"/>
      <c r="X475" s="0"/>
      <c r="Y475" s="0"/>
      <c r="Z475" s="0"/>
      <c r="AA475" s="0"/>
      <c r="AB475" s="0"/>
      <c r="AC475" s="0"/>
      <c r="AD475" s="0"/>
      <c r="AE475" s="0"/>
      <c r="AF475" s="0"/>
      <c r="AG475" s="0"/>
    </row>
    <row r="476" customFormat="false" ht="12.75" hidden="false" customHeight="false" outlineLevel="0" collapsed="false">
      <c r="A476" s="9" t="s">
        <v>3</v>
      </c>
      <c r="B476" s="10" t="n">
        <v>50155.7003301692</v>
      </c>
      <c r="C476" s="5"/>
      <c r="D476" s="0"/>
      <c r="E476" s="0"/>
      <c r="F476" s="0"/>
      <c r="G476" s="0"/>
      <c r="H476" s="0"/>
      <c r="I476" s="0"/>
      <c r="J476" s="0"/>
      <c r="K476" s="0"/>
      <c r="L476" s="0"/>
      <c r="M476" s="0"/>
      <c r="N476" s="0"/>
      <c r="O476" s="0"/>
      <c r="P476" s="0"/>
      <c r="Q476" s="0"/>
      <c r="R476" s="0"/>
      <c r="S476" s="0"/>
      <c r="T476" s="0"/>
      <c r="U476" s="0"/>
      <c r="V476" s="0"/>
      <c r="W476" s="0"/>
      <c r="X476" s="0"/>
      <c r="Y476" s="0"/>
      <c r="Z476" s="0"/>
      <c r="AA476" s="0"/>
      <c r="AB476" s="0"/>
      <c r="AC476" s="0"/>
      <c r="AD476" s="0"/>
      <c r="AE476" s="0"/>
      <c r="AF476" s="0"/>
      <c r="AG476" s="0"/>
    </row>
    <row r="477" customFormat="false" ht="12.75" hidden="false" customHeight="false" outlineLevel="0" collapsed="false">
      <c r="A477" s="11" t="s">
        <v>4</v>
      </c>
      <c r="B477" s="12" t="s">
        <v>5</v>
      </c>
      <c r="C477" s="12" t="s">
        <v>6</v>
      </c>
      <c r="D477" s="13" t="n">
        <v>1999</v>
      </c>
      <c r="E477" s="14" t="n">
        <v>2000</v>
      </c>
      <c r="F477" s="14" t="n">
        <v>2001</v>
      </c>
      <c r="G477" s="14" t="n">
        <v>2002</v>
      </c>
      <c r="H477" s="14" t="n">
        <v>2003</v>
      </c>
      <c r="I477" s="14" t="n">
        <v>2004</v>
      </c>
      <c r="J477" s="14" t="n">
        <v>2005</v>
      </c>
      <c r="K477" s="14" t="n">
        <v>2006</v>
      </c>
      <c r="L477" s="14" t="n">
        <v>2007</v>
      </c>
      <c r="M477" s="14" t="n">
        <v>2008</v>
      </c>
      <c r="N477" s="14" t="n">
        <v>2009</v>
      </c>
      <c r="O477" s="15" t="n">
        <v>2010</v>
      </c>
      <c r="P477" s="16" t="n">
        <v>2011</v>
      </c>
      <c r="Q477" s="16" t="n">
        <v>2012</v>
      </c>
      <c r="R477" s="16" t="n">
        <v>2013</v>
      </c>
      <c r="S477" s="16" t="n">
        <v>2014</v>
      </c>
      <c r="T477" s="16" t="n">
        <v>2015</v>
      </c>
      <c r="U477" s="16" t="n">
        <v>2016</v>
      </c>
      <c r="V477" s="16" t="n">
        <v>2017</v>
      </c>
      <c r="W477" s="16" t="n">
        <v>2018</v>
      </c>
      <c r="X477" s="16" t="n">
        <v>2019</v>
      </c>
      <c r="Y477" s="0"/>
      <c r="Z477" s="0"/>
      <c r="AA477" s="0"/>
      <c r="AB477" s="0"/>
      <c r="AC477" s="0"/>
      <c r="AD477" s="0"/>
      <c r="AE477" s="0"/>
      <c r="AF477" s="0"/>
      <c r="AG477" s="0"/>
    </row>
    <row r="478" customFormat="false" ht="12.75" hidden="false" customHeight="false" outlineLevel="0" collapsed="false">
      <c r="A478" s="11" t="s">
        <v>7</v>
      </c>
      <c r="B478" s="17" t="n">
        <f aca="false">NPV(0.1,D478:Y478)</f>
        <v>385196.633800791</v>
      </c>
      <c r="C478" s="17" t="n">
        <f aca="false">B478-B468</f>
        <v>0</v>
      </c>
      <c r="D478" s="18" t="n">
        <v>26898.21696</v>
      </c>
      <c r="E478" s="19" t="n">
        <v>40079.9158149774</v>
      </c>
      <c r="F478" s="19" t="n">
        <v>40673.1613422172</v>
      </c>
      <c r="G478" s="19" t="n">
        <v>40731.6409776837</v>
      </c>
      <c r="H478" s="19" t="n">
        <v>40720.3998154613</v>
      </c>
      <c r="I478" s="19" t="n">
        <v>47935.0278426706</v>
      </c>
      <c r="J478" s="19" t="n">
        <v>48339.3986348649</v>
      </c>
      <c r="K478" s="19" t="n">
        <v>48739.7066983296</v>
      </c>
      <c r="L478" s="19" t="n">
        <v>49708.0129393755</v>
      </c>
      <c r="M478" s="19" t="n">
        <v>50115.5197057928</v>
      </c>
      <c r="N478" s="19" t="n">
        <v>51125.1003370626</v>
      </c>
      <c r="O478" s="20" t="n">
        <v>51539.1979419032</v>
      </c>
      <c r="P478" s="21" t="n">
        <v>52591.4889202563</v>
      </c>
      <c r="Q478" s="21" t="n">
        <v>53011.4687624698</v>
      </c>
      <c r="R478" s="21" t="n">
        <v>53424.1316039851</v>
      </c>
      <c r="S478" s="21" t="n">
        <v>53828.6604429021</v>
      </c>
      <c r="T478" s="21" t="n">
        <v>54224.1958425078</v>
      </c>
      <c r="U478" s="21" t="n">
        <v>54609.8341204882</v>
      </c>
      <c r="V478" s="21" t="n">
        <v>54984.6254676864</v>
      </c>
      <c r="W478" s="21" t="n">
        <v>55347.5719938051</v>
      </c>
      <c r="X478" s="21" t="n">
        <v>23288.9069596357</v>
      </c>
      <c r="Y478" s="0"/>
      <c r="Z478" s="0"/>
      <c r="AA478" s="0"/>
      <c r="AB478" s="0"/>
      <c r="AC478" s="0"/>
      <c r="AD478" s="0"/>
      <c r="AE478" s="0"/>
      <c r="AF478" s="0"/>
      <c r="AG478" s="0"/>
    </row>
    <row r="479" customFormat="false" ht="12.75" hidden="false" customHeight="false" outlineLevel="0" collapsed="false">
      <c r="A479" s="22" t="s">
        <v>8</v>
      </c>
      <c r="B479" s="17" t="n">
        <f aca="false">NPV(0.1,D479:Y479)</f>
        <v>185560.234397541</v>
      </c>
      <c r="C479" s="17" t="n">
        <f aca="false">B479-B469</f>
        <v>-291.814758436987</v>
      </c>
      <c r="D479" s="18" t="n">
        <v>19204.8975242813</v>
      </c>
      <c r="E479" s="19" t="n">
        <v>21191.8225168887</v>
      </c>
      <c r="F479" s="19" t="n">
        <v>21510.1402491823</v>
      </c>
      <c r="G479" s="19" t="n">
        <v>21594.9518263706</v>
      </c>
      <c r="H479" s="19" t="n">
        <v>17698.6977741865</v>
      </c>
      <c r="I479" s="19" t="n">
        <v>21814.825860099</v>
      </c>
      <c r="J479" s="19" t="n">
        <v>21925.9614166657</v>
      </c>
      <c r="K479" s="19" t="n">
        <v>22035.8100924618</v>
      </c>
      <c r="L479" s="19" t="n">
        <v>22149.9275719419</v>
      </c>
      <c r="M479" s="19" t="n">
        <v>22268.4137981222</v>
      </c>
      <c r="N479" s="19" t="n">
        <v>22386.0147261647</v>
      </c>
      <c r="O479" s="20" t="n">
        <v>23287.7561812145</v>
      </c>
      <c r="P479" s="21" t="n">
        <v>23355.2500821089</v>
      </c>
      <c r="Q479" s="21" t="n">
        <v>23411.423099546</v>
      </c>
      <c r="R479" s="21" t="n">
        <v>23472.6906036662</v>
      </c>
      <c r="S479" s="21" t="n">
        <v>23543.4587236889</v>
      </c>
      <c r="T479" s="21" t="n">
        <v>23591.5278564524</v>
      </c>
      <c r="U479" s="21" t="n">
        <v>23628.9936782106</v>
      </c>
      <c r="V479" s="21" t="n">
        <v>23672.1777982144</v>
      </c>
      <c r="W479" s="21" t="n">
        <v>23818.6898754113</v>
      </c>
      <c r="X479" s="21" t="n">
        <v>11803.6650020867</v>
      </c>
      <c r="Y479" s="0"/>
      <c r="Z479" s="0"/>
      <c r="AA479" s="0"/>
      <c r="AB479" s="0"/>
      <c r="AC479" s="0"/>
      <c r="AD479" s="0"/>
      <c r="AE479" s="0"/>
      <c r="AF479" s="0"/>
      <c r="AG479" s="0"/>
    </row>
    <row r="480" customFormat="false" ht="12.75" hidden="false" customHeight="false" outlineLevel="0" collapsed="false">
      <c r="A480" s="22" t="s">
        <v>9</v>
      </c>
      <c r="B480" s="17" t="n">
        <f aca="false">NPV(0.1,D480:Y480)</f>
        <v>77177.3809933782</v>
      </c>
      <c r="C480" s="17" t="n">
        <f aca="false">B480-B470</f>
        <v>142.44908231427</v>
      </c>
      <c r="D480" s="18" t="n">
        <v>1613.05063808579</v>
      </c>
      <c r="E480" s="19" t="n">
        <v>4209.09633037972</v>
      </c>
      <c r="F480" s="19" t="n">
        <v>4599.34220387933</v>
      </c>
      <c r="G480" s="19" t="n">
        <v>4861.85996595354</v>
      </c>
      <c r="H480" s="19" t="n">
        <v>7470.91834798124</v>
      </c>
      <c r="I480" s="19" t="n">
        <v>9657.07618334184</v>
      </c>
      <c r="J480" s="19" t="n">
        <v>10202.5996155266</v>
      </c>
      <c r="K480" s="19" t="n">
        <v>10629.342950903</v>
      </c>
      <c r="L480" s="19" t="n">
        <v>11433.8913526734</v>
      </c>
      <c r="M480" s="19" t="n">
        <v>11923.6042412534</v>
      </c>
      <c r="N480" s="19" t="n">
        <v>12820.7304961095</v>
      </c>
      <c r="O480" s="20" t="n">
        <v>12900.0712619335</v>
      </c>
      <c r="P480" s="21" t="n">
        <v>13921.1118490665</v>
      </c>
      <c r="Q480" s="21" t="n">
        <v>14605.7834360548</v>
      </c>
      <c r="R480" s="21" t="n">
        <v>15326.4609703753</v>
      </c>
      <c r="S480" s="21" t="n">
        <v>16106.8678638844</v>
      </c>
      <c r="T480" s="21" t="n">
        <v>16357.3364819065</v>
      </c>
      <c r="U480" s="21" t="n">
        <v>16575.0204297703</v>
      </c>
      <c r="V480" s="21" t="n">
        <v>16782.3474858477</v>
      </c>
      <c r="W480" s="21" t="n">
        <v>16917.6663614596</v>
      </c>
      <c r="X480" s="21" t="n">
        <v>4386.00671464634</v>
      </c>
      <c r="Y480" s="0"/>
      <c r="Z480" s="0"/>
      <c r="AA480" s="0"/>
      <c r="AB480" s="0"/>
      <c r="AC480" s="0"/>
      <c r="AD480" s="0"/>
      <c r="AE480" s="0"/>
      <c r="AF480" s="0"/>
      <c r="AG480" s="0"/>
    </row>
    <row r="481" customFormat="false" ht="12.75" hidden="false" customHeight="false" outlineLevel="0" collapsed="false">
      <c r="A481" s="22" t="s">
        <v>10</v>
      </c>
      <c r="B481" s="17" t="n">
        <f aca="false">NPV(0.1,D481:Y481)</f>
        <v>86112.7986398331</v>
      </c>
      <c r="C481" s="17" t="n">
        <f aca="false">B481-B471</f>
        <v>115.415321177687</v>
      </c>
      <c r="D481" s="23" t="n">
        <v>2660.60630485271</v>
      </c>
      <c r="E481" s="24" t="n">
        <v>4069.38500243136</v>
      </c>
      <c r="F481" s="24" t="n">
        <v>6616.35787069796</v>
      </c>
      <c r="G481" s="24" t="n">
        <v>6607.25140751917</v>
      </c>
      <c r="H481" s="24" t="n">
        <v>14047.6749293494</v>
      </c>
      <c r="I481" s="24" t="n">
        <v>11877.7935841746</v>
      </c>
      <c r="J481" s="24" t="n">
        <v>11524.8092152118</v>
      </c>
      <c r="K481" s="24" t="n">
        <v>11434.8189080324</v>
      </c>
      <c r="L481" s="24" t="n">
        <v>11454.1044324158</v>
      </c>
      <c r="M481" s="24" t="n">
        <v>11333.3261947646</v>
      </c>
      <c r="N481" s="24" t="n">
        <v>11312.986079958</v>
      </c>
      <c r="O481" s="25" t="n">
        <v>11752.1575459997</v>
      </c>
      <c r="P481" s="21" t="n">
        <v>10876.1849422098</v>
      </c>
      <c r="Q481" s="21" t="n">
        <v>10664.169027767</v>
      </c>
      <c r="R481" s="21" t="n">
        <v>10427.4459795213</v>
      </c>
      <c r="S481" s="21" t="n">
        <v>20593.9539865198</v>
      </c>
      <c r="T481" s="21" t="n">
        <v>19055.7265496872</v>
      </c>
      <c r="U481" s="21" t="n">
        <v>19223.278861586</v>
      </c>
      <c r="V481" s="21" t="n">
        <v>19430.6059176634</v>
      </c>
      <c r="W481" s="21" t="n">
        <v>19663.6071090648</v>
      </c>
      <c r="X481" s="21" t="n">
        <v>7180.78862014634</v>
      </c>
      <c r="Y481" s="0"/>
      <c r="Z481" s="0"/>
      <c r="AA481" s="0"/>
      <c r="AB481" s="0"/>
      <c r="AC481" s="0"/>
      <c r="AD481" s="0"/>
      <c r="AE481" s="0"/>
      <c r="AF481" s="0"/>
      <c r="AG481" s="0"/>
    </row>
    <row r="482" customFormat="false" ht="12.75" hidden="false" customHeight="false" outlineLevel="0" collapsed="false">
      <c r="A482" s="5"/>
      <c r="B482" s="5"/>
      <c r="C482" s="5"/>
      <c r="D482" s="0"/>
      <c r="E482" s="0"/>
      <c r="F482" s="0"/>
      <c r="G482" s="0"/>
      <c r="H482" s="0"/>
      <c r="I482" s="0"/>
      <c r="J482" s="0"/>
      <c r="K482" s="0"/>
      <c r="L482" s="0"/>
      <c r="M482" s="0"/>
      <c r="N482" s="0"/>
      <c r="O482" s="0"/>
      <c r="P482" s="0"/>
      <c r="Q482" s="0"/>
      <c r="R482" s="0"/>
      <c r="S482" s="0"/>
      <c r="T482" s="0"/>
      <c r="U482" s="0"/>
      <c r="V482" s="0"/>
      <c r="W482" s="0"/>
      <c r="X482" s="0"/>
      <c r="Y482" s="0"/>
      <c r="Z482" s="0"/>
      <c r="AA482" s="0"/>
      <c r="AB482" s="0"/>
      <c r="AC482" s="0"/>
      <c r="AD482" s="0"/>
      <c r="AE482" s="0"/>
      <c r="AF482" s="0"/>
      <c r="AG482" s="0"/>
    </row>
    <row r="483" customFormat="false" ht="12.75" hidden="false" customHeight="false" outlineLevel="0" collapsed="false">
      <c r="A483" s="26" t="s">
        <v>60</v>
      </c>
      <c r="B483" s="5"/>
      <c r="C483" s="5"/>
      <c r="D483" s="0"/>
      <c r="E483" s="0"/>
      <c r="F483" s="0"/>
      <c r="G483" s="0"/>
      <c r="H483" s="0"/>
      <c r="I483" s="0"/>
      <c r="J483" s="0"/>
      <c r="K483" s="0"/>
      <c r="L483" s="0"/>
      <c r="M483" s="0"/>
      <c r="N483" s="0"/>
      <c r="O483" s="0"/>
      <c r="P483" s="0"/>
      <c r="Q483" s="0"/>
      <c r="R483" s="0"/>
      <c r="S483" s="0"/>
      <c r="T483" s="0"/>
      <c r="U483" s="0"/>
      <c r="V483" s="0"/>
      <c r="W483" s="0"/>
      <c r="X483" s="0"/>
      <c r="Y483" s="0"/>
      <c r="Z483" s="0"/>
      <c r="AA483" s="0"/>
      <c r="AB483" s="0"/>
      <c r="AC483" s="0"/>
      <c r="AD483" s="0"/>
      <c r="AE483" s="0"/>
      <c r="AF483" s="0"/>
      <c r="AG483" s="0"/>
    </row>
    <row r="484" customFormat="false" ht="12.75" hidden="false" customHeight="false" outlineLevel="0" collapsed="false">
      <c r="A484" s="28" t="n">
        <v>36306</v>
      </c>
      <c r="B484" s="5"/>
      <c r="C484" s="5"/>
      <c r="D484" s="0"/>
      <c r="E484" s="0"/>
      <c r="F484" s="0"/>
      <c r="G484" s="0"/>
      <c r="H484" s="0"/>
      <c r="I484" s="0"/>
      <c r="J484" s="0"/>
      <c r="K484" s="0"/>
      <c r="L484" s="0"/>
      <c r="M484" s="0"/>
      <c r="N484" s="0"/>
      <c r="O484" s="0"/>
      <c r="P484" s="0"/>
      <c r="Q484" s="0"/>
      <c r="R484" s="0"/>
      <c r="S484" s="0"/>
      <c r="T484" s="0"/>
      <c r="U484" s="0"/>
      <c r="V484" s="0"/>
      <c r="W484" s="0"/>
      <c r="X484" s="0"/>
      <c r="Y484" s="0"/>
      <c r="Z484" s="0"/>
      <c r="AA484" s="0"/>
      <c r="AB484" s="0"/>
      <c r="AC484" s="0"/>
      <c r="AD484" s="0"/>
      <c r="AE484" s="0"/>
      <c r="AF484" s="0"/>
      <c r="AG484" s="0"/>
    </row>
    <row r="485" customFormat="false" ht="12.75" hidden="false" customHeight="false" outlineLevel="0" collapsed="false">
      <c r="A485" s="7" t="s">
        <v>2</v>
      </c>
      <c r="B485" s="8" t="n">
        <v>22790.9512960903</v>
      </c>
      <c r="C485" s="5"/>
      <c r="D485" s="0"/>
      <c r="E485" s="0"/>
      <c r="F485" s="0"/>
      <c r="G485" s="0"/>
      <c r="H485" s="0"/>
      <c r="I485" s="0"/>
      <c r="J485" s="0"/>
      <c r="K485" s="0"/>
      <c r="L485" s="0"/>
      <c r="M485" s="0"/>
      <c r="N485" s="0"/>
      <c r="O485" s="0"/>
      <c r="P485" s="0"/>
      <c r="Q485" s="0"/>
      <c r="R485" s="0"/>
      <c r="S485" s="0"/>
      <c r="T485" s="0"/>
      <c r="U485" s="0"/>
      <c r="V485" s="0"/>
      <c r="W485" s="0"/>
      <c r="X485" s="0"/>
      <c r="Y485" s="0"/>
      <c r="Z485" s="0"/>
      <c r="AA485" s="0"/>
      <c r="AB485" s="0"/>
      <c r="AC485" s="0"/>
      <c r="AD485" s="0"/>
      <c r="AE485" s="0"/>
      <c r="AF485" s="0"/>
      <c r="AG485" s="0"/>
    </row>
    <row r="486" customFormat="false" ht="12.75" hidden="false" customHeight="false" outlineLevel="0" collapsed="false">
      <c r="A486" s="9" t="s">
        <v>3</v>
      </c>
      <c r="B486" s="10" t="n">
        <v>50516.1832084359</v>
      </c>
      <c r="C486" s="5"/>
      <c r="D486" s="0"/>
      <c r="E486" s="0"/>
      <c r="F486" s="0"/>
      <c r="G486" s="0"/>
      <c r="H486" s="0"/>
      <c r="I486" s="0"/>
      <c r="J486" s="0"/>
      <c r="K486" s="0"/>
      <c r="L486" s="0"/>
      <c r="M486" s="0"/>
      <c r="N486" s="0"/>
      <c r="O486" s="0"/>
      <c r="P486" s="0"/>
      <c r="Q486" s="0"/>
      <c r="R486" s="0"/>
      <c r="S486" s="0"/>
      <c r="T486" s="0"/>
      <c r="U486" s="0"/>
      <c r="V486" s="0"/>
      <c r="W486" s="0"/>
      <c r="X486" s="0"/>
      <c r="Y486" s="0"/>
      <c r="Z486" s="0"/>
      <c r="AA486" s="0"/>
      <c r="AB486" s="0"/>
      <c r="AC486" s="0"/>
      <c r="AD486" s="0"/>
      <c r="AE486" s="0"/>
      <c r="AF486" s="0"/>
      <c r="AG486" s="0"/>
    </row>
    <row r="487" customFormat="false" ht="12.75" hidden="false" customHeight="false" outlineLevel="0" collapsed="false">
      <c r="A487" s="11" t="s">
        <v>4</v>
      </c>
      <c r="B487" s="12" t="s">
        <v>5</v>
      </c>
      <c r="C487" s="12" t="s">
        <v>6</v>
      </c>
      <c r="D487" s="13" t="n">
        <v>1999</v>
      </c>
      <c r="E487" s="14" t="n">
        <v>2000</v>
      </c>
      <c r="F487" s="14" t="n">
        <v>2001</v>
      </c>
      <c r="G487" s="14" t="n">
        <v>2002</v>
      </c>
      <c r="H487" s="14" t="n">
        <v>2003</v>
      </c>
      <c r="I487" s="14" t="n">
        <v>2004</v>
      </c>
      <c r="J487" s="14" t="n">
        <v>2005</v>
      </c>
      <c r="K487" s="14" t="n">
        <v>2006</v>
      </c>
      <c r="L487" s="14" t="n">
        <v>2007</v>
      </c>
      <c r="M487" s="14" t="n">
        <v>2008</v>
      </c>
      <c r="N487" s="14" t="n">
        <v>2009</v>
      </c>
      <c r="O487" s="15" t="n">
        <v>2010</v>
      </c>
      <c r="P487" s="16" t="n">
        <v>2011</v>
      </c>
      <c r="Q487" s="16" t="n">
        <v>2012</v>
      </c>
      <c r="R487" s="16" t="n">
        <v>2013</v>
      </c>
      <c r="S487" s="16" t="n">
        <v>2014</v>
      </c>
      <c r="T487" s="16" t="n">
        <v>2015</v>
      </c>
      <c r="U487" s="16" t="n">
        <v>2016</v>
      </c>
      <c r="V487" s="16" t="n">
        <v>2017</v>
      </c>
      <c r="W487" s="16" t="n">
        <v>2018</v>
      </c>
      <c r="X487" s="16" t="n">
        <v>2019</v>
      </c>
      <c r="Y487" s="0"/>
      <c r="Z487" s="0"/>
      <c r="AA487" s="0"/>
      <c r="AB487" s="0"/>
      <c r="AC487" s="0"/>
      <c r="AD487" s="0"/>
      <c r="AE487" s="0"/>
      <c r="AF487" s="0"/>
      <c r="AG487" s="0"/>
    </row>
    <row r="488" customFormat="false" ht="12.75" hidden="false" customHeight="false" outlineLevel="0" collapsed="false">
      <c r="A488" s="11" t="s">
        <v>7</v>
      </c>
      <c r="B488" s="17" t="n">
        <f aca="false">NPV(0.1,D488:Y488)</f>
        <v>385196.633800791</v>
      </c>
      <c r="C488" s="17" t="n">
        <f aca="false">B488-B478</f>
        <v>0</v>
      </c>
      <c r="D488" s="18" t="n">
        <v>26898.21696</v>
      </c>
      <c r="E488" s="19" t="n">
        <v>40079.9158149774</v>
      </c>
      <c r="F488" s="19" t="n">
        <v>40673.1613422172</v>
      </c>
      <c r="G488" s="19" t="n">
        <v>40731.6409776837</v>
      </c>
      <c r="H488" s="19" t="n">
        <v>40720.3998154613</v>
      </c>
      <c r="I488" s="19" t="n">
        <v>47935.0278426706</v>
      </c>
      <c r="J488" s="19" t="n">
        <v>48339.3986348649</v>
      </c>
      <c r="K488" s="19" t="n">
        <v>48739.7066983296</v>
      </c>
      <c r="L488" s="19" t="n">
        <v>49708.0129393755</v>
      </c>
      <c r="M488" s="19" t="n">
        <v>50115.5197057928</v>
      </c>
      <c r="N488" s="19" t="n">
        <v>51125.1003370626</v>
      </c>
      <c r="O488" s="20" t="n">
        <v>51539.1979419032</v>
      </c>
      <c r="P488" s="21" t="n">
        <v>52591.4889202563</v>
      </c>
      <c r="Q488" s="21" t="n">
        <v>53011.4687624698</v>
      </c>
      <c r="R488" s="21" t="n">
        <v>53424.1316039851</v>
      </c>
      <c r="S488" s="21" t="n">
        <v>53828.6604429021</v>
      </c>
      <c r="T488" s="21" t="n">
        <v>54224.1958425078</v>
      </c>
      <c r="U488" s="21" t="n">
        <v>54609.8341204882</v>
      </c>
      <c r="V488" s="21" t="n">
        <v>54984.6254676864</v>
      </c>
      <c r="W488" s="21" t="n">
        <v>55347.5719938051</v>
      </c>
      <c r="X488" s="21" t="n">
        <v>23288.9069596357</v>
      </c>
      <c r="Y488" s="0"/>
      <c r="Z488" s="0"/>
      <c r="AA488" s="0"/>
      <c r="AB488" s="0"/>
      <c r="AC488" s="0"/>
      <c r="AD488" s="0"/>
      <c r="AE488" s="0"/>
      <c r="AF488" s="0"/>
      <c r="AG488" s="0"/>
    </row>
    <row r="489" customFormat="false" ht="12.75" hidden="false" customHeight="false" outlineLevel="0" collapsed="false">
      <c r="A489" s="22" t="s">
        <v>8</v>
      </c>
      <c r="B489" s="17" t="n">
        <f aca="false">NPV(0.1,D489:Y489)</f>
        <v>185554.621419498</v>
      </c>
      <c r="C489" s="17" t="n">
        <f aca="false">B489-B479</f>
        <v>-5.61297804216156</v>
      </c>
      <c r="D489" s="18" t="n">
        <v>19204.0140287904</v>
      </c>
      <c r="E489" s="19" t="n">
        <v>21190.9471378494</v>
      </c>
      <c r="F489" s="19" t="n">
        <v>21509.2729672694</v>
      </c>
      <c r="G489" s="19" t="n">
        <v>21594.0926205331</v>
      </c>
      <c r="H489" s="19" t="n">
        <v>17697.9645813799</v>
      </c>
      <c r="I489" s="19" t="n">
        <v>21814.1250284744</v>
      </c>
      <c r="J489" s="19" t="n">
        <v>21925.3004118921</v>
      </c>
      <c r="K489" s="19" t="n">
        <v>22035.1889516111</v>
      </c>
      <c r="L489" s="19" t="n">
        <v>22149.3462579422</v>
      </c>
      <c r="M489" s="19" t="n">
        <v>22267.8723480454</v>
      </c>
      <c r="N489" s="19" t="n">
        <v>22385.5131029389</v>
      </c>
      <c r="O489" s="20" t="n">
        <v>23287.2944219116</v>
      </c>
      <c r="P489" s="21" t="n">
        <v>23354.828149657</v>
      </c>
      <c r="Q489" s="21" t="n">
        <v>23411.041031017</v>
      </c>
      <c r="R489" s="21" t="n">
        <v>23472.3483619881</v>
      </c>
      <c r="S489" s="21" t="n">
        <v>23543.1453726514</v>
      </c>
      <c r="T489" s="21" t="n">
        <v>23591.2324598449</v>
      </c>
      <c r="U489" s="21" t="n">
        <v>23628.7162360331</v>
      </c>
      <c r="V489" s="21" t="n">
        <v>23671.9183104669</v>
      </c>
      <c r="W489" s="21" t="n">
        <v>23818.4483420938</v>
      </c>
      <c r="X489" s="21" t="n">
        <v>11803.4414231992</v>
      </c>
      <c r="Y489" s="0"/>
      <c r="Z489" s="0"/>
      <c r="AA489" s="0"/>
      <c r="AB489" s="0"/>
      <c r="AC489" s="0"/>
      <c r="AD489" s="0"/>
      <c r="AE489" s="0"/>
      <c r="AF489" s="0"/>
      <c r="AG489" s="0"/>
    </row>
    <row r="490" customFormat="false" ht="12.75" hidden="false" customHeight="false" outlineLevel="0" collapsed="false">
      <c r="A490" s="22" t="s">
        <v>9</v>
      </c>
      <c r="B490" s="17" t="n">
        <f aca="false">NPV(0.1,D490:Y490)</f>
        <v>77225.4450393547</v>
      </c>
      <c r="C490" s="17" t="n">
        <f aca="false">B490-B480</f>
        <v>48.0640459765127</v>
      </c>
      <c r="D490" s="18" t="n">
        <v>1614.99695458718</v>
      </c>
      <c r="E490" s="19" t="n">
        <v>4213.0121994667</v>
      </c>
      <c r="F490" s="19" t="n">
        <v>4603.27055235023</v>
      </c>
      <c r="G490" s="19" t="n">
        <v>4865.80190813184</v>
      </c>
      <c r="H490" s="19" t="n">
        <v>7474.79881842772</v>
      </c>
      <c r="I490" s="19" t="n">
        <v>9662.47746255324</v>
      </c>
      <c r="J490" s="19" t="n">
        <v>10210.130238163</v>
      </c>
      <c r="K490" s="19" t="n">
        <v>10636.8565575663</v>
      </c>
      <c r="L490" s="19" t="n">
        <v>11441.3878114465</v>
      </c>
      <c r="M490" s="19" t="n">
        <v>11931.083362188</v>
      </c>
      <c r="N490" s="19" t="n">
        <v>12828.1921215392</v>
      </c>
      <c r="O490" s="20" t="n">
        <v>12907.5151741007</v>
      </c>
      <c r="P490" s="21" t="n">
        <v>13928.537860271</v>
      </c>
      <c r="Q490" s="21" t="n">
        <v>14613.1912961025</v>
      </c>
      <c r="R490" s="21" t="n">
        <v>15333.8504565342</v>
      </c>
      <c r="S490" s="21" t="n">
        <v>16114.2455488284</v>
      </c>
      <c r="T490" s="21" t="n">
        <v>16364.7029414042</v>
      </c>
      <c r="U490" s="21" t="n">
        <v>16582.3756638217</v>
      </c>
      <c r="V490" s="21" t="n">
        <v>16789.6914944528</v>
      </c>
      <c r="W490" s="21" t="n">
        <v>16924.9991446184</v>
      </c>
      <c r="X490" s="21" t="n">
        <v>4393.32827235891</v>
      </c>
      <c r="Y490" s="0"/>
      <c r="Z490" s="0"/>
      <c r="AA490" s="0"/>
      <c r="AB490" s="0"/>
      <c r="AC490" s="0"/>
      <c r="AD490" s="0"/>
      <c r="AE490" s="0"/>
      <c r="AF490" s="0"/>
      <c r="AG490" s="0"/>
    </row>
    <row r="491" customFormat="false" ht="12.75" hidden="false" customHeight="false" outlineLevel="0" collapsed="false">
      <c r="A491" s="22" t="s">
        <v>10</v>
      </c>
      <c r="B491" s="17" t="n">
        <f aca="false">NPV(0.1,D491:Y491)</f>
        <v>86051.6433910545</v>
      </c>
      <c r="C491" s="17" t="n">
        <f aca="false">B491-B481</f>
        <v>-61.1552487785666</v>
      </c>
      <c r="D491" s="23" t="n">
        <v>2660.91184704333</v>
      </c>
      <c r="E491" s="24" t="n">
        <v>4069.68773768244</v>
      </c>
      <c r="F491" s="24" t="n">
        <v>6616.65780569283</v>
      </c>
      <c r="G491" s="24" t="n">
        <v>6607.54854953797</v>
      </c>
      <c r="H491" s="24" t="n">
        <v>14000.9873053661</v>
      </c>
      <c r="I491" s="24" t="n">
        <v>11870.0874224074</v>
      </c>
      <c r="J491" s="24" t="n">
        <v>11516.2490225701</v>
      </c>
      <c r="K491" s="24" t="n">
        <v>11426.2300102365</v>
      </c>
      <c r="L491" s="24" t="n">
        <v>11445.5165914062</v>
      </c>
      <c r="M491" s="24" t="n">
        <v>11324.7098479751</v>
      </c>
      <c r="N491" s="24" t="n">
        <v>11304.3710052788</v>
      </c>
      <c r="O491" s="25" t="n">
        <v>11743.5141980905</v>
      </c>
      <c r="P491" s="21" t="n">
        <v>10867.5431175649</v>
      </c>
      <c r="Q491" s="21" t="n">
        <v>10655.4992011385</v>
      </c>
      <c r="R491" s="21" t="n">
        <v>10418.7779691033</v>
      </c>
      <c r="S491" s="21" t="n">
        <v>20589.7754152638</v>
      </c>
      <c r="T491" s="21" t="n">
        <v>19055.9112371849</v>
      </c>
      <c r="U491" s="21" t="n">
        <v>19223.4523236374</v>
      </c>
      <c r="V491" s="21" t="n">
        <v>19430.7681542685</v>
      </c>
      <c r="W491" s="21" t="n">
        <v>19663.7581202236</v>
      </c>
      <c r="X491" s="21" t="n">
        <v>7180.92840585891</v>
      </c>
      <c r="Y491" s="0"/>
      <c r="Z491" s="0"/>
      <c r="AA491" s="0"/>
      <c r="AB491" s="0"/>
      <c r="AC491" s="0"/>
      <c r="AD491" s="0"/>
      <c r="AE491" s="0"/>
      <c r="AF491" s="0"/>
      <c r="AG491" s="0"/>
    </row>
    <row r="492" customFormat="false" ht="12.75" hidden="false" customHeight="false" outlineLevel="0" collapsed="false">
      <c r="A492" s="5"/>
      <c r="B492" s="5"/>
      <c r="C492" s="5"/>
      <c r="D492" s="0"/>
      <c r="E492" s="0"/>
      <c r="F492" s="0"/>
      <c r="G492" s="0"/>
      <c r="H492" s="0"/>
      <c r="I492" s="0"/>
      <c r="J492" s="0"/>
      <c r="K492" s="0"/>
      <c r="L492" s="0"/>
      <c r="M492" s="0"/>
      <c r="N492" s="0"/>
      <c r="O492" s="0"/>
      <c r="P492" s="0"/>
      <c r="Q492" s="0"/>
      <c r="R492" s="0"/>
      <c r="S492" s="0"/>
      <c r="T492" s="0"/>
      <c r="U492" s="0"/>
      <c r="V492" s="0"/>
      <c r="W492" s="0"/>
      <c r="X492" s="0"/>
      <c r="Y492" s="0"/>
      <c r="Z492" s="0"/>
      <c r="AA492" s="0"/>
      <c r="AB492" s="0"/>
      <c r="AC492" s="0"/>
      <c r="AD492" s="0"/>
      <c r="AE492" s="0"/>
      <c r="AF492" s="0"/>
      <c r="AG492" s="0"/>
    </row>
    <row r="493" customFormat="false" ht="12.75" hidden="false" customHeight="false" outlineLevel="0" collapsed="false">
      <c r="A493" s="26" t="s">
        <v>61</v>
      </c>
      <c r="B493" s="5"/>
      <c r="C493" s="5"/>
      <c r="D493" s="0"/>
      <c r="E493" s="0"/>
      <c r="F493" s="0"/>
      <c r="G493" s="0"/>
      <c r="H493" s="0"/>
      <c r="I493" s="0"/>
      <c r="J493" s="0"/>
      <c r="K493" s="0"/>
      <c r="L493" s="0"/>
      <c r="M493" s="0"/>
      <c r="N493" s="0"/>
      <c r="O493" s="0"/>
      <c r="P493" s="0"/>
      <c r="Q493" s="0"/>
      <c r="R493" s="0"/>
      <c r="S493" s="0"/>
      <c r="T493" s="0"/>
      <c r="U493" s="0"/>
      <c r="V493" s="0"/>
      <c r="W493" s="0"/>
      <c r="X493" s="0"/>
      <c r="Y493" s="0"/>
      <c r="Z493" s="0"/>
      <c r="AA493" s="0"/>
      <c r="AB493" s="0"/>
      <c r="AC493" s="0"/>
      <c r="AD493" s="0"/>
      <c r="AE493" s="0"/>
      <c r="AF493" s="0"/>
      <c r="AG493" s="0"/>
    </row>
    <row r="494" customFormat="false" ht="12.75" hidden="false" customHeight="false" outlineLevel="0" collapsed="false">
      <c r="A494" s="28" t="n">
        <v>36313</v>
      </c>
      <c r="B494" s="5"/>
      <c r="C494" s="5"/>
      <c r="D494" s="0"/>
      <c r="E494" s="0"/>
      <c r="F494" s="0"/>
      <c r="G494" s="0"/>
      <c r="H494" s="0"/>
      <c r="I494" s="0"/>
      <c r="J494" s="0"/>
      <c r="K494" s="0"/>
      <c r="L494" s="0"/>
      <c r="M494" s="0"/>
      <c r="N494" s="0"/>
      <c r="O494" s="0"/>
      <c r="P494" s="0"/>
      <c r="Q494" s="0"/>
      <c r="R494" s="0"/>
      <c r="S494" s="0"/>
      <c r="T494" s="0"/>
      <c r="U494" s="0"/>
      <c r="V494" s="0"/>
      <c r="W494" s="0"/>
      <c r="X494" s="0"/>
      <c r="Y494" s="0"/>
      <c r="Z494" s="0"/>
      <c r="AA494" s="0"/>
      <c r="AB494" s="0"/>
      <c r="AC494" s="0"/>
      <c r="AD494" s="0"/>
      <c r="AE494" s="0"/>
      <c r="AF494" s="0"/>
      <c r="AG494" s="0"/>
    </row>
    <row r="495" customFormat="false" ht="12.75" hidden="false" customHeight="false" outlineLevel="0" collapsed="false">
      <c r="A495" s="7" t="s">
        <v>2</v>
      </c>
      <c r="B495" s="8" t="n">
        <v>22790.9512960903</v>
      </c>
      <c r="C495" s="5"/>
      <c r="D495" s="0"/>
      <c r="E495" s="0"/>
      <c r="F495" s="0"/>
      <c r="G495" s="0"/>
      <c r="H495" s="0"/>
      <c r="I495" s="0"/>
      <c r="J495" s="0"/>
      <c r="K495" s="0"/>
      <c r="L495" s="0"/>
      <c r="M495" s="0"/>
      <c r="N495" s="0"/>
      <c r="O495" s="0"/>
      <c r="P495" s="0"/>
      <c r="Q495" s="0"/>
      <c r="R495" s="0"/>
      <c r="S495" s="0"/>
      <c r="T495" s="0"/>
      <c r="U495" s="0"/>
      <c r="V495" s="0"/>
      <c r="W495" s="0"/>
      <c r="X495" s="0"/>
      <c r="Y495" s="0"/>
      <c r="Z495" s="0"/>
      <c r="AA495" s="0"/>
      <c r="AB495" s="0"/>
      <c r="AC495" s="0"/>
      <c r="AD495" s="0"/>
      <c r="AE495" s="0"/>
      <c r="AF495" s="0"/>
      <c r="AG495" s="0"/>
    </row>
    <row r="496" customFormat="false" ht="12.75" hidden="false" customHeight="false" outlineLevel="0" collapsed="false">
      <c r="A496" s="9" t="s">
        <v>3</v>
      </c>
      <c r="B496" s="10" t="n">
        <v>50516.1832084359</v>
      </c>
      <c r="C496" s="5"/>
      <c r="D496" s="0"/>
      <c r="E496" s="0"/>
      <c r="F496" s="0"/>
      <c r="G496" s="0"/>
      <c r="H496" s="0"/>
      <c r="I496" s="0"/>
      <c r="J496" s="0"/>
      <c r="K496" s="0"/>
      <c r="L496" s="0"/>
      <c r="M496" s="0"/>
      <c r="N496" s="0"/>
      <c r="O496" s="0"/>
      <c r="P496" s="0"/>
      <c r="Q496" s="0"/>
      <c r="R496" s="0"/>
      <c r="S496" s="0"/>
      <c r="T496" s="0"/>
      <c r="U496" s="0"/>
      <c r="V496" s="0"/>
      <c r="W496" s="0"/>
      <c r="X496" s="0"/>
      <c r="Y496" s="0"/>
      <c r="Z496" s="0"/>
      <c r="AA496" s="0"/>
      <c r="AB496" s="0"/>
      <c r="AC496" s="0"/>
      <c r="AD496" s="0"/>
      <c r="AE496" s="0"/>
      <c r="AF496" s="0"/>
      <c r="AG496" s="0"/>
    </row>
    <row r="497" customFormat="false" ht="12.75" hidden="false" customHeight="false" outlineLevel="0" collapsed="false">
      <c r="A497" s="11" t="s">
        <v>4</v>
      </c>
      <c r="B497" s="12" t="s">
        <v>5</v>
      </c>
      <c r="C497" s="12" t="s">
        <v>6</v>
      </c>
      <c r="D497" s="13" t="n">
        <v>1999</v>
      </c>
      <c r="E497" s="14" t="n">
        <v>2000</v>
      </c>
      <c r="F497" s="14" t="n">
        <v>2001</v>
      </c>
      <c r="G497" s="14" t="n">
        <v>2002</v>
      </c>
      <c r="H497" s="14" t="n">
        <v>2003</v>
      </c>
      <c r="I497" s="14" t="n">
        <v>2004</v>
      </c>
      <c r="J497" s="14" t="n">
        <v>2005</v>
      </c>
      <c r="K497" s="14" t="n">
        <v>2006</v>
      </c>
      <c r="L497" s="14" t="n">
        <v>2007</v>
      </c>
      <c r="M497" s="14" t="n">
        <v>2008</v>
      </c>
      <c r="N497" s="14" t="n">
        <v>2009</v>
      </c>
      <c r="O497" s="15" t="n">
        <v>2010</v>
      </c>
      <c r="P497" s="16" t="n">
        <v>2011</v>
      </c>
      <c r="Q497" s="16" t="n">
        <v>2012</v>
      </c>
      <c r="R497" s="16" t="n">
        <v>2013</v>
      </c>
      <c r="S497" s="16" t="n">
        <v>2014</v>
      </c>
      <c r="T497" s="16" t="n">
        <v>2015</v>
      </c>
      <c r="U497" s="16" t="n">
        <v>2016</v>
      </c>
      <c r="V497" s="16" t="n">
        <v>2017</v>
      </c>
      <c r="W497" s="16" t="n">
        <v>2018</v>
      </c>
      <c r="X497" s="16" t="n">
        <v>2019</v>
      </c>
      <c r="Y497" s="0"/>
      <c r="Z497" s="0"/>
      <c r="AA497" s="0"/>
      <c r="AB497" s="0"/>
      <c r="AC497" s="0"/>
      <c r="AD497" s="0"/>
      <c r="AE497" s="0"/>
      <c r="AF497" s="0"/>
      <c r="AG497" s="0"/>
    </row>
    <row r="498" customFormat="false" ht="12.75" hidden="false" customHeight="false" outlineLevel="0" collapsed="false">
      <c r="A498" s="11" t="s">
        <v>7</v>
      </c>
      <c r="B498" s="17" t="n">
        <f aca="false">NPV(0.1,D498:Y498)</f>
        <v>385196.633800791</v>
      </c>
      <c r="C498" s="17" t="n">
        <f aca="false">B498-B488</f>
        <v>0</v>
      </c>
      <c r="D498" s="18" t="n">
        <v>26898.21696</v>
      </c>
      <c r="E498" s="19" t="n">
        <v>40079.9158149774</v>
      </c>
      <c r="F498" s="19" t="n">
        <v>40673.1613422172</v>
      </c>
      <c r="G498" s="19" t="n">
        <v>40731.6409776837</v>
      </c>
      <c r="H498" s="19" t="n">
        <v>40720.3998154613</v>
      </c>
      <c r="I498" s="19" t="n">
        <v>47935.0278426706</v>
      </c>
      <c r="J498" s="19" t="n">
        <v>48339.3986348649</v>
      </c>
      <c r="K498" s="19" t="n">
        <v>48739.7066983296</v>
      </c>
      <c r="L498" s="19" t="n">
        <v>49708.0129393755</v>
      </c>
      <c r="M498" s="19" t="n">
        <v>50115.5197057928</v>
      </c>
      <c r="N498" s="19" t="n">
        <v>51125.1003370626</v>
      </c>
      <c r="O498" s="20" t="n">
        <v>51539.1979419032</v>
      </c>
      <c r="P498" s="21" t="n">
        <v>52591.4889202563</v>
      </c>
      <c r="Q498" s="21" t="n">
        <v>53011.4687624698</v>
      </c>
      <c r="R498" s="21" t="n">
        <v>53424.1316039851</v>
      </c>
      <c r="S498" s="21" t="n">
        <v>53828.6604429021</v>
      </c>
      <c r="T498" s="21" t="n">
        <v>54224.1958425078</v>
      </c>
      <c r="U498" s="21" t="n">
        <v>54609.8341204882</v>
      </c>
      <c r="V498" s="21" t="n">
        <v>54984.6254676864</v>
      </c>
      <c r="W498" s="21" t="n">
        <v>55347.5719938051</v>
      </c>
      <c r="X498" s="21" t="n">
        <v>23288.9069596357</v>
      </c>
      <c r="Y498" s="0"/>
      <c r="Z498" s="0"/>
      <c r="AA498" s="0"/>
      <c r="AB498" s="0"/>
      <c r="AC498" s="0"/>
      <c r="AD498" s="0"/>
      <c r="AE498" s="0"/>
      <c r="AF498" s="0"/>
      <c r="AG498" s="0"/>
    </row>
    <row r="499" customFormat="false" ht="12.75" hidden="false" customHeight="false" outlineLevel="0" collapsed="false">
      <c r="A499" s="22" t="s">
        <v>8</v>
      </c>
      <c r="B499" s="17" t="n">
        <f aca="false">NPV(0.1,D499:Y499)</f>
        <v>185554.621419498</v>
      </c>
      <c r="C499" s="17" t="n">
        <f aca="false">B499-B489</f>
        <v>0</v>
      </c>
      <c r="D499" s="18" t="n">
        <v>19204.0140287904</v>
      </c>
      <c r="E499" s="19" t="n">
        <v>21190.9471378494</v>
      </c>
      <c r="F499" s="19" t="n">
        <v>21509.2729672694</v>
      </c>
      <c r="G499" s="19" t="n">
        <v>21594.0926205331</v>
      </c>
      <c r="H499" s="19" t="n">
        <v>17697.9645813799</v>
      </c>
      <c r="I499" s="19" t="n">
        <v>21814.1250284744</v>
      </c>
      <c r="J499" s="19" t="n">
        <v>21925.3004118921</v>
      </c>
      <c r="K499" s="19" t="n">
        <v>22035.1889516111</v>
      </c>
      <c r="L499" s="19" t="n">
        <v>22149.3462579422</v>
      </c>
      <c r="M499" s="19" t="n">
        <v>22267.8723480454</v>
      </c>
      <c r="N499" s="19" t="n">
        <v>22385.5131029389</v>
      </c>
      <c r="O499" s="20" t="n">
        <v>23287.2944219116</v>
      </c>
      <c r="P499" s="21" t="n">
        <v>23354.828149657</v>
      </c>
      <c r="Q499" s="21" t="n">
        <v>23411.041031017</v>
      </c>
      <c r="R499" s="21" t="n">
        <v>23472.3483619881</v>
      </c>
      <c r="S499" s="21" t="n">
        <v>23543.1453726514</v>
      </c>
      <c r="T499" s="21" t="n">
        <v>23591.2324598449</v>
      </c>
      <c r="U499" s="21" t="n">
        <v>23628.7162360331</v>
      </c>
      <c r="V499" s="21" t="n">
        <v>23671.9183104669</v>
      </c>
      <c r="W499" s="21" t="n">
        <v>23818.4483420938</v>
      </c>
      <c r="X499" s="21" t="n">
        <v>11803.4414231992</v>
      </c>
      <c r="Y499" s="0"/>
      <c r="Z499" s="0"/>
      <c r="AA499" s="0"/>
      <c r="AB499" s="0"/>
      <c r="AC499" s="0"/>
      <c r="AD499" s="0"/>
      <c r="AE499" s="0"/>
      <c r="AF499" s="0"/>
      <c r="AG499" s="0"/>
    </row>
    <row r="500" customFormat="false" ht="12.75" hidden="false" customHeight="false" outlineLevel="0" collapsed="false">
      <c r="A500" s="22" t="s">
        <v>9</v>
      </c>
      <c r="B500" s="17" t="n">
        <f aca="false">NPV(0.1,D500:Y500)</f>
        <v>77225.4450393547</v>
      </c>
      <c r="C500" s="17" t="n">
        <f aca="false">B500-B490</f>
        <v>0</v>
      </c>
      <c r="D500" s="18" t="n">
        <v>1614.99695458718</v>
      </c>
      <c r="E500" s="19" t="n">
        <v>4213.0121994667</v>
      </c>
      <c r="F500" s="19" t="n">
        <v>4603.27055235023</v>
      </c>
      <c r="G500" s="19" t="n">
        <v>4865.80190813184</v>
      </c>
      <c r="H500" s="19" t="n">
        <v>7474.79881842772</v>
      </c>
      <c r="I500" s="19" t="n">
        <v>9662.47746255324</v>
      </c>
      <c r="J500" s="19" t="n">
        <v>10210.130238163</v>
      </c>
      <c r="K500" s="19" t="n">
        <v>10636.8565575663</v>
      </c>
      <c r="L500" s="19" t="n">
        <v>11441.3878114465</v>
      </c>
      <c r="M500" s="19" t="n">
        <v>11931.083362188</v>
      </c>
      <c r="N500" s="19" t="n">
        <v>12828.1921215392</v>
      </c>
      <c r="O500" s="20" t="n">
        <v>12907.5151741007</v>
      </c>
      <c r="P500" s="21" t="n">
        <v>13928.537860271</v>
      </c>
      <c r="Q500" s="21" t="n">
        <v>14613.1912961025</v>
      </c>
      <c r="R500" s="21" t="n">
        <v>15333.8504565342</v>
      </c>
      <c r="S500" s="21" t="n">
        <v>16114.2455488284</v>
      </c>
      <c r="T500" s="21" t="n">
        <v>16364.7029414042</v>
      </c>
      <c r="U500" s="21" t="n">
        <v>16582.3756638217</v>
      </c>
      <c r="V500" s="21" t="n">
        <v>16789.6914944528</v>
      </c>
      <c r="W500" s="21" t="n">
        <v>16924.9991446184</v>
      </c>
      <c r="X500" s="21" t="n">
        <v>4393.32827235891</v>
      </c>
      <c r="Y500" s="0"/>
      <c r="Z500" s="0"/>
      <c r="AA500" s="0"/>
      <c r="AB500" s="0"/>
      <c r="AC500" s="0"/>
      <c r="AD500" s="0"/>
      <c r="AE500" s="0"/>
      <c r="AF500" s="0"/>
      <c r="AG500" s="0"/>
    </row>
    <row r="501" customFormat="false" ht="12.75" hidden="false" customHeight="false" outlineLevel="0" collapsed="false">
      <c r="A501" s="22" t="s">
        <v>10</v>
      </c>
      <c r="B501" s="17" t="n">
        <f aca="false">NPV(0.1,D501:Y501)</f>
        <v>86051.6433910545</v>
      </c>
      <c r="C501" s="17" t="n">
        <f aca="false">B501-B491</f>
        <v>0</v>
      </c>
      <c r="D501" s="23" t="n">
        <v>2660.91184704333</v>
      </c>
      <c r="E501" s="24" t="n">
        <v>4069.68773768244</v>
      </c>
      <c r="F501" s="24" t="n">
        <v>6616.65780569283</v>
      </c>
      <c r="G501" s="24" t="n">
        <v>6607.54854953797</v>
      </c>
      <c r="H501" s="24" t="n">
        <v>14000.9873053661</v>
      </c>
      <c r="I501" s="24" t="n">
        <v>11870.0874224074</v>
      </c>
      <c r="J501" s="24" t="n">
        <v>11516.2490225701</v>
      </c>
      <c r="K501" s="24" t="n">
        <v>11426.2300102365</v>
      </c>
      <c r="L501" s="24" t="n">
        <v>11445.5165914062</v>
      </c>
      <c r="M501" s="24" t="n">
        <v>11324.7098479751</v>
      </c>
      <c r="N501" s="24" t="n">
        <v>11304.3710052788</v>
      </c>
      <c r="O501" s="25" t="n">
        <v>11743.5141980905</v>
      </c>
      <c r="P501" s="21" t="n">
        <v>10867.5431175649</v>
      </c>
      <c r="Q501" s="21" t="n">
        <v>10655.4992011385</v>
      </c>
      <c r="R501" s="21" t="n">
        <v>10418.7779691033</v>
      </c>
      <c r="S501" s="21" t="n">
        <v>20589.7754152638</v>
      </c>
      <c r="T501" s="21" t="n">
        <v>19055.9112371849</v>
      </c>
      <c r="U501" s="21" t="n">
        <v>19223.4523236374</v>
      </c>
      <c r="V501" s="21" t="n">
        <v>19430.7681542685</v>
      </c>
      <c r="W501" s="21" t="n">
        <v>19663.7581202236</v>
      </c>
      <c r="X501" s="21" t="n">
        <v>7180.92840585891</v>
      </c>
      <c r="Y501" s="0"/>
      <c r="Z501" s="0"/>
      <c r="AA501" s="0"/>
      <c r="AB501" s="0"/>
      <c r="AC501" s="0"/>
      <c r="AD501" s="0"/>
      <c r="AE501" s="0"/>
      <c r="AF501" s="0"/>
      <c r="AG501" s="0"/>
    </row>
    <row r="502" customFormat="false" ht="12.75" hidden="false" customHeight="false" outlineLevel="0" collapsed="false">
      <c r="A502" s="5"/>
      <c r="B502" s="5"/>
      <c r="C502" s="5"/>
      <c r="D502" s="0"/>
      <c r="E502" s="0"/>
      <c r="F502" s="0"/>
      <c r="G502" s="0"/>
      <c r="H502" s="0"/>
      <c r="I502" s="0"/>
      <c r="J502" s="0"/>
      <c r="K502" s="0"/>
      <c r="L502" s="0"/>
      <c r="M502" s="0"/>
      <c r="N502" s="0"/>
      <c r="O502" s="0"/>
      <c r="P502" s="0"/>
      <c r="Q502" s="0"/>
      <c r="R502" s="0"/>
      <c r="S502" s="0"/>
      <c r="T502" s="0"/>
      <c r="U502" s="0"/>
      <c r="V502" s="0"/>
      <c r="W502" s="0"/>
      <c r="X502" s="0"/>
      <c r="Y502" s="0"/>
      <c r="Z502" s="0"/>
      <c r="AA502" s="0"/>
      <c r="AB502" s="0"/>
      <c r="AC502" s="0"/>
      <c r="AD502" s="0"/>
      <c r="AE502" s="0"/>
      <c r="AF502" s="0"/>
      <c r="AG502" s="0"/>
    </row>
    <row r="503" customFormat="false" ht="12.75" hidden="false" customHeight="false" outlineLevel="0" collapsed="false">
      <c r="A503" s="26" t="s">
        <v>62</v>
      </c>
      <c r="B503" s="5"/>
      <c r="C503" s="5"/>
      <c r="D503" s="0"/>
      <c r="E503" s="0"/>
      <c r="F503" s="0"/>
      <c r="G503" s="0"/>
      <c r="H503" s="0"/>
      <c r="I503" s="0"/>
      <c r="J503" s="0"/>
      <c r="K503" s="0"/>
      <c r="L503" s="0"/>
      <c r="M503" s="0"/>
      <c r="N503" s="0"/>
      <c r="O503" s="0"/>
      <c r="P503" s="0"/>
      <c r="Q503" s="0"/>
      <c r="R503" s="0"/>
      <c r="S503" s="0"/>
      <c r="T503" s="0"/>
      <c r="U503" s="0"/>
      <c r="V503" s="0"/>
      <c r="W503" s="0"/>
      <c r="X503" s="0"/>
      <c r="Y503" s="0"/>
      <c r="Z503" s="0"/>
      <c r="AA503" s="0"/>
      <c r="AB503" s="0"/>
      <c r="AC503" s="0"/>
      <c r="AD503" s="0"/>
      <c r="AE503" s="0"/>
      <c r="AF503" s="0"/>
      <c r="AG503" s="0"/>
    </row>
    <row r="504" customFormat="false" ht="12.75" hidden="false" customHeight="false" outlineLevel="0" collapsed="false">
      <c r="A504" s="28" t="n">
        <v>36313</v>
      </c>
      <c r="B504" s="5"/>
      <c r="C504" s="5"/>
      <c r="D504" s="0"/>
      <c r="E504" s="0"/>
      <c r="F504" s="0"/>
      <c r="G504" s="0"/>
      <c r="H504" s="0"/>
      <c r="I504" s="0"/>
      <c r="J504" s="0"/>
      <c r="K504" s="0"/>
      <c r="L504" s="0"/>
      <c r="M504" s="0"/>
      <c r="N504" s="0"/>
      <c r="O504" s="0"/>
      <c r="P504" s="0"/>
      <c r="Q504" s="0"/>
      <c r="R504" s="0"/>
      <c r="S504" s="0"/>
      <c r="T504" s="0"/>
      <c r="U504" s="0"/>
      <c r="V504" s="0"/>
      <c r="W504" s="0"/>
      <c r="X504" s="0"/>
      <c r="Y504" s="0"/>
      <c r="Z504" s="0"/>
      <c r="AA504" s="0"/>
      <c r="AB504" s="0"/>
      <c r="AC504" s="0"/>
      <c r="AD504" s="0"/>
      <c r="AE504" s="0"/>
      <c r="AF504" s="0"/>
      <c r="AG504" s="0"/>
    </row>
    <row r="505" customFormat="false" ht="12.75" hidden="false" customHeight="false" outlineLevel="0" collapsed="false">
      <c r="A505" s="7" t="s">
        <v>2</v>
      </c>
      <c r="B505" s="8" t="n">
        <v>22820.2024609011</v>
      </c>
      <c r="C505" s="5"/>
      <c r="D505" s="0"/>
      <c r="E505" s="0"/>
      <c r="F505" s="0"/>
      <c r="G505" s="0"/>
      <c r="H505" s="0"/>
      <c r="I505" s="0"/>
      <c r="J505" s="0"/>
      <c r="K505" s="0"/>
      <c r="L505" s="0"/>
      <c r="M505" s="0"/>
      <c r="N505" s="0"/>
      <c r="O505" s="0"/>
      <c r="P505" s="0"/>
      <c r="Q505" s="0"/>
      <c r="R505" s="0"/>
      <c r="S505" s="0"/>
      <c r="T505" s="0"/>
      <c r="U505" s="0"/>
      <c r="V505" s="0"/>
      <c r="W505" s="0"/>
      <c r="X505" s="0"/>
      <c r="Y505" s="0"/>
      <c r="Z505" s="0"/>
      <c r="AA505" s="0"/>
      <c r="AB505" s="0"/>
      <c r="AC505" s="0"/>
      <c r="AD505" s="0"/>
      <c r="AE505" s="0"/>
      <c r="AF505" s="0"/>
      <c r="AG505" s="0"/>
    </row>
    <row r="506" customFormat="false" ht="12.75" hidden="false" customHeight="false" outlineLevel="0" collapsed="false">
      <c r="A506" s="9" t="s">
        <v>3</v>
      </c>
      <c r="B506" s="10" t="n">
        <v>50563.5535158218</v>
      </c>
      <c r="C506" s="5"/>
      <c r="D506" s="0"/>
      <c r="E506" s="0"/>
      <c r="F506" s="0"/>
      <c r="G506" s="0"/>
      <c r="H506" s="0"/>
      <c r="I506" s="0"/>
      <c r="J506" s="0"/>
      <c r="K506" s="0"/>
      <c r="L506" s="0"/>
      <c r="M506" s="0"/>
      <c r="N506" s="0"/>
      <c r="O506" s="0"/>
      <c r="P506" s="0"/>
      <c r="Q506" s="0"/>
      <c r="R506" s="0"/>
      <c r="S506" s="0"/>
      <c r="T506" s="0"/>
      <c r="U506" s="0"/>
      <c r="V506" s="0"/>
      <c r="W506" s="0"/>
      <c r="X506" s="0"/>
      <c r="Y506" s="0"/>
      <c r="Z506" s="0"/>
      <c r="AA506" s="0"/>
      <c r="AB506" s="0"/>
      <c r="AC506" s="0"/>
      <c r="AD506" s="0"/>
      <c r="AE506" s="0"/>
      <c r="AF506" s="0"/>
      <c r="AG506" s="0"/>
    </row>
    <row r="507" customFormat="false" ht="12.75" hidden="false" customHeight="false" outlineLevel="0" collapsed="false">
      <c r="A507" s="11" t="s">
        <v>4</v>
      </c>
      <c r="B507" s="12" t="s">
        <v>5</v>
      </c>
      <c r="C507" s="12" t="s">
        <v>6</v>
      </c>
      <c r="D507" s="13" t="n">
        <v>1999</v>
      </c>
      <c r="E507" s="14" t="n">
        <v>2000</v>
      </c>
      <c r="F507" s="14" t="n">
        <v>2001</v>
      </c>
      <c r="G507" s="14" t="n">
        <v>2002</v>
      </c>
      <c r="H507" s="14" t="n">
        <v>2003</v>
      </c>
      <c r="I507" s="14" t="n">
        <v>2004</v>
      </c>
      <c r="J507" s="14" t="n">
        <v>2005</v>
      </c>
      <c r="K507" s="14" t="n">
        <v>2006</v>
      </c>
      <c r="L507" s="14" t="n">
        <v>2007</v>
      </c>
      <c r="M507" s="14" t="n">
        <v>2008</v>
      </c>
      <c r="N507" s="14" t="n">
        <v>2009</v>
      </c>
      <c r="O507" s="15" t="n">
        <v>2010</v>
      </c>
      <c r="P507" s="16" t="n">
        <v>2011</v>
      </c>
      <c r="Q507" s="16" t="n">
        <v>2012</v>
      </c>
      <c r="R507" s="16" t="n">
        <v>2013</v>
      </c>
      <c r="S507" s="16" t="n">
        <v>2014</v>
      </c>
      <c r="T507" s="16" t="n">
        <v>2015</v>
      </c>
      <c r="U507" s="16" t="n">
        <v>2016</v>
      </c>
      <c r="V507" s="16" t="n">
        <v>2017</v>
      </c>
      <c r="W507" s="16" t="n">
        <v>2018</v>
      </c>
      <c r="X507" s="16" t="n">
        <v>2019</v>
      </c>
      <c r="Y507" s="0"/>
      <c r="Z507" s="0"/>
      <c r="AA507" s="0"/>
      <c r="AB507" s="0"/>
      <c r="AC507" s="0"/>
      <c r="AD507" s="0"/>
      <c r="AE507" s="0"/>
      <c r="AF507" s="0"/>
      <c r="AG507" s="0"/>
    </row>
    <row r="508" customFormat="false" ht="12.75" hidden="false" customHeight="false" outlineLevel="0" collapsed="false">
      <c r="A508" s="11" t="s">
        <v>7</v>
      </c>
      <c r="B508" s="17" t="n">
        <f aca="false">NPV(0.1,D508:Y508)</f>
        <v>385260.665603378</v>
      </c>
      <c r="C508" s="17" t="n">
        <f aca="false">B508-B498</f>
        <v>64.0318025873858</v>
      </c>
      <c r="D508" s="18" t="n">
        <v>26898.21696</v>
      </c>
      <c r="E508" s="19" t="n">
        <v>40079.9158149774</v>
      </c>
      <c r="F508" s="19" t="n">
        <v>40673.1613422172</v>
      </c>
      <c r="G508" s="19" t="n">
        <v>40731.6409776837</v>
      </c>
      <c r="H508" s="19" t="n">
        <v>40720.3998154613</v>
      </c>
      <c r="I508" s="19" t="n">
        <v>47935.0278426706</v>
      </c>
      <c r="J508" s="19" t="n">
        <v>48339.3986348649</v>
      </c>
      <c r="K508" s="19" t="n">
        <v>48739.7066983296</v>
      </c>
      <c r="L508" s="19" t="n">
        <v>49708.0129393755</v>
      </c>
      <c r="M508" s="19" t="n">
        <v>50115.5197057928</v>
      </c>
      <c r="N508" s="19" t="n">
        <v>51125.1003370626</v>
      </c>
      <c r="O508" s="20" t="n">
        <v>51539.1979419032</v>
      </c>
      <c r="P508" s="21" t="n">
        <v>52591.4889202563</v>
      </c>
      <c r="Q508" s="21" t="n">
        <v>53011.4687624698</v>
      </c>
      <c r="R508" s="21" t="n">
        <v>53424.1316039851</v>
      </c>
      <c r="S508" s="21" t="n">
        <v>53828.6604429021</v>
      </c>
      <c r="T508" s="21" t="n">
        <v>54224.1958425078</v>
      </c>
      <c r="U508" s="21" t="n">
        <v>54609.8341204882</v>
      </c>
      <c r="V508" s="21" t="n">
        <v>54984.6254676864</v>
      </c>
      <c r="W508" s="21" t="n">
        <v>55347.5719938051</v>
      </c>
      <c r="X508" s="21" t="n">
        <v>23762.7583031636</v>
      </c>
      <c r="Y508" s="0"/>
      <c r="Z508" s="0"/>
      <c r="AA508" s="0"/>
      <c r="AB508" s="0"/>
      <c r="AC508" s="0"/>
      <c r="AD508" s="0"/>
      <c r="AE508" s="0"/>
      <c r="AF508" s="0"/>
      <c r="AG508" s="0"/>
    </row>
    <row r="509" customFormat="false" ht="12.75" hidden="false" customHeight="false" outlineLevel="0" collapsed="false">
      <c r="A509" s="22" t="s">
        <v>8</v>
      </c>
      <c r="B509" s="17" t="n">
        <f aca="false">NPV(0.1,D509:Y509)</f>
        <v>185554.621419498</v>
      </c>
      <c r="C509" s="17" t="n">
        <f aca="false">B509-B499</f>
        <v>0</v>
      </c>
      <c r="D509" s="18" t="n">
        <v>19204.0140287904</v>
      </c>
      <c r="E509" s="19" t="n">
        <v>21190.9471378494</v>
      </c>
      <c r="F509" s="19" t="n">
        <v>21509.2729672694</v>
      </c>
      <c r="G509" s="19" t="n">
        <v>21594.0926205331</v>
      </c>
      <c r="H509" s="19" t="n">
        <v>17697.9645813799</v>
      </c>
      <c r="I509" s="19" t="n">
        <v>21814.1250284744</v>
      </c>
      <c r="J509" s="19" t="n">
        <v>21925.3004118921</v>
      </c>
      <c r="K509" s="19" t="n">
        <v>22035.1889516111</v>
      </c>
      <c r="L509" s="19" t="n">
        <v>22149.3462579422</v>
      </c>
      <c r="M509" s="19" t="n">
        <v>22267.8723480454</v>
      </c>
      <c r="N509" s="19" t="n">
        <v>22385.5131029389</v>
      </c>
      <c r="O509" s="20" t="n">
        <v>23287.2944219116</v>
      </c>
      <c r="P509" s="21" t="n">
        <v>23354.828149657</v>
      </c>
      <c r="Q509" s="21" t="n">
        <v>23411.041031017</v>
      </c>
      <c r="R509" s="21" t="n">
        <v>23472.3483619881</v>
      </c>
      <c r="S509" s="21" t="n">
        <v>23543.1453726514</v>
      </c>
      <c r="T509" s="21" t="n">
        <v>23591.2324598449</v>
      </c>
      <c r="U509" s="21" t="n">
        <v>23628.7162360331</v>
      </c>
      <c r="V509" s="21" t="n">
        <v>23671.9183104669</v>
      </c>
      <c r="W509" s="21" t="n">
        <v>23818.4483420938</v>
      </c>
      <c r="X509" s="21" t="n">
        <v>11803.4414231992</v>
      </c>
      <c r="Y509" s="0"/>
      <c r="Z509" s="0"/>
      <c r="AA509" s="0"/>
      <c r="AB509" s="0"/>
      <c r="AC509" s="0"/>
      <c r="AD509" s="0"/>
      <c r="AE509" s="0"/>
      <c r="AF509" s="0"/>
      <c r="AG509" s="0"/>
    </row>
    <row r="510" customFormat="false" ht="12.75" hidden="false" customHeight="false" outlineLevel="0" collapsed="false">
      <c r="A510" s="22" t="s">
        <v>9</v>
      </c>
      <c r="B510" s="17" t="n">
        <f aca="false">NPV(0.1,D510:Y510)</f>
        <v>77265.4789229286</v>
      </c>
      <c r="C510" s="17" t="n">
        <f aca="false">B510-B500</f>
        <v>40.0338835739094</v>
      </c>
      <c r="D510" s="18" t="n">
        <v>1614.99695458718</v>
      </c>
      <c r="E510" s="19" t="n">
        <v>4213.0121994667</v>
      </c>
      <c r="F510" s="19" t="n">
        <v>4603.27055235023</v>
      </c>
      <c r="G510" s="19" t="n">
        <v>4865.80190813184</v>
      </c>
      <c r="H510" s="19" t="n">
        <v>7474.79881842772</v>
      </c>
      <c r="I510" s="19" t="n">
        <v>9662.47746255324</v>
      </c>
      <c r="J510" s="19" t="n">
        <v>10210.130238163</v>
      </c>
      <c r="K510" s="19" t="n">
        <v>10636.8565575663</v>
      </c>
      <c r="L510" s="19" t="n">
        <v>11441.3878114465</v>
      </c>
      <c r="M510" s="19" t="n">
        <v>11931.083362188</v>
      </c>
      <c r="N510" s="19" t="n">
        <v>12828.1921215392</v>
      </c>
      <c r="O510" s="20" t="n">
        <v>12907.5151741007</v>
      </c>
      <c r="P510" s="21" t="n">
        <v>13928.537860271</v>
      </c>
      <c r="Q510" s="21" t="n">
        <v>14613.1912961025</v>
      </c>
      <c r="R510" s="21" t="n">
        <v>15333.8504565342</v>
      </c>
      <c r="S510" s="21" t="n">
        <v>16114.2455488284</v>
      </c>
      <c r="T510" s="21" t="n">
        <v>16364.7029414042</v>
      </c>
      <c r="U510" s="21" t="n">
        <v>16582.3756638217</v>
      </c>
      <c r="V510" s="21" t="n">
        <v>16789.6914944528</v>
      </c>
      <c r="W510" s="21" t="n">
        <v>16924.9991446184</v>
      </c>
      <c r="X510" s="21" t="n">
        <v>4689.58901704523</v>
      </c>
      <c r="Y510" s="0"/>
      <c r="Z510" s="0"/>
      <c r="AA510" s="0"/>
      <c r="AB510" s="0"/>
      <c r="AC510" s="0"/>
      <c r="AD510" s="0"/>
      <c r="AE510" s="0"/>
      <c r="AF510" s="0"/>
      <c r="AG510" s="0"/>
    </row>
    <row r="511" customFormat="false" ht="12.75" hidden="false" customHeight="false" outlineLevel="0" collapsed="false">
      <c r="A511" s="22" t="s">
        <v>10</v>
      </c>
      <c r="B511" s="17" t="n">
        <f aca="false">NPV(0.1,D511:Y511)</f>
        <v>86091.6772746284</v>
      </c>
      <c r="C511" s="17" t="n">
        <f aca="false">B511-B501</f>
        <v>40.0338835739094</v>
      </c>
      <c r="D511" s="23" t="n">
        <v>2660.91184704333</v>
      </c>
      <c r="E511" s="24" t="n">
        <v>4069.68773768244</v>
      </c>
      <c r="F511" s="24" t="n">
        <v>6616.65780569283</v>
      </c>
      <c r="G511" s="24" t="n">
        <v>6607.54854953797</v>
      </c>
      <c r="H511" s="24" t="n">
        <v>14000.9873053661</v>
      </c>
      <c r="I511" s="24" t="n">
        <v>11870.0874224074</v>
      </c>
      <c r="J511" s="24" t="n">
        <v>11516.2490225701</v>
      </c>
      <c r="K511" s="24" t="n">
        <v>11426.2300102365</v>
      </c>
      <c r="L511" s="24" t="n">
        <v>11445.5165914062</v>
      </c>
      <c r="M511" s="24" t="n">
        <v>11324.7098479751</v>
      </c>
      <c r="N511" s="24" t="n">
        <v>11304.3710052788</v>
      </c>
      <c r="O511" s="25" t="n">
        <v>11743.5141980905</v>
      </c>
      <c r="P511" s="21" t="n">
        <v>10867.5431175649</v>
      </c>
      <c r="Q511" s="21" t="n">
        <v>10655.4992011385</v>
      </c>
      <c r="R511" s="21" t="n">
        <v>10418.7779691033</v>
      </c>
      <c r="S511" s="21" t="n">
        <v>20589.7754152638</v>
      </c>
      <c r="T511" s="21" t="n">
        <v>19055.9112371849</v>
      </c>
      <c r="U511" s="21" t="n">
        <v>19223.4523236374</v>
      </c>
      <c r="V511" s="21" t="n">
        <v>19430.7681542685</v>
      </c>
      <c r="W511" s="21" t="n">
        <v>19663.7581202236</v>
      </c>
      <c r="X511" s="21" t="n">
        <v>7477.18915054522</v>
      </c>
      <c r="Y511" s="0"/>
      <c r="Z511" s="0"/>
      <c r="AA511" s="0"/>
      <c r="AB511" s="0"/>
      <c r="AC511" s="0"/>
      <c r="AD511" s="0"/>
      <c r="AE511" s="0"/>
      <c r="AF511" s="0"/>
      <c r="AG511" s="0"/>
    </row>
    <row r="512" customFormat="false" ht="12.75" hidden="false" customHeight="false" outlineLevel="0" collapsed="false">
      <c r="A512" s="5"/>
      <c r="B512" s="5"/>
      <c r="C512" s="5"/>
      <c r="D512" s="0"/>
      <c r="E512" s="0"/>
      <c r="F512" s="0"/>
      <c r="G512" s="0"/>
      <c r="H512" s="0"/>
      <c r="I512" s="0"/>
      <c r="J512" s="0"/>
      <c r="K512" s="0"/>
      <c r="L512" s="0"/>
      <c r="M512" s="0"/>
      <c r="N512" s="0"/>
      <c r="O512" s="0"/>
      <c r="P512" s="0"/>
      <c r="Q512" s="0"/>
      <c r="R512" s="0"/>
      <c r="S512" s="0"/>
      <c r="T512" s="0"/>
      <c r="U512" s="0"/>
      <c r="V512" s="0"/>
      <c r="W512" s="0"/>
      <c r="X512" s="0"/>
      <c r="Y512" s="0"/>
      <c r="Z512" s="0"/>
      <c r="AA512" s="0"/>
      <c r="AB512" s="0"/>
      <c r="AC512" s="0"/>
      <c r="AD512" s="0"/>
      <c r="AE512" s="0"/>
      <c r="AF512" s="0"/>
      <c r="AG512" s="0"/>
    </row>
    <row r="513" customFormat="false" ht="12.75" hidden="false" customHeight="false" outlineLevel="0" collapsed="false">
      <c r="A513" s="26" t="s">
        <v>63</v>
      </c>
      <c r="B513" s="5"/>
      <c r="C513" s="5"/>
      <c r="D513" s="0"/>
      <c r="E513" s="0"/>
      <c r="F513" s="0"/>
      <c r="G513" s="0"/>
      <c r="H513" s="0"/>
      <c r="I513" s="0"/>
      <c r="J513" s="0"/>
      <c r="K513" s="0"/>
      <c r="L513" s="0"/>
      <c r="M513" s="0"/>
      <c r="N513" s="0"/>
      <c r="O513" s="0"/>
      <c r="P513" s="0"/>
      <c r="Q513" s="0"/>
      <c r="R513" s="0"/>
      <c r="S513" s="0"/>
      <c r="T513" s="0"/>
      <c r="U513" s="0"/>
      <c r="V513" s="0"/>
      <c r="W513" s="0"/>
      <c r="X513" s="0"/>
      <c r="Y513" s="0"/>
      <c r="Z513" s="0"/>
      <c r="AA513" s="0"/>
      <c r="AB513" s="0"/>
      <c r="AC513" s="0"/>
      <c r="AD513" s="0"/>
      <c r="AE513" s="0"/>
      <c r="AF513" s="0"/>
      <c r="AG513" s="0"/>
    </row>
    <row r="514" customFormat="false" ht="12.75" hidden="false" customHeight="false" outlineLevel="0" collapsed="false">
      <c r="A514" s="28" t="n">
        <v>36320</v>
      </c>
      <c r="B514" s="5"/>
      <c r="C514" s="5"/>
      <c r="D514" s="0"/>
      <c r="E514" s="0"/>
      <c r="F514" s="0"/>
      <c r="G514" s="0"/>
      <c r="H514" s="0"/>
      <c r="I514" s="0"/>
      <c r="J514" s="0"/>
      <c r="K514" s="0"/>
      <c r="L514" s="0"/>
      <c r="M514" s="0"/>
      <c r="N514" s="0"/>
      <c r="O514" s="0"/>
      <c r="P514" s="0"/>
      <c r="Q514" s="0"/>
      <c r="R514" s="0"/>
      <c r="S514" s="0"/>
      <c r="T514" s="0"/>
      <c r="U514" s="0"/>
      <c r="V514" s="0"/>
      <c r="W514" s="0"/>
      <c r="X514" s="0"/>
      <c r="Y514" s="0"/>
      <c r="Z514" s="0"/>
      <c r="AA514" s="0"/>
      <c r="AB514" s="0"/>
      <c r="AC514" s="0"/>
      <c r="AD514" s="0"/>
      <c r="AE514" s="0"/>
      <c r="AF514" s="0"/>
      <c r="AG514" s="0"/>
    </row>
    <row r="515" customFormat="false" ht="12.75" hidden="false" customHeight="false" outlineLevel="0" collapsed="false">
      <c r="A515" s="7" t="s">
        <v>2</v>
      </c>
      <c r="B515" s="8" t="n">
        <v>22820.2024609011</v>
      </c>
      <c r="C515" s="5"/>
      <c r="D515" s="0"/>
      <c r="E515" s="0"/>
      <c r="F515" s="0"/>
      <c r="G515" s="0"/>
      <c r="H515" s="0"/>
      <c r="I515" s="0"/>
      <c r="J515" s="0"/>
      <c r="K515" s="0"/>
      <c r="L515" s="0"/>
      <c r="M515" s="0"/>
      <c r="N515" s="0"/>
      <c r="O515" s="0"/>
      <c r="P515" s="0"/>
      <c r="Q515" s="0"/>
      <c r="R515" s="0"/>
      <c r="S515" s="0"/>
      <c r="T515" s="0"/>
      <c r="U515" s="0"/>
      <c r="V515" s="0"/>
      <c r="W515" s="0"/>
      <c r="X515" s="0"/>
      <c r="Y515" s="0"/>
      <c r="Z515" s="0"/>
      <c r="AA515" s="0"/>
      <c r="AB515" s="0"/>
      <c r="AC515" s="0"/>
      <c r="AD515" s="0"/>
      <c r="AE515" s="0"/>
      <c r="AF515" s="0"/>
      <c r="AG515" s="0"/>
    </row>
    <row r="516" customFormat="false" ht="12.75" hidden="false" customHeight="false" outlineLevel="0" collapsed="false">
      <c r="A516" s="9" t="s">
        <v>3</v>
      </c>
      <c r="B516" s="10" t="n">
        <v>50563.5535158218</v>
      </c>
      <c r="C516" s="5"/>
      <c r="D516" s="0"/>
      <c r="E516" s="0"/>
      <c r="F516" s="0"/>
      <c r="G516" s="0"/>
      <c r="H516" s="0"/>
      <c r="I516" s="0"/>
      <c r="J516" s="0"/>
      <c r="K516" s="0"/>
      <c r="L516" s="0"/>
      <c r="M516" s="0"/>
      <c r="N516" s="0"/>
      <c r="O516" s="0"/>
      <c r="P516" s="0"/>
      <c r="Q516" s="0"/>
      <c r="R516" s="0"/>
      <c r="S516" s="0"/>
      <c r="T516" s="0"/>
      <c r="U516" s="0"/>
      <c r="V516" s="0"/>
      <c r="W516" s="0"/>
      <c r="X516" s="0"/>
      <c r="Y516" s="0"/>
      <c r="Z516" s="0"/>
      <c r="AA516" s="0"/>
      <c r="AB516" s="0"/>
      <c r="AC516" s="0"/>
      <c r="AD516" s="0"/>
      <c r="AE516" s="0"/>
      <c r="AF516" s="0"/>
      <c r="AG516" s="0"/>
    </row>
    <row r="517" customFormat="false" ht="12.75" hidden="false" customHeight="false" outlineLevel="0" collapsed="false">
      <c r="A517" s="11" t="s">
        <v>4</v>
      </c>
      <c r="B517" s="12" t="s">
        <v>5</v>
      </c>
      <c r="C517" s="12" t="s">
        <v>6</v>
      </c>
      <c r="D517" s="13" t="n">
        <v>1999</v>
      </c>
      <c r="E517" s="14" t="n">
        <v>2000</v>
      </c>
      <c r="F517" s="14" t="n">
        <v>2001</v>
      </c>
      <c r="G517" s="14" t="n">
        <v>2002</v>
      </c>
      <c r="H517" s="14" t="n">
        <v>2003</v>
      </c>
      <c r="I517" s="14" t="n">
        <v>2004</v>
      </c>
      <c r="J517" s="14" t="n">
        <v>2005</v>
      </c>
      <c r="K517" s="14" t="n">
        <v>2006</v>
      </c>
      <c r="L517" s="14" t="n">
        <v>2007</v>
      </c>
      <c r="M517" s="14" t="n">
        <v>2008</v>
      </c>
      <c r="N517" s="14" t="n">
        <v>2009</v>
      </c>
      <c r="O517" s="15" t="n">
        <v>2010</v>
      </c>
      <c r="P517" s="16" t="n">
        <v>2011</v>
      </c>
      <c r="Q517" s="16" t="n">
        <v>2012</v>
      </c>
      <c r="R517" s="16" t="n">
        <v>2013</v>
      </c>
      <c r="S517" s="16" t="n">
        <v>2014</v>
      </c>
      <c r="T517" s="16" t="n">
        <v>2015</v>
      </c>
      <c r="U517" s="16" t="n">
        <v>2016</v>
      </c>
      <c r="V517" s="16" t="n">
        <v>2017</v>
      </c>
      <c r="W517" s="16" t="n">
        <v>2018</v>
      </c>
      <c r="X517" s="16" t="n">
        <v>2019</v>
      </c>
      <c r="Y517" s="0"/>
      <c r="Z517" s="0"/>
      <c r="AA517" s="0"/>
      <c r="AB517" s="0"/>
      <c r="AC517" s="0"/>
      <c r="AD517" s="0"/>
      <c r="AE517" s="0"/>
      <c r="AF517" s="0"/>
      <c r="AG517" s="0"/>
    </row>
    <row r="518" customFormat="false" ht="12.75" hidden="false" customHeight="false" outlineLevel="0" collapsed="false">
      <c r="A518" s="11" t="s">
        <v>7</v>
      </c>
      <c r="B518" s="17" t="n">
        <f aca="false">NPV(0.1,D518:Y518)</f>
        <v>390111.776485654</v>
      </c>
      <c r="C518" s="17" t="n">
        <f aca="false">B518-B508</f>
        <v>4851.11088227615</v>
      </c>
      <c r="D518" s="18" t="n">
        <v>27166.1784825</v>
      </c>
      <c r="E518" s="19" t="n">
        <v>40347.8773374774</v>
      </c>
      <c r="F518" s="19" t="n">
        <v>40941.1228647172</v>
      </c>
      <c r="G518" s="19" t="n">
        <v>40999.6025001837</v>
      </c>
      <c r="H518" s="19" t="n">
        <v>45068.739154628</v>
      </c>
      <c r="I518" s="19" t="n">
        <v>48202.9893651706</v>
      </c>
      <c r="J518" s="19" t="n">
        <v>48607.3601573649</v>
      </c>
      <c r="K518" s="19" t="n">
        <v>49007.6682208296</v>
      </c>
      <c r="L518" s="19" t="n">
        <v>49975.9744618755</v>
      </c>
      <c r="M518" s="19" t="n">
        <v>50383.4812282928</v>
      </c>
      <c r="N518" s="19" t="n">
        <v>51393.0618595626</v>
      </c>
      <c r="O518" s="20" t="n">
        <v>51807.1594644032</v>
      </c>
      <c r="P518" s="21" t="n">
        <v>52859.4504427563</v>
      </c>
      <c r="Q518" s="21" t="n">
        <v>53279.4302849698</v>
      </c>
      <c r="R518" s="21" t="n">
        <v>53692.0931264851</v>
      </c>
      <c r="S518" s="21" t="n">
        <v>54096.6219654021</v>
      </c>
      <c r="T518" s="21" t="n">
        <v>54492.1573650078</v>
      </c>
      <c r="U518" s="21" t="n">
        <v>54877.7956429882</v>
      </c>
      <c r="V518" s="21" t="n">
        <v>55252.5869901864</v>
      </c>
      <c r="W518" s="21" t="n">
        <v>55615.5335163051</v>
      </c>
      <c r="X518" s="21" t="n">
        <v>24030.7198256636</v>
      </c>
      <c r="Y518" s="0"/>
      <c r="Z518" s="0"/>
      <c r="AA518" s="0"/>
      <c r="AB518" s="0"/>
      <c r="AC518" s="0"/>
      <c r="AD518" s="0"/>
      <c r="AE518" s="0"/>
      <c r="AF518" s="0"/>
      <c r="AG518" s="0"/>
    </row>
    <row r="519" customFormat="false" ht="12.75" hidden="false" customHeight="false" outlineLevel="0" collapsed="false">
      <c r="A519" s="22" t="s">
        <v>8</v>
      </c>
      <c r="B519" s="17" t="n">
        <f aca="false">NPV(0.1,D519:Y519)</f>
        <v>190405.732301775</v>
      </c>
      <c r="C519" s="17" t="n">
        <f aca="false">B519-B509</f>
        <v>4851.11088227612</v>
      </c>
      <c r="D519" s="18" t="n">
        <v>19471.9755512904</v>
      </c>
      <c r="E519" s="19" t="n">
        <v>21458.9086603494</v>
      </c>
      <c r="F519" s="19" t="n">
        <v>21777.2344897694</v>
      </c>
      <c r="G519" s="19" t="n">
        <v>21862.0541430331</v>
      </c>
      <c r="H519" s="19" t="n">
        <v>22046.3039205465</v>
      </c>
      <c r="I519" s="19" t="n">
        <v>22082.0865509744</v>
      </c>
      <c r="J519" s="19" t="n">
        <v>22193.2619343921</v>
      </c>
      <c r="K519" s="19" t="n">
        <v>22303.1504741111</v>
      </c>
      <c r="L519" s="19" t="n">
        <v>22417.3077804422</v>
      </c>
      <c r="M519" s="19" t="n">
        <v>22535.8338705454</v>
      </c>
      <c r="N519" s="19" t="n">
        <v>22653.4746254389</v>
      </c>
      <c r="O519" s="20" t="n">
        <v>23555.2559444117</v>
      </c>
      <c r="P519" s="21" t="n">
        <v>23622.789672157</v>
      </c>
      <c r="Q519" s="21" t="n">
        <v>23679.002553517</v>
      </c>
      <c r="R519" s="21" t="n">
        <v>23740.3098844882</v>
      </c>
      <c r="S519" s="21" t="n">
        <v>23811.1068951514</v>
      </c>
      <c r="T519" s="21" t="n">
        <v>23859.1939823449</v>
      </c>
      <c r="U519" s="21" t="n">
        <v>23896.6777585331</v>
      </c>
      <c r="V519" s="21" t="n">
        <v>23939.8798329669</v>
      </c>
      <c r="W519" s="21" t="n">
        <v>24086.4098645938</v>
      </c>
      <c r="X519" s="21" t="n">
        <v>12071.4029456992</v>
      </c>
      <c r="Y519" s="0"/>
      <c r="Z519" s="0"/>
      <c r="AA519" s="0"/>
      <c r="AB519" s="0"/>
      <c r="AC519" s="0"/>
      <c r="AD519" s="0"/>
      <c r="AE519" s="0"/>
      <c r="AF519" s="0"/>
      <c r="AG519" s="0"/>
    </row>
    <row r="520" customFormat="false" ht="12.75" hidden="false" customHeight="false" outlineLevel="0" collapsed="false">
      <c r="A520" s="22" t="s">
        <v>9</v>
      </c>
      <c r="B520" s="17" t="n">
        <f aca="false">NPV(0.1,D520:Y520)</f>
        <v>77265.4789229287</v>
      </c>
      <c r="C520" s="17" t="n">
        <f aca="false">B520-B510</f>
        <v>0</v>
      </c>
      <c r="D520" s="18" t="n">
        <v>1614.99695458718</v>
      </c>
      <c r="E520" s="19" t="n">
        <v>4213.0121994667</v>
      </c>
      <c r="F520" s="19" t="n">
        <v>4603.27055235023</v>
      </c>
      <c r="G520" s="19" t="n">
        <v>4865.80190813184</v>
      </c>
      <c r="H520" s="19" t="n">
        <v>7474.79881842772</v>
      </c>
      <c r="I520" s="19" t="n">
        <v>9662.47746255324</v>
      </c>
      <c r="J520" s="19" t="n">
        <v>10210.130238163</v>
      </c>
      <c r="K520" s="19" t="n">
        <v>10636.8565575663</v>
      </c>
      <c r="L520" s="19" t="n">
        <v>11441.3878114465</v>
      </c>
      <c r="M520" s="19" t="n">
        <v>11931.083362188</v>
      </c>
      <c r="N520" s="19" t="n">
        <v>12828.1921215392</v>
      </c>
      <c r="O520" s="20" t="n">
        <v>12907.5151741007</v>
      </c>
      <c r="P520" s="21" t="n">
        <v>13928.537860271</v>
      </c>
      <c r="Q520" s="21" t="n">
        <v>14613.1912961025</v>
      </c>
      <c r="R520" s="21" t="n">
        <v>15333.8504565342</v>
      </c>
      <c r="S520" s="21" t="n">
        <v>16114.2455488283</v>
      </c>
      <c r="T520" s="21" t="n">
        <v>16364.7029414042</v>
      </c>
      <c r="U520" s="21" t="n">
        <v>16582.3756638217</v>
      </c>
      <c r="V520" s="21" t="n">
        <v>16789.6914944528</v>
      </c>
      <c r="W520" s="21" t="n">
        <v>16924.9991446184</v>
      </c>
      <c r="X520" s="21" t="n">
        <v>4689.58901704522</v>
      </c>
      <c r="Y520" s="0"/>
      <c r="Z520" s="0"/>
      <c r="AA520" s="0"/>
      <c r="AB520" s="0"/>
      <c r="AC520" s="0"/>
      <c r="AD520" s="0"/>
      <c r="AE520" s="0"/>
      <c r="AF520" s="0"/>
      <c r="AG520" s="0"/>
    </row>
    <row r="521" customFormat="false" ht="12.75" hidden="false" customHeight="false" outlineLevel="0" collapsed="false">
      <c r="A521" s="22" t="s">
        <v>10</v>
      </c>
      <c r="B521" s="17" t="n">
        <f aca="false">NPV(0.1,D521:Y521)</f>
        <v>86091.6772746284</v>
      </c>
      <c r="C521" s="17" t="n">
        <f aca="false">B521-B511</f>
        <v>0</v>
      </c>
      <c r="D521" s="23" t="n">
        <v>2660.91184704333</v>
      </c>
      <c r="E521" s="24" t="n">
        <v>4069.68773768243</v>
      </c>
      <c r="F521" s="24" t="n">
        <v>6616.65780569283</v>
      </c>
      <c r="G521" s="24" t="n">
        <v>6607.54854953798</v>
      </c>
      <c r="H521" s="24" t="n">
        <v>14000.9873053661</v>
      </c>
      <c r="I521" s="24" t="n">
        <v>11870.0874224074</v>
      </c>
      <c r="J521" s="24" t="n">
        <v>11516.2490225701</v>
      </c>
      <c r="K521" s="24" t="n">
        <v>11426.2300102365</v>
      </c>
      <c r="L521" s="24" t="n">
        <v>11445.5165914062</v>
      </c>
      <c r="M521" s="24" t="n">
        <v>11324.7098479751</v>
      </c>
      <c r="N521" s="24" t="n">
        <v>11304.3710052788</v>
      </c>
      <c r="O521" s="25" t="n">
        <v>11743.5141980905</v>
      </c>
      <c r="P521" s="21" t="n">
        <v>10867.5431175649</v>
      </c>
      <c r="Q521" s="21" t="n">
        <v>10655.4992011385</v>
      </c>
      <c r="R521" s="21" t="n">
        <v>10418.7779691033</v>
      </c>
      <c r="S521" s="21" t="n">
        <v>20589.7754152638</v>
      </c>
      <c r="T521" s="21" t="n">
        <v>19055.9112371849</v>
      </c>
      <c r="U521" s="21" t="n">
        <v>19223.4523236374</v>
      </c>
      <c r="V521" s="21" t="n">
        <v>19430.7681542685</v>
      </c>
      <c r="W521" s="21" t="n">
        <v>19663.7581202236</v>
      </c>
      <c r="X521" s="21" t="n">
        <v>7477.18915054522</v>
      </c>
      <c r="Y521" s="0"/>
      <c r="Z521" s="0"/>
      <c r="AA521" s="0"/>
      <c r="AB521" s="0"/>
      <c r="AC521" s="0"/>
      <c r="AD521" s="0"/>
      <c r="AE521" s="0"/>
      <c r="AF521" s="0"/>
      <c r="AG521" s="0"/>
    </row>
    <row r="522" customFormat="false" ht="12.75" hidden="false" customHeight="false" outlineLevel="0" collapsed="false">
      <c r="A522" s="5"/>
      <c r="B522" s="5"/>
      <c r="C522" s="5"/>
      <c r="D522" s="0"/>
      <c r="E522" s="0"/>
      <c r="F522" s="0"/>
      <c r="G522" s="0"/>
      <c r="H522" s="0"/>
      <c r="I522" s="0"/>
      <c r="J522" s="0"/>
      <c r="K522" s="0"/>
      <c r="L522" s="0"/>
      <c r="M522" s="0"/>
      <c r="N522" s="0"/>
      <c r="O522" s="0"/>
      <c r="P522" s="0"/>
      <c r="Q522" s="0"/>
      <c r="R522" s="0"/>
      <c r="S522" s="0"/>
      <c r="T522" s="0"/>
      <c r="U522" s="0"/>
      <c r="V522" s="0"/>
      <c r="W522" s="0"/>
      <c r="X522" s="0"/>
      <c r="Y522" s="0"/>
      <c r="Z522" s="0"/>
      <c r="AA522" s="0"/>
      <c r="AB522" s="0"/>
      <c r="AC522" s="0"/>
      <c r="AD522" s="0"/>
      <c r="AE522" s="0"/>
      <c r="AF522" s="0"/>
      <c r="AG522" s="0"/>
    </row>
    <row r="523" customFormat="false" ht="12.75" hidden="false" customHeight="false" outlineLevel="0" collapsed="false">
      <c r="A523" s="26" t="s">
        <v>64</v>
      </c>
      <c r="B523" s="5"/>
      <c r="C523" s="5"/>
      <c r="D523" s="0"/>
      <c r="E523" s="0"/>
      <c r="F523" s="0"/>
      <c r="G523" s="0"/>
      <c r="H523" s="0"/>
      <c r="I523" s="0"/>
      <c r="J523" s="0"/>
      <c r="K523" s="0"/>
      <c r="L523" s="0"/>
      <c r="M523" s="0"/>
      <c r="N523" s="0"/>
      <c r="O523" s="0"/>
      <c r="P523" s="0"/>
      <c r="Q523" s="0"/>
      <c r="R523" s="0"/>
      <c r="S523" s="0"/>
      <c r="T523" s="0"/>
      <c r="U523" s="0"/>
      <c r="V523" s="0"/>
      <c r="W523" s="0"/>
      <c r="X523" s="0"/>
      <c r="Y523" s="0"/>
      <c r="Z523" s="0"/>
      <c r="AA523" s="0"/>
      <c r="AB523" s="0"/>
      <c r="AC523" s="0"/>
      <c r="AD523" s="0"/>
      <c r="AE523" s="0"/>
      <c r="AF523" s="0"/>
      <c r="AG523" s="0"/>
    </row>
    <row r="524" customFormat="false" ht="12.75" hidden="false" customHeight="false" outlineLevel="0" collapsed="false">
      <c r="A524" s="28" t="n">
        <v>36322</v>
      </c>
      <c r="B524" s="5"/>
      <c r="C524" s="5"/>
      <c r="D524" s="0"/>
      <c r="E524" s="0"/>
      <c r="F524" s="0"/>
      <c r="G524" s="0"/>
      <c r="H524" s="0"/>
      <c r="I524" s="0"/>
      <c r="J524" s="0"/>
      <c r="K524" s="0"/>
      <c r="L524" s="0"/>
      <c r="M524" s="0"/>
      <c r="N524" s="0"/>
      <c r="O524" s="0"/>
      <c r="P524" s="0"/>
      <c r="Q524" s="0"/>
      <c r="R524" s="0"/>
      <c r="S524" s="0"/>
      <c r="T524" s="0"/>
      <c r="U524" s="0"/>
      <c r="V524" s="0"/>
      <c r="W524" s="0"/>
      <c r="X524" s="0"/>
      <c r="Y524" s="0"/>
      <c r="Z524" s="0"/>
      <c r="AA524" s="0"/>
      <c r="AB524" s="0"/>
      <c r="AC524" s="0"/>
      <c r="AD524" s="0"/>
      <c r="AE524" s="0"/>
      <c r="AF524" s="0"/>
      <c r="AG524" s="0"/>
    </row>
    <row r="525" customFormat="false" ht="12.75" hidden="false" customHeight="false" outlineLevel="0" collapsed="false">
      <c r="A525" s="7" t="s">
        <v>2</v>
      </c>
      <c r="B525" s="8" t="n">
        <v>22850.659748334</v>
      </c>
      <c r="C525" s="5"/>
      <c r="D525" s="0"/>
      <c r="E525" s="0"/>
      <c r="F525" s="0"/>
      <c r="G525" s="0"/>
      <c r="H525" s="0"/>
      <c r="I525" s="0"/>
      <c r="J525" s="0"/>
      <c r="K525" s="0"/>
      <c r="L525" s="0"/>
      <c r="M525" s="0"/>
      <c r="N525" s="0"/>
      <c r="O525" s="0"/>
      <c r="P525" s="0"/>
      <c r="Q525" s="0"/>
      <c r="R525" s="0"/>
      <c r="S525" s="0"/>
      <c r="T525" s="0"/>
      <c r="U525" s="0"/>
      <c r="V525" s="0"/>
      <c r="W525" s="0"/>
      <c r="X525" s="0"/>
      <c r="Y525" s="0"/>
      <c r="Z525" s="0"/>
      <c r="AA525" s="0"/>
      <c r="AB525" s="0"/>
      <c r="AC525" s="0"/>
      <c r="AD525" s="0"/>
      <c r="AE525" s="0"/>
      <c r="AF525" s="0"/>
      <c r="AG525" s="0"/>
    </row>
    <row r="526" customFormat="false" ht="12.75" hidden="false" customHeight="false" outlineLevel="0" collapsed="false">
      <c r="A526" s="9" t="s">
        <v>3</v>
      </c>
      <c r="B526" s="10" t="n">
        <v>50597.9740288868</v>
      </c>
      <c r="C526" s="5"/>
      <c r="D526" s="0"/>
      <c r="E526" s="0"/>
      <c r="F526" s="0"/>
      <c r="G526" s="0"/>
      <c r="H526" s="0"/>
      <c r="I526" s="0"/>
      <c r="J526" s="0"/>
      <c r="K526" s="0"/>
      <c r="L526" s="0"/>
      <c r="M526" s="0"/>
      <c r="N526" s="0"/>
      <c r="O526" s="0"/>
      <c r="P526" s="0"/>
      <c r="Q526" s="0"/>
      <c r="R526" s="0"/>
      <c r="S526" s="0"/>
      <c r="T526" s="0"/>
      <c r="U526" s="0"/>
      <c r="V526" s="0"/>
      <c r="W526" s="0"/>
      <c r="X526" s="0"/>
      <c r="Y526" s="0"/>
      <c r="Z526" s="0"/>
      <c r="AA526" s="0"/>
      <c r="AB526" s="0"/>
      <c r="AC526" s="0"/>
      <c r="AD526" s="0"/>
      <c r="AE526" s="0"/>
      <c r="AF526" s="0"/>
      <c r="AG526" s="0"/>
    </row>
    <row r="527" customFormat="false" ht="12.75" hidden="false" customHeight="false" outlineLevel="0" collapsed="false">
      <c r="A527" s="11" t="s">
        <v>4</v>
      </c>
      <c r="B527" s="12" t="s">
        <v>5</v>
      </c>
      <c r="C527" s="12" t="s">
        <v>6</v>
      </c>
      <c r="D527" s="13" t="n">
        <v>1999</v>
      </c>
      <c r="E527" s="14" t="n">
        <v>2000</v>
      </c>
      <c r="F527" s="14" t="n">
        <v>2001</v>
      </c>
      <c r="G527" s="14" t="n">
        <v>2002</v>
      </c>
      <c r="H527" s="14" t="n">
        <v>2003</v>
      </c>
      <c r="I527" s="14" t="n">
        <v>2004</v>
      </c>
      <c r="J527" s="14" t="n">
        <v>2005</v>
      </c>
      <c r="K527" s="14" t="n">
        <v>2006</v>
      </c>
      <c r="L527" s="14" t="n">
        <v>2007</v>
      </c>
      <c r="M527" s="14" t="n">
        <v>2008</v>
      </c>
      <c r="N527" s="14" t="n">
        <v>2009</v>
      </c>
      <c r="O527" s="15" t="n">
        <v>2010</v>
      </c>
      <c r="P527" s="16" t="n">
        <v>2011</v>
      </c>
      <c r="Q527" s="16" t="n">
        <v>2012</v>
      </c>
      <c r="R527" s="16" t="n">
        <v>2013</v>
      </c>
      <c r="S527" s="16" t="n">
        <v>2014</v>
      </c>
      <c r="T527" s="16" t="n">
        <v>2015</v>
      </c>
      <c r="U527" s="16" t="n">
        <v>2016</v>
      </c>
      <c r="V527" s="16" t="n">
        <v>2017</v>
      </c>
      <c r="W527" s="16" t="n">
        <v>2018</v>
      </c>
      <c r="X527" s="16" t="n">
        <v>2019</v>
      </c>
      <c r="Y527" s="0"/>
      <c r="Z527" s="0"/>
      <c r="AA527" s="0"/>
      <c r="AB527" s="0"/>
      <c r="AC527" s="0"/>
      <c r="AD527" s="0"/>
      <c r="AE527" s="0"/>
      <c r="AF527" s="0"/>
      <c r="AG527" s="0"/>
    </row>
    <row r="528" customFormat="false" ht="12.75" hidden="false" customHeight="false" outlineLevel="0" collapsed="false">
      <c r="A528" s="11" t="s">
        <v>7</v>
      </c>
      <c r="B528" s="17" t="n">
        <f aca="false">NPV(0.1,D528:Y528)</f>
        <v>390111.776485654</v>
      </c>
      <c r="C528" s="17" t="n">
        <f aca="false">B528-B518</f>
        <v>0</v>
      </c>
      <c r="D528" s="18" t="n">
        <v>27166.1784825</v>
      </c>
      <c r="E528" s="19" t="n">
        <v>40347.8773374774</v>
      </c>
      <c r="F528" s="19" t="n">
        <v>40941.1228647172</v>
      </c>
      <c r="G528" s="19" t="n">
        <v>40999.6025001837</v>
      </c>
      <c r="H528" s="19" t="n">
        <v>45068.739154628</v>
      </c>
      <c r="I528" s="19" t="n">
        <v>48202.9893651706</v>
      </c>
      <c r="J528" s="19" t="n">
        <v>48607.3601573649</v>
      </c>
      <c r="K528" s="19" t="n">
        <v>49007.6682208296</v>
      </c>
      <c r="L528" s="19" t="n">
        <v>49975.9744618755</v>
      </c>
      <c r="M528" s="19" t="n">
        <v>50383.4812282928</v>
      </c>
      <c r="N528" s="19" t="n">
        <v>51393.0618595626</v>
      </c>
      <c r="O528" s="20" t="n">
        <v>51807.1594644032</v>
      </c>
      <c r="P528" s="21" t="n">
        <v>52859.4504427563</v>
      </c>
      <c r="Q528" s="21" t="n">
        <v>53279.4302849698</v>
      </c>
      <c r="R528" s="21" t="n">
        <v>53692.0931264851</v>
      </c>
      <c r="S528" s="21" t="n">
        <v>54096.6219654021</v>
      </c>
      <c r="T528" s="21" t="n">
        <v>54492.1573650078</v>
      </c>
      <c r="U528" s="21" t="n">
        <v>54877.7956429882</v>
      </c>
      <c r="V528" s="21" t="n">
        <v>55252.5869901864</v>
      </c>
      <c r="W528" s="21" t="n">
        <v>55615.5335163051</v>
      </c>
      <c r="X528" s="21" t="n">
        <v>24030.7198256636</v>
      </c>
      <c r="Y528" s="0"/>
      <c r="Z528" s="0"/>
      <c r="AA528" s="0"/>
      <c r="AB528" s="0"/>
      <c r="AC528" s="0"/>
      <c r="AD528" s="0"/>
      <c r="AE528" s="0"/>
      <c r="AF528" s="0"/>
      <c r="AG528" s="0"/>
    </row>
    <row r="529" customFormat="false" ht="12.75" hidden="false" customHeight="false" outlineLevel="0" collapsed="false">
      <c r="A529" s="22" t="s">
        <v>8</v>
      </c>
      <c r="B529" s="17" t="n">
        <f aca="false">NPV(0.1,D529:Y529)</f>
        <v>190410.444588018</v>
      </c>
      <c r="C529" s="17" t="n">
        <f aca="false">B529-B519</f>
        <v>4.71228624356445</v>
      </c>
      <c r="D529" s="18" t="n">
        <v>19471.8738738131</v>
      </c>
      <c r="E529" s="19" t="n">
        <v>21459.4971731312</v>
      </c>
      <c r="F529" s="19" t="n">
        <v>21777.7975572073</v>
      </c>
      <c r="G529" s="19" t="n">
        <v>21862.5917550206</v>
      </c>
      <c r="H529" s="19" t="n">
        <v>22046.8191587377</v>
      </c>
      <c r="I529" s="19" t="n">
        <v>22082.5804728855</v>
      </c>
      <c r="J529" s="19" t="n">
        <v>22193.7437434318</v>
      </c>
      <c r="K529" s="19" t="n">
        <v>22303.613099721</v>
      </c>
      <c r="L529" s="19" t="n">
        <v>22417.7512077784</v>
      </c>
      <c r="M529" s="19" t="n">
        <v>22536.2581144517</v>
      </c>
      <c r="N529" s="19" t="n">
        <v>22653.8725856693</v>
      </c>
      <c r="O529" s="20" t="n">
        <v>23556.6479337339</v>
      </c>
      <c r="P529" s="21" t="n">
        <v>23624.0774383786</v>
      </c>
      <c r="Q529" s="21" t="n">
        <v>23680.1648552749</v>
      </c>
      <c r="R529" s="21" t="n">
        <v>23741.3467069387</v>
      </c>
      <c r="S529" s="21" t="n">
        <v>23812.0196464236</v>
      </c>
      <c r="T529" s="21" t="n">
        <v>23859.94387296</v>
      </c>
      <c r="U529" s="21" t="n">
        <v>23897.2435322841</v>
      </c>
      <c r="V529" s="21" t="n">
        <v>23940.2614898539</v>
      </c>
      <c r="W529" s="21" t="n">
        <v>24086.7349418573</v>
      </c>
      <c r="X529" s="21" t="n">
        <v>12071.7352119595</v>
      </c>
      <c r="Y529" s="0"/>
      <c r="Z529" s="0"/>
      <c r="AA529" s="0"/>
      <c r="AB529" s="0"/>
      <c r="AC529" s="0"/>
      <c r="AD529" s="0"/>
      <c r="AE529" s="0"/>
      <c r="AF529" s="0"/>
      <c r="AG529" s="0"/>
    </row>
    <row r="530" customFormat="false" ht="12.75" hidden="false" customHeight="false" outlineLevel="0" collapsed="false">
      <c r="A530" s="22" t="s">
        <v>9</v>
      </c>
      <c r="B530" s="17" t="n">
        <f aca="false">NPV(0.1,D530:Y530)</f>
        <v>77247.0823055172</v>
      </c>
      <c r="C530" s="17" t="n">
        <f aca="false">B530-B520</f>
        <v>-18.3966174114466</v>
      </c>
      <c r="D530" s="18" t="n">
        <v>1613.16630574278</v>
      </c>
      <c r="E530" s="19" t="n">
        <v>4208.1050232641</v>
      </c>
      <c r="F530" s="19" t="n">
        <v>4598.36981796849</v>
      </c>
      <c r="G530" s="19" t="n">
        <v>4860.90770000309</v>
      </c>
      <c r="H530" s="19" t="n">
        <v>7469.91226061172</v>
      </c>
      <c r="I530" s="19" t="n">
        <v>9659.31181089013</v>
      </c>
      <c r="J530" s="19" t="n">
        <v>10209.3640192241</v>
      </c>
      <c r="K530" s="19" t="n">
        <v>10636.10000874</v>
      </c>
      <c r="L530" s="19" t="n">
        <v>11440.6411351798</v>
      </c>
      <c r="M530" s="19" t="n">
        <v>11930.3467581133</v>
      </c>
      <c r="N530" s="19" t="n">
        <v>12827.4702541961</v>
      </c>
      <c r="O530" s="20" t="n">
        <v>12906.1705084763</v>
      </c>
      <c r="P530" s="21" t="n">
        <v>13927.2372972009</v>
      </c>
      <c r="Q530" s="21" t="n">
        <v>14611.9484907591</v>
      </c>
      <c r="R530" s="21" t="n">
        <v>15332.6662425751</v>
      </c>
      <c r="S530" s="21" t="n">
        <v>16114.5493289161</v>
      </c>
      <c r="T530" s="21" t="n">
        <v>16367.1096944313</v>
      </c>
      <c r="U530" s="21" t="n">
        <v>16584.8975301643</v>
      </c>
      <c r="V530" s="21" t="n">
        <v>16792.328474111</v>
      </c>
      <c r="W530" s="21" t="n">
        <v>16927.671498918</v>
      </c>
      <c r="X530" s="21" t="n">
        <v>4692.2568766493</v>
      </c>
      <c r="Y530" s="0"/>
      <c r="Z530" s="0"/>
      <c r="AA530" s="0"/>
      <c r="AB530" s="0"/>
      <c r="AC530" s="0"/>
      <c r="AD530" s="0"/>
      <c r="AE530" s="0"/>
      <c r="AF530" s="0"/>
      <c r="AG530" s="0"/>
    </row>
    <row r="531" customFormat="false" ht="12.75" hidden="false" customHeight="false" outlineLevel="0" collapsed="false">
      <c r="A531" s="22" t="s">
        <v>10</v>
      </c>
      <c r="B531" s="17" t="n">
        <f aca="false">NPV(0.1,D531:Y531)</f>
        <v>86085.0900512505</v>
      </c>
      <c r="C531" s="17" t="n">
        <f aca="false">B531-B521</f>
        <v>-6.58722337793734</v>
      </c>
      <c r="D531" s="23" t="n">
        <v>2660.9470105042</v>
      </c>
      <c r="E531" s="24" t="n">
        <v>4070.18742320025</v>
      </c>
      <c r="F531" s="24" t="n">
        <v>6616.4488718836</v>
      </c>
      <c r="G531" s="24" t="n">
        <v>6607.34841907199</v>
      </c>
      <c r="H531" s="24" t="n">
        <v>13999.420115224</v>
      </c>
      <c r="I531" s="24" t="n">
        <v>11869.8137955182</v>
      </c>
      <c r="J531" s="24" t="n">
        <v>11514.692463071</v>
      </c>
      <c r="K531" s="24" t="n">
        <v>11424.6661699683</v>
      </c>
      <c r="L531" s="24" t="n">
        <v>11443.9643321604</v>
      </c>
      <c r="M531" s="24" t="n">
        <v>11323.1571620589</v>
      </c>
      <c r="N531" s="24" t="n">
        <v>11302.8241240042</v>
      </c>
      <c r="O531" s="25" t="n">
        <v>11742.7611735191</v>
      </c>
      <c r="P531" s="21" t="n">
        <v>10865.7315587041</v>
      </c>
      <c r="Q531" s="21" t="n">
        <v>10653.7014652569</v>
      </c>
      <c r="R531" s="21" t="n">
        <v>10417.0267333198</v>
      </c>
      <c r="S531" s="21" t="n">
        <v>20588.5649136016</v>
      </c>
      <c r="T531" s="21" t="n">
        <v>19055.2719156683</v>
      </c>
      <c r="U531" s="21" t="n">
        <v>19222.906805956</v>
      </c>
      <c r="V531" s="21" t="n">
        <v>19430.3377499027</v>
      </c>
      <c r="W531" s="21" t="n">
        <v>19663.4909473819</v>
      </c>
      <c r="X531" s="21" t="n">
        <v>7476.9814114493</v>
      </c>
      <c r="Y531" s="0"/>
      <c r="Z531" s="0"/>
      <c r="AA531" s="0"/>
      <c r="AB531" s="0"/>
      <c r="AC531" s="0"/>
      <c r="AD531" s="0"/>
      <c r="AE531" s="0"/>
      <c r="AF531" s="0"/>
      <c r="AG531" s="0"/>
    </row>
    <row r="532" customFormat="false" ht="12.75" hidden="false" customHeight="false" outlineLevel="0" collapsed="false">
      <c r="A532" s="5"/>
      <c r="B532" s="5"/>
      <c r="C532" s="5"/>
      <c r="D532" s="0"/>
      <c r="E532" s="0"/>
      <c r="F532" s="0"/>
      <c r="G532" s="0"/>
      <c r="H532" s="0"/>
      <c r="I532" s="0"/>
      <c r="J532" s="0"/>
      <c r="K532" s="0"/>
      <c r="L532" s="0"/>
      <c r="M532" s="0"/>
      <c r="N532" s="0"/>
      <c r="O532" s="0"/>
      <c r="P532" s="0"/>
      <c r="Q532" s="0"/>
      <c r="R532" s="0"/>
      <c r="S532" s="0"/>
      <c r="T532" s="0"/>
      <c r="U532" s="0"/>
      <c r="V532" s="0"/>
      <c r="W532" s="0"/>
      <c r="X532" s="0"/>
      <c r="Y532" s="0"/>
      <c r="Z532" s="0"/>
      <c r="AA532" s="0"/>
      <c r="AB532" s="0"/>
      <c r="AC532" s="0"/>
      <c r="AD532" s="0"/>
      <c r="AE532" s="0"/>
      <c r="AF532" s="0"/>
      <c r="AG532" s="0"/>
    </row>
    <row r="533" customFormat="false" ht="12.75" hidden="false" customHeight="false" outlineLevel="0" collapsed="false">
      <c r="A533" s="26" t="s">
        <v>65</v>
      </c>
      <c r="B533" s="5"/>
      <c r="C533" s="5"/>
      <c r="D533" s="0"/>
      <c r="E533" s="0"/>
      <c r="F533" s="0"/>
      <c r="G533" s="0"/>
      <c r="H533" s="0"/>
      <c r="I533" s="0"/>
      <c r="J533" s="0"/>
      <c r="K533" s="0"/>
      <c r="L533" s="0"/>
      <c r="M533" s="0"/>
      <c r="N533" s="0"/>
      <c r="O533" s="0"/>
      <c r="P533" s="0"/>
      <c r="Q533" s="0"/>
      <c r="R533" s="0"/>
      <c r="S533" s="0"/>
      <c r="T533" s="0"/>
      <c r="U533" s="0"/>
      <c r="V533" s="0"/>
      <c r="W533" s="0"/>
      <c r="X533" s="0"/>
      <c r="Y533" s="0"/>
      <c r="Z533" s="0"/>
      <c r="AA533" s="0"/>
      <c r="AB533" s="0"/>
      <c r="AC533" s="0"/>
      <c r="AD533" s="0"/>
      <c r="AE533" s="0"/>
      <c r="AF533" s="0"/>
      <c r="AG533" s="0"/>
    </row>
    <row r="534" customFormat="false" ht="12.75" hidden="false" customHeight="false" outlineLevel="0" collapsed="false">
      <c r="A534" s="28" t="n">
        <v>36340</v>
      </c>
      <c r="B534" s="5"/>
      <c r="C534" s="5"/>
      <c r="D534" s="0"/>
      <c r="E534" s="0"/>
      <c r="F534" s="0"/>
      <c r="G534" s="0"/>
      <c r="H534" s="0"/>
      <c r="I534" s="0"/>
      <c r="J534" s="0"/>
      <c r="K534" s="0"/>
      <c r="L534" s="0"/>
      <c r="M534" s="0"/>
      <c r="N534" s="0"/>
      <c r="O534" s="0"/>
      <c r="P534" s="0"/>
      <c r="Q534" s="0"/>
      <c r="R534" s="0"/>
      <c r="S534" s="0"/>
      <c r="T534" s="0"/>
      <c r="U534" s="0"/>
      <c r="V534" s="0"/>
      <c r="W534" s="0"/>
      <c r="X534" s="0"/>
      <c r="Y534" s="0"/>
      <c r="Z534" s="0"/>
      <c r="AA534" s="0"/>
      <c r="AB534" s="0"/>
      <c r="AC534" s="0"/>
      <c r="AD534" s="0"/>
      <c r="AE534" s="0"/>
      <c r="AF534" s="0"/>
      <c r="AG534" s="0"/>
    </row>
    <row r="535" customFormat="false" ht="12.75" hidden="false" customHeight="false" outlineLevel="0" collapsed="false">
      <c r="A535" s="7" t="s">
        <v>2</v>
      </c>
      <c r="B535" s="8" t="n">
        <v>27078.5886590858</v>
      </c>
      <c r="C535" s="5"/>
      <c r="D535" s="0"/>
      <c r="E535" s="0"/>
      <c r="F535" s="0"/>
      <c r="G535" s="0"/>
      <c r="H535" s="0"/>
      <c r="I535" s="0"/>
      <c r="J535" s="0"/>
      <c r="K535" s="0"/>
      <c r="L535" s="0"/>
      <c r="M535" s="0"/>
      <c r="N535" s="0"/>
      <c r="O535" s="0"/>
      <c r="P535" s="0"/>
      <c r="Q535" s="0"/>
      <c r="R535" s="0"/>
      <c r="S535" s="0"/>
      <c r="T535" s="0"/>
      <c r="U535" s="0"/>
      <c r="V535" s="0"/>
      <c r="W535" s="0"/>
      <c r="X535" s="0"/>
      <c r="Y535" s="0"/>
      <c r="Z535" s="0"/>
      <c r="AA535" s="0"/>
      <c r="AB535" s="0"/>
      <c r="AC535" s="0"/>
      <c r="AD535" s="0"/>
      <c r="AE535" s="0"/>
      <c r="AF535" s="0"/>
      <c r="AG535" s="0"/>
    </row>
    <row r="536" customFormat="false" ht="12.75" hidden="false" customHeight="false" outlineLevel="0" collapsed="false">
      <c r="A536" s="9" t="s">
        <v>3</v>
      </c>
      <c r="B536" s="10" t="n">
        <v>50263.431438835</v>
      </c>
      <c r="C536" s="5"/>
      <c r="D536" s="0"/>
      <c r="E536" s="0"/>
      <c r="F536" s="0"/>
      <c r="G536" s="0"/>
      <c r="H536" s="0"/>
      <c r="I536" s="0"/>
      <c r="J536" s="0"/>
      <c r="K536" s="0"/>
      <c r="L536" s="0"/>
      <c r="M536" s="0"/>
      <c r="N536" s="0"/>
      <c r="O536" s="0"/>
      <c r="P536" s="0"/>
      <c r="Q536" s="0"/>
      <c r="R536" s="0"/>
      <c r="S536" s="0"/>
      <c r="T536" s="0"/>
      <c r="U536" s="0"/>
      <c r="V536" s="0"/>
      <c r="W536" s="0"/>
      <c r="X536" s="0"/>
      <c r="Y536" s="0"/>
      <c r="Z536" s="0"/>
      <c r="AA536" s="0"/>
      <c r="AB536" s="0"/>
      <c r="AC536" s="0"/>
      <c r="AD536" s="0"/>
      <c r="AE536" s="0"/>
      <c r="AF536" s="0"/>
      <c r="AG536" s="0"/>
    </row>
    <row r="537" customFormat="false" ht="12.75" hidden="false" customHeight="false" outlineLevel="0" collapsed="false">
      <c r="A537" s="11" t="s">
        <v>4</v>
      </c>
      <c r="B537" s="12" t="s">
        <v>5</v>
      </c>
      <c r="C537" s="12" t="s">
        <v>6</v>
      </c>
      <c r="D537" s="13" t="n">
        <v>1999</v>
      </c>
      <c r="E537" s="14" t="n">
        <v>2000</v>
      </c>
      <c r="F537" s="14" t="n">
        <v>2001</v>
      </c>
      <c r="G537" s="14" t="n">
        <v>2002</v>
      </c>
      <c r="H537" s="14" t="n">
        <v>2003</v>
      </c>
      <c r="I537" s="14" t="n">
        <v>2004</v>
      </c>
      <c r="J537" s="14" t="n">
        <v>2005</v>
      </c>
      <c r="K537" s="14" t="n">
        <v>2006</v>
      </c>
      <c r="L537" s="14" t="n">
        <v>2007</v>
      </c>
      <c r="M537" s="14" t="n">
        <v>2008</v>
      </c>
      <c r="N537" s="14" t="n">
        <v>2009</v>
      </c>
      <c r="O537" s="15" t="n">
        <v>2010</v>
      </c>
      <c r="P537" s="16" t="n">
        <v>2011</v>
      </c>
      <c r="Q537" s="16" t="n">
        <v>2012</v>
      </c>
      <c r="R537" s="16" t="n">
        <v>2013</v>
      </c>
      <c r="S537" s="16" t="n">
        <v>2014</v>
      </c>
      <c r="T537" s="16" t="n">
        <v>2015</v>
      </c>
      <c r="U537" s="16" t="n">
        <v>2016</v>
      </c>
      <c r="V537" s="16" t="n">
        <v>2017</v>
      </c>
      <c r="W537" s="16" t="n">
        <v>2018</v>
      </c>
      <c r="X537" s="16" t="n">
        <v>2019</v>
      </c>
      <c r="Y537" s="0"/>
      <c r="Z537" s="0"/>
      <c r="AA537" s="0"/>
      <c r="AB537" s="0"/>
      <c r="AC537" s="0"/>
      <c r="AD537" s="0"/>
      <c r="AE537" s="0"/>
      <c r="AF537" s="0"/>
      <c r="AG537" s="0"/>
    </row>
    <row r="538" customFormat="false" ht="12.75" hidden="false" customHeight="false" outlineLevel="0" collapsed="false">
      <c r="A538" s="11" t="s">
        <v>7</v>
      </c>
      <c r="B538" s="17" t="n">
        <f aca="false">NPV(0.1,D538:Y538)</f>
        <v>390111.776485654</v>
      </c>
      <c r="C538" s="17" t="n">
        <f aca="false">B538-B528</f>
        <v>0</v>
      </c>
      <c r="D538" s="18" t="n">
        <v>27166.1784825</v>
      </c>
      <c r="E538" s="19" t="n">
        <v>40347.8773374774</v>
      </c>
      <c r="F538" s="19" t="n">
        <v>40941.1228647172</v>
      </c>
      <c r="G538" s="19" t="n">
        <v>40999.6025001837</v>
      </c>
      <c r="H538" s="19" t="n">
        <v>45068.739154628</v>
      </c>
      <c r="I538" s="19" t="n">
        <v>48202.9893651706</v>
      </c>
      <c r="J538" s="19" t="n">
        <v>48607.3601573649</v>
      </c>
      <c r="K538" s="19" t="n">
        <v>49007.6682208296</v>
      </c>
      <c r="L538" s="19" t="n">
        <v>49975.9744618755</v>
      </c>
      <c r="M538" s="19" t="n">
        <v>50383.4812282928</v>
      </c>
      <c r="N538" s="19" t="n">
        <v>51393.0618595626</v>
      </c>
      <c r="O538" s="20" t="n">
        <v>51807.1594644032</v>
      </c>
      <c r="P538" s="21" t="n">
        <v>52859.4504427563</v>
      </c>
      <c r="Q538" s="21" t="n">
        <v>53279.4302849698</v>
      </c>
      <c r="R538" s="21" t="n">
        <v>53692.0931264851</v>
      </c>
      <c r="S538" s="21" t="n">
        <v>54096.6219654021</v>
      </c>
      <c r="T538" s="21" t="n">
        <v>54492.1573650078</v>
      </c>
      <c r="U538" s="21" t="n">
        <v>54877.7956429882</v>
      </c>
      <c r="V538" s="21" t="n">
        <v>55252.5869901864</v>
      </c>
      <c r="W538" s="21" t="n">
        <v>55615.5335163051</v>
      </c>
      <c r="X538" s="21" t="n">
        <v>24030.7198256636</v>
      </c>
      <c r="Y538" s="0"/>
      <c r="Z538" s="0"/>
      <c r="AA538" s="0"/>
      <c r="AB538" s="0"/>
      <c r="AC538" s="0"/>
      <c r="AD538" s="0"/>
      <c r="AE538" s="0"/>
      <c r="AF538" s="0"/>
      <c r="AG538" s="0"/>
    </row>
    <row r="539" customFormat="false" ht="12.75" hidden="false" customHeight="false" outlineLevel="0" collapsed="false">
      <c r="A539" s="22" t="s">
        <v>8</v>
      </c>
      <c r="B539" s="17" t="n">
        <f aca="false">NPV(0.1,D539:Y539)</f>
        <v>190445.892557037</v>
      </c>
      <c r="C539" s="17" t="n">
        <f aca="false">B539-B529</f>
        <v>35.4479690187436</v>
      </c>
      <c r="D539" s="18" t="n">
        <v>19477.6427575323</v>
      </c>
      <c r="E539" s="19" t="n">
        <v>21466.7137416466</v>
      </c>
      <c r="F539" s="19" t="n">
        <v>21786.5462199042</v>
      </c>
      <c r="G539" s="19" t="n">
        <v>21872.874186022</v>
      </c>
      <c r="H539" s="19" t="n">
        <v>22058.13036868</v>
      </c>
      <c r="I539" s="19" t="n">
        <v>22084.7203876541</v>
      </c>
      <c r="J539" s="19" t="n">
        <v>22194.1359506853</v>
      </c>
      <c r="K539" s="19" t="n">
        <v>22304.0664301828</v>
      </c>
      <c r="L539" s="19" t="n">
        <v>22418.2656614486</v>
      </c>
      <c r="M539" s="19" t="n">
        <v>22536.8336913302</v>
      </c>
      <c r="N539" s="19" t="n">
        <v>22654.5092857561</v>
      </c>
      <c r="O539" s="20" t="n">
        <v>23557.345757029</v>
      </c>
      <c r="P539" s="21" t="n">
        <v>23624.8363848821</v>
      </c>
      <c r="Q539" s="21" t="n">
        <v>23680.9849249867</v>
      </c>
      <c r="R539" s="21" t="n">
        <v>23742.2278998589</v>
      </c>
      <c r="S539" s="21" t="n">
        <v>23812.8600905382</v>
      </c>
      <c r="T539" s="21" t="n">
        <v>23860.6009474495</v>
      </c>
      <c r="U539" s="21" t="n">
        <v>23897.7172371487</v>
      </c>
      <c r="V539" s="21" t="n">
        <v>23940.5518250935</v>
      </c>
      <c r="W539" s="21" t="n">
        <v>24086.8419074719</v>
      </c>
      <c r="X539" s="21" t="n">
        <v>12071.7761263071</v>
      </c>
      <c r="Y539" s="0"/>
      <c r="Z539" s="0"/>
      <c r="AA539" s="0"/>
      <c r="AB539" s="0"/>
      <c r="AC539" s="0"/>
      <c r="AD539" s="0"/>
      <c r="AE539" s="0"/>
      <c r="AF539" s="0"/>
      <c r="AG539" s="0"/>
    </row>
    <row r="540" customFormat="false" ht="12.75" hidden="false" customHeight="false" outlineLevel="0" collapsed="false">
      <c r="A540" s="22" t="s">
        <v>9</v>
      </c>
      <c r="B540" s="17" t="n">
        <f aca="false">NPV(0.1,D540:Y540)</f>
        <v>67206.4843079483</v>
      </c>
      <c r="C540" s="17" t="n">
        <f aca="false">B540-B530</f>
        <v>-10040.5979975689</v>
      </c>
      <c r="D540" s="18" t="n">
        <v>-2095.65377731993</v>
      </c>
      <c r="E540" s="19" t="n">
        <v>3312.73061225582</v>
      </c>
      <c r="F540" s="19" t="n">
        <v>3648.48790847417</v>
      </c>
      <c r="G540" s="19" t="n">
        <v>3909.94472289479</v>
      </c>
      <c r="H540" s="19" t="n">
        <v>6698.72276091442</v>
      </c>
      <c r="I540" s="19" t="n">
        <v>8973.03683840334</v>
      </c>
      <c r="J540" s="19" t="n">
        <v>9530.25470559497</v>
      </c>
      <c r="K540" s="19" t="n">
        <v>9971.71540584599</v>
      </c>
      <c r="L540" s="19" t="n">
        <v>10765.6303130419</v>
      </c>
      <c r="M540" s="19" t="n">
        <v>11369.4614817003</v>
      </c>
      <c r="N540" s="19" t="n">
        <v>12464.1272274546</v>
      </c>
      <c r="O540" s="20" t="n">
        <v>12287.4133608073</v>
      </c>
      <c r="P540" s="21" t="n">
        <v>13064.1975505715</v>
      </c>
      <c r="Q540" s="21" t="n">
        <v>13452.740248112</v>
      </c>
      <c r="R540" s="21" t="n">
        <v>13833.5230834847</v>
      </c>
      <c r="S540" s="21" t="n">
        <v>14203.3500741501</v>
      </c>
      <c r="T540" s="21" t="n">
        <v>14581.8662890152</v>
      </c>
      <c r="U540" s="21" t="n">
        <v>15121.905862126</v>
      </c>
      <c r="V540" s="21" t="n">
        <v>15716.0159617004</v>
      </c>
      <c r="W540" s="21" t="n">
        <v>16334.6792695102</v>
      </c>
      <c r="X540" s="21" t="n">
        <v>4665.81078942996</v>
      </c>
      <c r="Y540" s="0"/>
      <c r="Z540" s="0"/>
      <c r="AA540" s="0"/>
      <c r="AB540" s="0"/>
      <c r="AC540" s="0"/>
      <c r="AD540" s="0"/>
      <c r="AE540" s="0"/>
      <c r="AF540" s="0"/>
      <c r="AG540" s="0"/>
    </row>
    <row r="541" customFormat="false" ht="12.75" hidden="false" customHeight="false" outlineLevel="0" collapsed="false">
      <c r="A541" s="22" t="s">
        <v>10</v>
      </c>
      <c r="B541" s="17" t="n">
        <f aca="false">NPV(0.1,D541:Y541)</f>
        <v>68952.7241599755</v>
      </c>
      <c r="C541" s="17" t="n">
        <f aca="false">B541-B531</f>
        <v>-17132.365891275</v>
      </c>
      <c r="D541" s="23" t="n">
        <v>-6099.8253784702</v>
      </c>
      <c r="E541" s="24" t="n">
        <v>3090.07209047585</v>
      </c>
      <c r="F541" s="24" t="n">
        <v>4391.08485590957</v>
      </c>
      <c r="G541" s="24" t="n">
        <v>3068.09670112515</v>
      </c>
      <c r="H541" s="24" t="n">
        <v>11054.8364388088</v>
      </c>
      <c r="I541" s="24" t="n">
        <v>14570.0832427719</v>
      </c>
      <c r="J541" s="24" t="n">
        <v>11091.1316223465</v>
      </c>
      <c r="K541" s="24" t="n">
        <v>10805.4744708446</v>
      </c>
      <c r="L541" s="24" t="n">
        <v>8101.06904195656</v>
      </c>
      <c r="M541" s="24" t="n">
        <v>6326.27054669897</v>
      </c>
      <c r="N541" s="24" t="n">
        <v>16141.9820578874</v>
      </c>
      <c r="O541" s="25" t="n">
        <v>16115.5199087019</v>
      </c>
      <c r="P541" s="21" t="n">
        <v>16044.5294977047</v>
      </c>
      <c r="Q541" s="21" t="n">
        <v>16422.2908358837</v>
      </c>
      <c r="R541" s="21" t="n">
        <v>16797.5533351725</v>
      </c>
      <c r="S541" s="21" t="n">
        <v>15504.9151810579</v>
      </c>
      <c r="T541" s="21" t="n">
        <v>10965.8763602523</v>
      </c>
      <c r="U541" s="21" t="n">
        <v>10180.2629879177</v>
      </c>
      <c r="V541" s="21" t="n">
        <v>8861.12308749208</v>
      </c>
      <c r="W541" s="21" t="n">
        <v>8302.09656797409</v>
      </c>
      <c r="X541" s="21" t="n">
        <v>7476.95583103205</v>
      </c>
      <c r="Y541" s="0"/>
      <c r="Z541" s="0"/>
      <c r="AA541" s="0"/>
      <c r="AB541" s="0"/>
      <c r="AC541" s="0"/>
      <c r="AD541" s="0"/>
      <c r="AE541" s="0"/>
      <c r="AF541" s="0"/>
      <c r="AG541" s="0"/>
    </row>
    <row r="542" customFormat="false" ht="12.75" hidden="false" customHeight="false" outlineLevel="0" collapsed="false">
      <c r="A542" s="5"/>
      <c r="B542" s="5"/>
      <c r="C542" s="5"/>
      <c r="D542" s="0"/>
      <c r="E542" s="0"/>
      <c r="F542" s="0"/>
      <c r="G542" s="0"/>
      <c r="H542" s="0"/>
      <c r="I542" s="0"/>
      <c r="J542" s="0"/>
      <c r="K542" s="0"/>
      <c r="L542" s="0"/>
      <c r="M542" s="0"/>
      <c r="N542" s="0"/>
      <c r="O542" s="0"/>
      <c r="P542" s="0"/>
      <c r="Q542" s="0"/>
      <c r="R542" s="0"/>
      <c r="S542" s="0"/>
      <c r="T542" s="0"/>
      <c r="U542" s="0"/>
      <c r="V542" s="0"/>
      <c r="W542" s="0"/>
      <c r="X542" s="0"/>
      <c r="Y542" s="0"/>
      <c r="Z542" s="0"/>
      <c r="AA542" s="0"/>
      <c r="AB542" s="0"/>
      <c r="AC542" s="0"/>
      <c r="AD542" s="0"/>
      <c r="AE542" s="0"/>
      <c r="AF542" s="0"/>
      <c r="AG542" s="0"/>
    </row>
    <row r="543" customFormat="false" ht="12.75" hidden="false" customHeight="false" outlineLevel="0" collapsed="false">
      <c r="A543" s="26" t="s">
        <v>66</v>
      </c>
      <c r="B543" s="5"/>
      <c r="C543" s="5"/>
      <c r="D543" s="0"/>
      <c r="E543" s="0"/>
      <c r="F543" s="0"/>
      <c r="G543" s="0"/>
      <c r="H543" s="0"/>
      <c r="I543" s="0"/>
      <c r="J543" s="0"/>
      <c r="K543" s="0"/>
      <c r="L543" s="0"/>
      <c r="M543" s="0"/>
      <c r="N543" s="0"/>
      <c r="O543" s="0"/>
      <c r="P543" s="0"/>
      <c r="Q543" s="0"/>
      <c r="R543" s="0"/>
      <c r="S543" s="0"/>
      <c r="T543" s="0"/>
      <c r="U543" s="0"/>
      <c r="V543" s="0"/>
      <c r="W543" s="0"/>
      <c r="X543" s="0"/>
      <c r="Y543" s="0"/>
      <c r="Z543" s="0"/>
      <c r="AA543" s="0"/>
      <c r="AB543" s="0"/>
      <c r="AC543" s="0"/>
      <c r="AD543" s="0"/>
      <c r="AE543" s="0"/>
      <c r="AF543" s="0"/>
      <c r="AG543" s="0"/>
    </row>
    <row r="544" customFormat="false" ht="12.75" hidden="false" customHeight="false" outlineLevel="0" collapsed="false">
      <c r="A544" s="28" t="n">
        <v>36340</v>
      </c>
      <c r="B544" s="5"/>
      <c r="C544" s="5"/>
      <c r="D544" s="0"/>
      <c r="E544" s="0"/>
      <c r="F544" s="0"/>
      <c r="G544" s="0"/>
      <c r="H544" s="0"/>
      <c r="I544" s="0"/>
      <c r="J544" s="0"/>
      <c r="K544" s="0"/>
      <c r="L544" s="0"/>
      <c r="M544" s="0"/>
      <c r="N544" s="0"/>
      <c r="O544" s="0"/>
      <c r="P544" s="0"/>
      <c r="Q544" s="0"/>
      <c r="R544" s="0"/>
      <c r="S544" s="0"/>
      <c r="T544" s="0"/>
      <c r="U544" s="0"/>
      <c r="V544" s="0"/>
      <c r="W544" s="0"/>
      <c r="X544" s="0"/>
      <c r="Y544" s="0"/>
      <c r="Z544" s="0"/>
      <c r="AA544" s="0"/>
      <c r="AB544" s="0"/>
      <c r="AC544" s="0"/>
      <c r="AD544" s="0"/>
      <c r="AE544" s="0"/>
      <c r="AF544" s="0"/>
      <c r="AG544" s="0"/>
    </row>
    <row r="545" customFormat="false" ht="12.75" hidden="false" customHeight="false" outlineLevel="0" collapsed="false">
      <c r="A545" s="7" t="s">
        <v>2</v>
      </c>
      <c r="B545" s="8" t="n">
        <v>28295.8278059179</v>
      </c>
      <c r="C545" s="5"/>
      <c r="D545" s="0"/>
      <c r="E545" s="0"/>
      <c r="F545" s="0"/>
      <c r="G545" s="0"/>
      <c r="H545" s="0"/>
      <c r="I545" s="0"/>
      <c r="J545" s="0"/>
      <c r="K545" s="0"/>
      <c r="L545" s="0"/>
      <c r="M545" s="0"/>
      <c r="N545" s="0"/>
      <c r="O545" s="0"/>
      <c r="P545" s="0"/>
      <c r="Q545" s="0"/>
      <c r="R545" s="0"/>
      <c r="S545" s="0"/>
      <c r="T545" s="0"/>
      <c r="U545" s="0"/>
      <c r="V545" s="0"/>
      <c r="W545" s="0"/>
      <c r="X545" s="0"/>
      <c r="Y545" s="0"/>
      <c r="Z545" s="0"/>
      <c r="AA545" s="0"/>
      <c r="AB545" s="0"/>
      <c r="AC545" s="0"/>
      <c r="AD545" s="0"/>
      <c r="AE545" s="0"/>
      <c r="AF545" s="0"/>
      <c r="AG545" s="0"/>
    </row>
    <row r="546" customFormat="false" ht="12.75" hidden="false" customHeight="false" outlineLevel="0" collapsed="false">
      <c r="A546" s="9" t="s">
        <v>3</v>
      </c>
      <c r="B546" s="10" t="n">
        <v>52234.6689235833</v>
      </c>
      <c r="C546" s="5"/>
      <c r="D546" s="0"/>
      <c r="E546" s="0"/>
      <c r="F546" s="0"/>
      <c r="G546" s="0"/>
      <c r="H546" s="0"/>
      <c r="I546" s="0"/>
      <c r="J546" s="0"/>
      <c r="K546" s="0"/>
      <c r="L546" s="0"/>
      <c r="M546" s="0"/>
      <c r="N546" s="0"/>
      <c r="O546" s="0"/>
      <c r="P546" s="0"/>
      <c r="Q546" s="0"/>
      <c r="R546" s="0"/>
      <c r="S546" s="0"/>
      <c r="T546" s="0"/>
      <c r="U546" s="0"/>
      <c r="V546" s="0"/>
      <c r="W546" s="0"/>
      <c r="X546" s="0"/>
      <c r="Y546" s="0"/>
      <c r="Z546" s="0"/>
      <c r="AA546" s="0"/>
      <c r="AB546" s="0"/>
      <c r="AC546" s="0"/>
      <c r="AD546" s="0"/>
      <c r="AE546" s="0"/>
      <c r="AF546" s="0"/>
      <c r="AG546" s="0"/>
    </row>
    <row r="547" customFormat="false" ht="12.75" hidden="false" customHeight="false" outlineLevel="0" collapsed="false">
      <c r="A547" s="11" t="s">
        <v>4</v>
      </c>
      <c r="B547" s="12" t="s">
        <v>5</v>
      </c>
      <c r="C547" s="12" t="s">
        <v>6</v>
      </c>
      <c r="D547" s="13" t="n">
        <v>1999</v>
      </c>
      <c r="E547" s="14" t="n">
        <v>2000</v>
      </c>
      <c r="F547" s="14" t="n">
        <v>2001</v>
      </c>
      <c r="G547" s="14" t="n">
        <v>2002</v>
      </c>
      <c r="H547" s="14" t="n">
        <v>2003</v>
      </c>
      <c r="I547" s="14" t="n">
        <v>2004</v>
      </c>
      <c r="J547" s="14" t="n">
        <v>2005</v>
      </c>
      <c r="K547" s="14" t="n">
        <v>2006</v>
      </c>
      <c r="L547" s="14" t="n">
        <v>2007</v>
      </c>
      <c r="M547" s="14" t="n">
        <v>2008</v>
      </c>
      <c r="N547" s="14" t="n">
        <v>2009</v>
      </c>
      <c r="O547" s="15" t="n">
        <v>2010</v>
      </c>
      <c r="P547" s="16" t="n">
        <v>2011</v>
      </c>
      <c r="Q547" s="16" t="n">
        <v>2012</v>
      </c>
      <c r="R547" s="16" t="n">
        <v>2013</v>
      </c>
      <c r="S547" s="16" t="n">
        <v>2014</v>
      </c>
      <c r="T547" s="16" t="n">
        <v>2015</v>
      </c>
      <c r="U547" s="16" t="n">
        <v>2016</v>
      </c>
      <c r="V547" s="16" t="n">
        <v>2017</v>
      </c>
      <c r="W547" s="16" t="n">
        <v>2018</v>
      </c>
      <c r="X547" s="16" t="n">
        <v>2019</v>
      </c>
      <c r="Y547" s="0"/>
      <c r="Z547" s="0"/>
      <c r="AA547" s="0"/>
      <c r="AB547" s="0"/>
      <c r="AC547" s="0"/>
      <c r="AD547" s="0"/>
      <c r="AE547" s="0"/>
      <c r="AF547" s="0"/>
      <c r="AG547" s="0"/>
    </row>
    <row r="548" customFormat="false" ht="12.75" hidden="false" customHeight="false" outlineLevel="0" collapsed="false">
      <c r="A548" s="11" t="s">
        <v>7</v>
      </c>
      <c r="B548" s="17" t="n">
        <f aca="false">NPV(0.1,D548:Y548)</f>
        <v>394427.15334924</v>
      </c>
      <c r="C548" s="17" t="n">
        <f aca="false">B548-B538</f>
        <v>4315.37686358579</v>
      </c>
      <c r="D548" s="18" t="n">
        <v>27166.1784825</v>
      </c>
      <c r="E548" s="19" t="n">
        <v>40347.8773374774</v>
      </c>
      <c r="F548" s="19" t="n">
        <v>40941.1228647172</v>
      </c>
      <c r="G548" s="19" t="n">
        <v>40999.6025001837</v>
      </c>
      <c r="H548" s="19" t="n">
        <v>45068.739154628</v>
      </c>
      <c r="I548" s="19" t="n">
        <v>48202.9893651706</v>
      </c>
      <c r="J548" s="19" t="n">
        <v>48607.3601573649</v>
      </c>
      <c r="K548" s="19" t="n">
        <v>49007.6682208296</v>
      </c>
      <c r="L548" s="19" t="n">
        <v>49975.9744618755</v>
      </c>
      <c r="M548" s="19" t="n">
        <v>50383.4812282928</v>
      </c>
      <c r="N548" s="19" t="n">
        <v>51393.0618595626</v>
      </c>
      <c r="O548" s="20" t="n">
        <v>51807.1594644032</v>
      </c>
      <c r="P548" s="21" t="n">
        <v>52859.4504427563</v>
      </c>
      <c r="Q548" s="21" t="n">
        <v>53279.4302849698</v>
      </c>
      <c r="R548" s="21" t="n">
        <v>53692.0931264851</v>
      </c>
      <c r="S548" s="21" t="n">
        <v>54096.6219654021</v>
      </c>
      <c r="T548" s="21" t="n">
        <v>54492.1573650078</v>
      </c>
      <c r="U548" s="21" t="n">
        <v>54877.7956429882</v>
      </c>
      <c r="V548" s="21" t="n">
        <v>55252.5869901864</v>
      </c>
      <c r="W548" s="21" t="n">
        <v>55615.5335163051</v>
      </c>
      <c r="X548" s="21" t="n">
        <v>55965.5872198672</v>
      </c>
      <c r="Y548" s="0"/>
      <c r="Z548" s="0"/>
      <c r="AA548" s="0"/>
      <c r="AB548" s="0"/>
      <c r="AC548" s="0"/>
      <c r="AD548" s="0"/>
      <c r="AE548" s="0"/>
      <c r="AF548" s="0"/>
      <c r="AG548" s="0"/>
    </row>
    <row r="549" customFormat="false" ht="12.75" hidden="false" customHeight="false" outlineLevel="0" collapsed="false">
      <c r="A549" s="22" t="s">
        <v>8</v>
      </c>
      <c r="B549" s="17" t="n">
        <f aca="false">NPV(0.1,D549:Y549)</f>
        <v>192096.691197643</v>
      </c>
      <c r="C549" s="17" t="n">
        <f aca="false">B549-B539</f>
        <v>1650.79864060658</v>
      </c>
      <c r="D549" s="18" t="n">
        <v>19477.6427575323</v>
      </c>
      <c r="E549" s="19" t="n">
        <v>21466.7137416466</v>
      </c>
      <c r="F549" s="19" t="n">
        <v>21786.5462199042</v>
      </c>
      <c r="G549" s="19" t="n">
        <v>21872.874186022</v>
      </c>
      <c r="H549" s="19" t="n">
        <v>22058.13036868</v>
      </c>
      <c r="I549" s="19" t="n">
        <v>22084.7203876541</v>
      </c>
      <c r="J549" s="19" t="n">
        <v>22194.1359506853</v>
      </c>
      <c r="K549" s="19" t="n">
        <v>22304.0664301828</v>
      </c>
      <c r="L549" s="19" t="n">
        <v>22418.2656614486</v>
      </c>
      <c r="M549" s="19" t="n">
        <v>22536.8336913302</v>
      </c>
      <c r="N549" s="19" t="n">
        <v>22654.5092857561</v>
      </c>
      <c r="O549" s="20" t="n">
        <v>23557.345757029</v>
      </c>
      <c r="P549" s="21" t="n">
        <v>23624.8363848821</v>
      </c>
      <c r="Q549" s="21" t="n">
        <v>23680.9849249867</v>
      </c>
      <c r="R549" s="21" t="n">
        <v>23742.2278998589</v>
      </c>
      <c r="S549" s="21" t="n">
        <v>23812.8600905382</v>
      </c>
      <c r="T549" s="21" t="n">
        <v>23860.6009474495</v>
      </c>
      <c r="U549" s="21" t="n">
        <v>23897.7172371487</v>
      </c>
      <c r="V549" s="21" t="n">
        <v>23940.5518250935</v>
      </c>
      <c r="W549" s="21" t="n">
        <v>24086.8419074719</v>
      </c>
      <c r="X549" s="21" t="n">
        <v>24288.0986744373</v>
      </c>
      <c r="Y549" s="0"/>
      <c r="Z549" s="0"/>
      <c r="AA549" s="0"/>
      <c r="AB549" s="0"/>
      <c r="AC549" s="0"/>
      <c r="AD549" s="0"/>
      <c r="AE549" s="0"/>
      <c r="AF549" s="0"/>
      <c r="AG549" s="0"/>
    </row>
    <row r="550" customFormat="false" ht="12.75" hidden="false" customHeight="false" outlineLevel="0" collapsed="false">
      <c r="A550" s="22" t="s">
        <v>9</v>
      </c>
      <c r="B550" s="17" t="n">
        <f aca="false">NPV(0.1,D550:Y550)</f>
        <v>68872.4285737966</v>
      </c>
      <c r="C550" s="17" t="n">
        <f aca="false">B550-B540</f>
        <v>1665.94426584827</v>
      </c>
      <c r="D550" s="18" t="n">
        <v>-2095.65377731993</v>
      </c>
      <c r="E550" s="19" t="n">
        <v>3312.73061225582</v>
      </c>
      <c r="F550" s="19" t="n">
        <v>3648.48790847417</v>
      </c>
      <c r="G550" s="19" t="n">
        <v>3909.94472289479</v>
      </c>
      <c r="H550" s="19" t="n">
        <v>6698.72276091442</v>
      </c>
      <c r="I550" s="19" t="n">
        <v>8973.03683840334</v>
      </c>
      <c r="J550" s="19" t="n">
        <v>9530.25470559497</v>
      </c>
      <c r="K550" s="19" t="n">
        <v>9971.71540584599</v>
      </c>
      <c r="L550" s="19" t="n">
        <v>10765.6303130419</v>
      </c>
      <c r="M550" s="19" t="n">
        <v>11369.4614817003</v>
      </c>
      <c r="N550" s="19" t="n">
        <v>12464.1272274546</v>
      </c>
      <c r="O550" s="20" t="n">
        <v>12287.4133608073</v>
      </c>
      <c r="P550" s="21" t="n">
        <v>13064.1975505715</v>
      </c>
      <c r="Q550" s="21" t="n">
        <v>13452.740248112</v>
      </c>
      <c r="R550" s="21" t="n">
        <v>13833.5230834847</v>
      </c>
      <c r="S550" s="21" t="n">
        <v>14203.3500741501</v>
      </c>
      <c r="T550" s="21" t="n">
        <v>14581.8662890152</v>
      </c>
      <c r="U550" s="21" t="n">
        <v>15121.905862126</v>
      </c>
      <c r="V550" s="21" t="n">
        <v>15716.0159617004</v>
      </c>
      <c r="W550" s="21" t="n">
        <v>16334.6792695102</v>
      </c>
      <c r="X550" s="21" t="n">
        <v>16994.2147499109</v>
      </c>
      <c r="Y550" s="0"/>
      <c r="Z550" s="0"/>
      <c r="AA550" s="0"/>
      <c r="AB550" s="0"/>
      <c r="AC550" s="0"/>
      <c r="AD550" s="0"/>
      <c r="AE550" s="0"/>
      <c r="AF550" s="0"/>
      <c r="AG550" s="0"/>
    </row>
    <row r="551" customFormat="false" ht="12.75" hidden="false" customHeight="false" outlineLevel="0" collapsed="false">
      <c r="A551" s="22" t="s">
        <v>10</v>
      </c>
      <c r="B551" s="17" t="n">
        <f aca="false">NPV(0.1,D551:Y551)</f>
        <v>70618.6684258238</v>
      </c>
      <c r="C551" s="17" t="n">
        <f aca="false">B551-B541</f>
        <v>1665.94426584827</v>
      </c>
      <c r="D551" s="23" t="n">
        <v>-6099.8253784702</v>
      </c>
      <c r="E551" s="24" t="n">
        <v>3090.07209047585</v>
      </c>
      <c r="F551" s="24" t="n">
        <v>4391.08485590957</v>
      </c>
      <c r="G551" s="24" t="n">
        <v>3068.09670112515</v>
      </c>
      <c r="H551" s="24" t="n">
        <v>11054.8364388088</v>
      </c>
      <c r="I551" s="24" t="n">
        <v>14570.0832427719</v>
      </c>
      <c r="J551" s="24" t="n">
        <v>11091.1316223465</v>
      </c>
      <c r="K551" s="24" t="n">
        <v>10805.4744708446</v>
      </c>
      <c r="L551" s="24" t="n">
        <v>8101.06904195656</v>
      </c>
      <c r="M551" s="24" t="n">
        <v>6326.27054669897</v>
      </c>
      <c r="N551" s="24" t="n">
        <v>16141.9820578874</v>
      </c>
      <c r="O551" s="25" t="n">
        <v>16115.5199087019</v>
      </c>
      <c r="P551" s="21" t="n">
        <v>16044.5294977047</v>
      </c>
      <c r="Q551" s="21" t="n">
        <v>16422.2908358837</v>
      </c>
      <c r="R551" s="21" t="n">
        <v>16797.5533351725</v>
      </c>
      <c r="S551" s="21" t="n">
        <v>15504.9151810579</v>
      </c>
      <c r="T551" s="21" t="n">
        <v>10965.8763602523</v>
      </c>
      <c r="U551" s="21" t="n">
        <v>10180.2629879177</v>
      </c>
      <c r="V551" s="21" t="n">
        <v>8861.12308749208</v>
      </c>
      <c r="W551" s="21" t="n">
        <v>8302.09656797409</v>
      </c>
      <c r="X551" s="21" t="n">
        <v>19805.3597915129</v>
      </c>
      <c r="Y551" s="0"/>
      <c r="Z551" s="0"/>
      <c r="AA551" s="0"/>
      <c r="AB551" s="0"/>
      <c r="AC551" s="0"/>
      <c r="AD551" s="0"/>
      <c r="AE551" s="0"/>
      <c r="AF551" s="0"/>
      <c r="AG551" s="0"/>
    </row>
    <row r="552" customFormat="false" ht="12.75" hidden="false" customHeight="false" outlineLevel="0" collapsed="false">
      <c r="A552" s="5"/>
      <c r="B552" s="5"/>
      <c r="C552" s="5"/>
      <c r="D552" s="0"/>
      <c r="E552" s="0"/>
      <c r="F552" s="0"/>
      <c r="G552" s="0"/>
      <c r="H552" s="0"/>
      <c r="I552" s="0"/>
      <c r="J552" s="0"/>
      <c r="K552" s="0"/>
      <c r="L552" s="0"/>
      <c r="M552" s="0"/>
      <c r="N552" s="0"/>
      <c r="O552" s="0"/>
      <c r="P552" s="0"/>
      <c r="Q552" s="0"/>
      <c r="R552" s="0"/>
      <c r="S552" s="0"/>
      <c r="T552" s="0"/>
      <c r="U552" s="0"/>
      <c r="V552" s="0"/>
      <c r="W552" s="0"/>
      <c r="X552" s="0"/>
      <c r="Y552" s="0"/>
      <c r="Z552" s="0"/>
      <c r="AA552" s="0"/>
      <c r="AB552" s="0"/>
      <c r="AC552" s="0"/>
      <c r="AD552" s="0"/>
      <c r="AE552" s="0"/>
      <c r="AF552" s="0"/>
      <c r="AG552" s="0"/>
    </row>
    <row r="553" customFormat="false" ht="12.75" hidden="false" customHeight="false" outlineLevel="0" collapsed="false">
      <c r="A553" s="26" t="s">
        <v>67</v>
      </c>
      <c r="B553" s="5"/>
      <c r="C553" s="5"/>
      <c r="D553" s="0"/>
      <c r="E553" s="0"/>
      <c r="F553" s="0"/>
      <c r="G553" s="0"/>
      <c r="H553" s="0"/>
      <c r="I553" s="0"/>
      <c r="J553" s="0"/>
      <c r="K553" s="0"/>
      <c r="L553" s="0"/>
      <c r="M553" s="0"/>
      <c r="N553" s="0"/>
      <c r="O553" s="0"/>
      <c r="P553" s="0"/>
      <c r="Q553" s="0"/>
      <c r="R553" s="0"/>
      <c r="S553" s="0"/>
      <c r="T553" s="0"/>
      <c r="U553" s="0"/>
      <c r="V553" s="0"/>
      <c r="W553" s="0"/>
      <c r="X553" s="0"/>
      <c r="Y553" s="0"/>
      <c r="Z553" s="0"/>
      <c r="AA553" s="0"/>
      <c r="AB553" s="0"/>
      <c r="AC553" s="0"/>
      <c r="AD553" s="0"/>
      <c r="AE553" s="0"/>
      <c r="AF553" s="0"/>
      <c r="AG553" s="0"/>
    </row>
    <row r="554" customFormat="false" ht="12.75" hidden="false" customHeight="false" outlineLevel="0" collapsed="false">
      <c r="A554" s="28" t="n">
        <v>36343</v>
      </c>
      <c r="B554" s="5"/>
      <c r="C554" s="5"/>
      <c r="D554" s="0"/>
      <c r="E554" s="0"/>
      <c r="F554" s="0"/>
      <c r="G554" s="0"/>
      <c r="H554" s="0"/>
      <c r="I554" s="0"/>
      <c r="J554" s="0"/>
      <c r="K554" s="0"/>
      <c r="L554" s="0"/>
      <c r="M554" s="0"/>
      <c r="N554" s="0"/>
      <c r="O554" s="0"/>
      <c r="P554" s="0"/>
      <c r="Q554" s="0"/>
      <c r="R554" s="0"/>
      <c r="S554" s="0"/>
      <c r="T554" s="0"/>
      <c r="U554" s="0"/>
      <c r="V554" s="0"/>
      <c r="W554" s="0"/>
      <c r="X554" s="0"/>
      <c r="Y554" s="0"/>
      <c r="Z554" s="0"/>
      <c r="AA554" s="0"/>
      <c r="AB554" s="0"/>
      <c r="AC554" s="0"/>
      <c r="AD554" s="0"/>
      <c r="AE554" s="0"/>
      <c r="AF554" s="0"/>
      <c r="AG554" s="0"/>
    </row>
    <row r="555" customFormat="false" ht="12.75" hidden="false" customHeight="false" outlineLevel="0" collapsed="false">
      <c r="A555" s="7" t="s">
        <v>2</v>
      </c>
      <c r="B555" s="8" t="n">
        <v>23915.5299591974</v>
      </c>
      <c r="C555" s="5"/>
      <c r="D555" s="0"/>
      <c r="E555" s="0"/>
      <c r="F555" s="0"/>
      <c r="G555" s="0"/>
      <c r="H555" s="0"/>
      <c r="I555" s="0"/>
      <c r="J555" s="0"/>
      <c r="K555" s="0"/>
      <c r="L555" s="0"/>
      <c r="M555" s="0"/>
      <c r="N555" s="0"/>
      <c r="O555" s="0"/>
      <c r="P555" s="0"/>
      <c r="Q555" s="0"/>
      <c r="R555" s="0"/>
      <c r="S555" s="0"/>
      <c r="T555" s="0"/>
      <c r="U555" s="0"/>
      <c r="V555" s="0"/>
      <c r="W555" s="0"/>
      <c r="X555" s="0"/>
      <c r="Y555" s="0"/>
      <c r="Z555" s="0"/>
      <c r="AA555" s="0"/>
      <c r="AB555" s="0"/>
      <c r="AC555" s="0"/>
      <c r="AD555" s="0"/>
      <c r="AE555" s="0"/>
      <c r="AF555" s="0"/>
      <c r="AG555" s="0"/>
    </row>
    <row r="556" customFormat="false" ht="12.75" hidden="false" customHeight="false" outlineLevel="0" collapsed="false">
      <c r="A556" s="9" t="s">
        <v>3</v>
      </c>
      <c r="B556" s="10" t="n">
        <v>47054.7904211417</v>
      </c>
      <c r="C556" s="5"/>
      <c r="D556" s="0"/>
      <c r="E556" s="0"/>
      <c r="F556" s="0"/>
      <c r="G556" s="0"/>
      <c r="H556" s="0"/>
      <c r="I556" s="0"/>
      <c r="J556" s="0"/>
      <c r="K556" s="0"/>
      <c r="L556" s="0"/>
      <c r="M556" s="0"/>
      <c r="N556" s="0"/>
      <c r="O556" s="0"/>
      <c r="P556" s="0"/>
      <c r="Q556" s="0"/>
      <c r="R556" s="0"/>
      <c r="S556" s="0"/>
      <c r="T556" s="0"/>
      <c r="U556" s="0"/>
      <c r="V556" s="0"/>
      <c r="W556" s="0"/>
      <c r="X556" s="0"/>
      <c r="Y556" s="0"/>
      <c r="Z556" s="0"/>
      <c r="AA556" s="0"/>
      <c r="AB556" s="0"/>
      <c r="AC556" s="0"/>
      <c r="AD556" s="0"/>
      <c r="AE556" s="0"/>
      <c r="AF556" s="0"/>
      <c r="AG556" s="0"/>
    </row>
    <row r="557" customFormat="false" ht="12.75" hidden="false" customHeight="false" outlineLevel="0" collapsed="false">
      <c r="A557" s="11" t="s">
        <v>4</v>
      </c>
      <c r="B557" s="12" t="s">
        <v>5</v>
      </c>
      <c r="C557" s="12" t="s">
        <v>6</v>
      </c>
      <c r="D557" s="13" t="n">
        <v>1999</v>
      </c>
      <c r="E557" s="14" t="n">
        <v>2000</v>
      </c>
      <c r="F557" s="14" t="n">
        <v>2001</v>
      </c>
      <c r="G557" s="14" t="n">
        <v>2002</v>
      </c>
      <c r="H557" s="14" t="n">
        <v>2003</v>
      </c>
      <c r="I557" s="14" t="n">
        <v>2004</v>
      </c>
      <c r="J557" s="14" t="n">
        <v>2005</v>
      </c>
      <c r="K557" s="14" t="n">
        <v>2006</v>
      </c>
      <c r="L557" s="14" t="n">
        <v>2007</v>
      </c>
      <c r="M557" s="14" t="n">
        <v>2008</v>
      </c>
      <c r="N557" s="14" t="n">
        <v>2009</v>
      </c>
      <c r="O557" s="15" t="n">
        <v>2010</v>
      </c>
      <c r="P557" s="16" t="n">
        <v>2011</v>
      </c>
      <c r="Q557" s="16" t="n">
        <v>2012</v>
      </c>
      <c r="R557" s="16" t="n">
        <v>2013</v>
      </c>
      <c r="S557" s="16" t="n">
        <v>2014</v>
      </c>
      <c r="T557" s="16" t="n">
        <v>2015</v>
      </c>
      <c r="U557" s="16" t="n">
        <v>2016</v>
      </c>
      <c r="V557" s="16" t="n">
        <v>2017</v>
      </c>
      <c r="W557" s="16" t="n">
        <v>2018</v>
      </c>
      <c r="X557" s="16" t="n">
        <v>2019</v>
      </c>
      <c r="Y557" s="0"/>
      <c r="Z557" s="0"/>
      <c r="AA557" s="0"/>
      <c r="AB557" s="0"/>
      <c r="AC557" s="0"/>
      <c r="AD557" s="0"/>
      <c r="AE557" s="0"/>
      <c r="AF557" s="0"/>
      <c r="AG557" s="0"/>
    </row>
    <row r="558" customFormat="false" ht="12.75" hidden="false" customHeight="false" outlineLevel="0" collapsed="false">
      <c r="A558" s="11" t="s">
        <v>7</v>
      </c>
      <c r="B558" s="17" t="n">
        <f aca="false">NPV(0.1,D558:Y558)</f>
        <v>394427.15334924</v>
      </c>
      <c r="C558" s="17" t="n">
        <f aca="false">B558-B548</f>
        <v>0</v>
      </c>
      <c r="D558" s="18" t="n">
        <v>27166.1784825</v>
      </c>
      <c r="E558" s="19" t="n">
        <v>40347.8773374774</v>
      </c>
      <c r="F558" s="19" t="n">
        <v>40941.1228647172</v>
      </c>
      <c r="G558" s="19" t="n">
        <v>40999.6025001837</v>
      </c>
      <c r="H558" s="19" t="n">
        <v>45068.739154628</v>
      </c>
      <c r="I558" s="19" t="n">
        <v>48202.9893651706</v>
      </c>
      <c r="J558" s="19" t="n">
        <v>48607.3601573649</v>
      </c>
      <c r="K558" s="19" t="n">
        <v>49007.6682208296</v>
      </c>
      <c r="L558" s="19" t="n">
        <v>49975.9744618755</v>
      </c>
      <c r="M558" s="19" t="n">
        <v>50383.4812282928</v>
      </c>
      <c r="N558" s="19" t="n">
        <v>51393.0618595626</v>
      </c>
      <c r="O558" s="20" t="n">
        <v>51807.1594644032</v>
      </c>
      <c r="P558" s="21" t="n">
        <v>52859.4504427563</v>
      </c>
      <c r="Q558" s="21" t="n">
        <v>53279.4302849698</v>
      </c>
      <c r="R558" s="21" t="n">
        <v>53692.0931264851</v>
      </c>
      <c r="S558" s="21" t="n">
        <v>54096.6219654021</v>
      </c>
      <c r="T558" s="21" t="n">
        <v>54492.1573650078</v>
      </c>
      <c r="U558" s="21" t="n">
        <v>54877.7956429882</v>
      </c>
      <c r="V558" s="21" t="n">
        <v>55252.5869901864</v>
      </c>
      <c r="W558" s="21" t="n">
        <v>55615.5335163051</v>
      </c>
      <c r="X558" s="21" t="n">
        <v>55965.5872198672</v>
      </c>
      <c r="Y558" s="0"/>
      <c r="Z558" s="0"/>
      <c r="AA558" s="0"/>
      <c r="AB558" s="0"/>
      <c r="AC558" s="0"/>
      <c r="AD558" s="0"/>
      <c r="AE558" s="0"/>
      <c r="AF558" s="0"/>
      <c r="AG558" s="0"/>
    </row>
    <row r="559" customFormat="false" ht="12.75" hidden="false" customHeight="false" outlineLevel="0" collapsed="false">
      <c r="A559" s="22" t="s">
        <v>8</v>
      </c>
      <c r="B559" s="17" t="n">
        <f aca="false">NPV(0.1,D559:Y559)</f>
        <v>192194.660295035</v>
      </c>
      <c r="C559" s="17" t="n">
        <f aca="false">B559-B549</f>
        <v>97.969097391353</v>
      </c>
      <c r="D559" s="18" t="n">
        <v>19490.2600696136</v>
      </c>
      <c r="E559" s="19" t="n">
        <v>21481.4144825721</v>
      </c>
      <c r="F559" s="19" t="n">
        <v>21800.9423290027</v>
      </c>
      <c r="G559" s="19" t="n">
        <v>21886.9653680621</v>
      </c>
      <c r="H559" s="19" t="n">
        <v>22071.9163281443</v>
      </c>
      <c r="I559" s="19" t="n">
        <v>22098.223987986</v>
      </c>
      <c r="J559" s="19" t="n">
        <v>22204.7234202406</v>
      </c>
      <c r="K559" s="19" t="n">
        <v>22314.0866324529</v>
      </c>
      <c r="L559" s="19" t="n">
        <v>22427.7191013675</v>
      </c>
      <c r="M559" s="19" t="n">
        <v>22545.7198639639</v>
      </c>
      <c r="N559" s="19" t="n">
        <v>22662.8050547937</v>
      </c>
      <c r="O559" s="20" t="n">
        <v>23568.4549567893</v>
      </c>
      <c r="P559" s="21" t="n">
        <v>23635.0951273534</v>
      </c>
      <c r="Q559" s="21" t="n">
        <v>23690.3217815007</v>
      </c>
      <c r="R559" s="21" t="n">
        <v>23750.6433753494</v>
      </c>
      <c r="S559" s="21" t="n">
        <v>23820.5031404915</v>
      </c>
      <c r="T559" s="21" t="n">
        <v>23867.4786798827</v>
      </c>
      <c r="U559" s="21" t="n">
        <v>23903.7587283274</v>
      </c>
      <c r="V559" s="21" t="n">
        <v>23945.7570750177</v>
      </c>
      <c r="W559" s="21" t="n">
        <v>24091.6364585482</v>
      </c>
      <c r="X559" s="21" t="n">
        <v>24292.6654715812</v>
      </c>
      <c r="Y559" s="0"/>
      <c r="Z559" s="0"/>
      <c r="AA559" s="0"/>
      <c r="AB559" s="0"/>
      <c r="AC559" s="0"/>
      <c r="AD559" s="0"/>
      <c r="AE559" s="0"/>
      <c r="AF559" s="0"/>
      <c r="AG559" s="0"/>
    </row>
    <row r="560" customFormat="false" ht="12.75" hidden="false" customHeight="false" outlineLevel="0" collapsed="false">
      <c r="A560" s="22" t="s">
        <v>9</v>
      </c>
      <c r="B560" s="17" t="n">
        <f aca="false">NPV(0.1,D560:Y560)</f>
        <v>68030.1472761364</v>
      </c>
      <c r="C560" s="17" t="n">
        <f aca="false">B560-B550</f>
        <v>-842.2812976602</v>
      </c>
      <c r="D560" s="18" t="n">
        <v>-2148.75697328276</v>
      </c>
      <c r="E560" s="19" t="n">
        <v>3195.02435529028</v>
      </c>
      <c r="F560" s="19" t="n">
        <v>3530.97211303876</v>
      </c>
      <c r="G560" s="19" t="n">
        <v>3792.61957357366</v>
      </c>
      <c r="H560" s="19" t="n">
        <v>6581.58844247062</v>
      </c>
      <c r="I560" s="19" t="n">
        <v>8865.333785975</v>
      </c>
      <c r="J560" s="19" t="n">
        <v>9437.33149451393</v>
      </c>
      <c r="K560" s="19" t="n">
        <v>9879.14686090789</v>
      </c>
      <c r="L560" s="19" t="n">
        <v>10673.4161185526</v>
      </c>
      <c r="M560" s="19" t="n">
        <v>11277.601953354</v>
      </c>
      <c r="N560" s="19" t="n">
        <v>12372.6368305066</v>
      </c>
      <c r="O560" s="20" t="n">
        <v>12194.1639542197</v>
      </c>
      <c r="P560" s="21" t="n">
        <v>12971.479865827</v>
      </c>
      <c r="Q560" s="21" t="n">
        <v>13360.5989437533</v>
      </c>
      <c r="R560" s="21" t="n">
        <v>13741.9578438178</v>
      </c>
      <c r="S560" s="21" t="n">
        <v>14112.2677694121</v>
      </c>
      <c r="T560" s="21" t="n">
        <v>14491.2624751405</v>
      </c>
      <c r="U560" s="21" t="n">
        <v>15031.8248819631</v>
      </c>
      <c r="V560" s="21" t="n">
        <v>15626.4578152494</v>
      </c>
      <c r="W560" s="21" t="n">
        <v>16245.3778996795</v>
      </c>
      <c r="X560" s="21" t="n">
        <v>16900.2579297549</v>
      </c>
      <c r="Y560" s="0"/>
      <c r="Z560" s="0"/>
      <c r="AA560" s="0"/>
      <c r="AB560" s="0"/>
      <c r="AC560" s="0"/>
      <c r="AD560" s="0"/>
      <c r="AE560" s="0"/>
      <c r="AF560" s="0"/>
      <c r="AG560" s="0"/>
    </row>
    <row r="561" customFormat="false" ht="12.75" hidden="false" customHeight="false" outlineLevel="0" collapsed="false">
      <c r="A561" s="22" t="s">
        <v>10</v>
      </c>
      <c r="B561" s="17" t="n">
        <f aca="false">NPV(0.1,D561:Y561)</f>
        <v>71394.1053098112</v>
      </c>
      <c r="C561" s="17" t="n">
        <f aca="false">B561-B551</f>
        <v>775.436883987437</v>
      </c>
      <c r="D561" s="23" t="n">
        <v>-6112.60040695251</v>
      </c>
      <c r="E561" s="24" t="n">
        <v>3077.53393939771</v>
      </c>
      <c r="F561" s="24" t="n">
        <v>4376.46139445526</v>
      </c>
      <c r="G561" s="24" t="n">
        <v>3053.78197831746</v>
      </c>
      <c r="H561" s="24" t="n">
        <v>11040.8307538591</v>
      </c>
      <c r="I561" s="24" t="n">
        <v>14556.3634464438</v>
      </c>
      <c r="J561" s="24" t="n">
        <v>12145.7003250585</v>
      </c>
      <c r="K561" s="24" t="n">
        <v>10911.3722447039</v>
      </c>
      <c r="L561" s="24" t="n">
        <v>8207.11919272412</v>
      </c>
      <c r="M561" s="24" t="n">
        <v>6432.87733714996</v>
      </c>
      <c r="N561" s="24" t="n">
        <v>16248.7323057002</v>
      </c>
      <c r="O561" s="25" t="n">
        <v>16224.1259918468</v>
      </c>
      <c r="P561" s="21" t="n">
        <v>16149.7917522644</v>
      </c>
      <c r="Q561" s="21" t="n">
        <v>16528.2603428817</v>
      </c>
      <c r="R561" s="21" t="n">
        <v>16903.8969333217</v>
      </c>
      <c r="S561" s="21" t="n">
        <v>15552.1595196885</v>
      </c>
      <c r="T561" s="21" t="n">
        <v>10953.8747923224</v>
      </c>
      <c r="U561" s="21" t="n">
        <v>10168.7131522114</v>
      </c>
      <c r="V561" s="21" t="n">
        <v>8850.09608549768</v>
      </c>
      <c r="W561" s="21" t="n">
        <v>8291.75295152891</v>
      </c>
      <c r="X561" s="21" t="n">
        <v>19802.5045443111</v>
      </c>
      <c r="Y561" s="0"/>
      <c r="Z561" s="0"/>
      <c r="AA561" s="0"/>
      <c r="AB561" s="0"/>
      <c r="AC561" s="0"/>
      <c r="AD561" s="0"/>
      <c r="AE561" s="0"/>
      <c r="AF561" s="0"/>
      <c r="AG561" s="0"/>
    </row>
    <row r="562" customFormat="false" ht="12.75" hidden="false" customHeight="false" outlineLevel="0" collapsed="false">
      <c r="A562" s="5"/>
      <c r="B562" s="5"/>
      <c r="C562" s="5"/>
      <c r="D562" s="0"/>
      <c r="E562" s="0"/>
      <c r="F562" s="0"/>
      <c r="G562" s="0"/>
      <c r="H562" s="0"/>
      <c r="I562" s="0"/>
      <c r="J562" s="0"/>
      <c r="K562" s="0"/>
      <c r="L562" s="0"/>
      <c r="M562" s="0"/>
      <c r="N562" s="0"/>
      <c r="O562" s="0"/>
      <c r="P562" s="0"/>
      <c r="Q562" s="0"/>
      <c r="R562" s="0"/>
      <c r="S562" s="0"/>
      <c r="T562" s="0"/>
      <c r="U562" s="0"/>
      <c r="V562" s="0"/>
      <c r="W562" s="0"/>
      <c r="X562" s="0"/>
      <c r="Y562" s="0"/>
      <c r="Z562" s="0"/>
      <c r="AA562" s="0"/>
      <c r="AB562" s="0"/>
      <c r="AC562" s="0"/>
      <c r="AD562" s="0"/>
      <c r="AE562" s="0"/>
      <c r="AF562" s="0"/>
      <c r="AG562" s="0"/>
    </row>
    <row r="563" customFormat="false" ht="12.75" hidden="false" customHeight="false" outlineLevel="0" collapsed="false">
      <c r="A563" s="26" t="s">
        <v>68</v>
      </c>
      <c r="B563" s="5"/>
      <c r="C563" s="5"/>
      <c r="D563" s="0"/>
      <c r="E563" s="0"/>
      <c r="F563" s="0"/>
      <c r="G563" s="0"/>
      <c r="H563" s="0"/>
      <c r="I563" s="0"/>
      <c r="J563" s="0"/>
      <c r="K563" s="0"/>
      <c r="L563" s="0"/>
      <c r="M563" s="0"/>
      <c r="N563" s="0"/>
      <c r="O563" s="0"/>
      <c r="P563" s="0"/>
      <c r="Q563" s="0"/>
      <c r="R563" s="0"/>
      <c r="S563" s="0"/>
      <c r="T563" s="0"/>
      <c r="U563" s="0"/>
      <c r="V563" s="0"/>
      <c r="W563" s="0"/>
      <c r="X563" s="0"/>
      <c r="Y563" s="0"/>
      <c r="Z563" s="0"/>
      <c r="AA563" s="0"/>
      <c r="AB563" s="0"/>
      <c r="AC563" s="0"/>
      <c r="AD563" s="0"/>
      <c r="AE563" s="0"/>
      <c r="AF563" s="0"/>
      <c r="AG563" s="0"/>
    </row>
    <row r="564" customFormat="false" ht="12.75" hidden="false" customHeight="false" outlineLevel="0" collapsed="false">
      <c r="A564" s="28" t="n">
        <v>36349</v>
      </c>
      <c r="B564" s="5"/>
      <c r="C564" s="5"/>
      <c r="D564" s="0"/>
      <c r="E564" s="0"/>
      <c r="F564" s="0"/>
      <c r="G564" s="0"/>
      <c r="H564" s="0"/>
      <c r="I564" s="0"/>
      <c r="J564" s="0"/>
      <c r="K564" s="0"/>
      <c r="L564" s="0"/>
      <c r="M564" s="0"/>
      <c r="N564" s="0"/>
      <c r="O564" s="0"/>
      <c r="P564" s="0"/>
      <c r="Q564" s="0"/>
      <c r="R564" s="0"/>
      <c r="S564" s="0"/>
      <c r="T564" s="0"/>
      <c r="U564" s="0"/>
      <c r="V564" s="0"/>
      <c r="W564" s="0"/>
      <c r="X564" s="0"/>
      <c r="Y564" s="0"/>
      <c r="Z564" s="0"/>
      <c r="AA564" s="0"/>
      <c r="AB564" s="0"/>
      <c r="AC564" s="0"/>
      <c r="AD564" s="0"/>
      <c r="AE564" s="0"/>
      <c r="AF564" s="0"/>
      <c r="AG564" s="0"/>
    </row>
    <row r="565" customFormat="false" ht="12.75" hidden="false" customHeight="false" outlineLevel="0" collapsed="false">
      <c r="A565" s="7" t="s">
        <v>2</v>
      </c>
      <c r="B565" s="8" t="n">
        <v>25544.857459837</v>
      </c>
      <c r="C565" s="5"/>
      <c r="D565" s="0"/>
      <c r="E565" s="0"/>
      <c r="F565" s="0"/>
      <c r="G565" s="0"/>
      <c r="H565" s="0"/>
      <c r="I565" s="0"/>
      <c r="J565" s="0"/>
      <c r="K565" s="0"/>
      <c r="L565" s="0"/>
      <c r="M565" s="0"/>
      <c r="N565" s="0"/>
      <c r="O565" s="0"/>
      <c r="P565" s="0"/>
      <c r="Q565" s="0"/>
      <c r="R565" s="0"/>
      <c r="S565" s="0"/>
      <c r="T565" s="0"/>
      <c r="U565" s="0"/>
      <c r="V565" s="0"/>
      <c r="W565" s="0"/>
      <c r="X565" s="0"/>
      <c r="Y565" s="0"/>
      <c r="Z565" s="0"/>
      <c r="AA565" s="0"/>
      <c r="AB565" s="0"/>
      <c r="AC565" s="0"/>
      <c r="AD565" s="0"/>
      <c r="AE565" s="0"/>
      <c r="AF565" s="0"/>
      <c r="AG565" s="0"/>
    </row>
    <row r="566" customFormat="false" ht="12.75" hidden="false" customHeight="false" outlineLevel="0" collapsed="false">
      <c r="A566" s="9" t="s">
        <v>3</v>
      </c>
      <c r="B566" s="10" t="n">
        <v>49351.6004417081</v>
      </c>
      <c r="C566" s="5"/>
      <c r="D566" s="0"/>
      <c r="E566" s="0"/>
      <c r="F566" s="0"/>
      <c r="G566" s="0"/>
      <c r="H566" s="0"/>
      <c r="I566" s="0"/>
      <c r="J566" s="0"/>
      <c r="K566" s="0"/>
      <c r="L566" s="0"/>
      <c r="M566" s="0"/>
      <c r="N566" s="0"/>
      <c r="O566" s="0"/>
      <c r="P566" s="0"/>
      <c r="Q566" s="0"/>
      <c r="R566" s="0"/>
      <c r="S566" s="0"/>
      <c r="T566" s="0"/>
      <c r="U566" s="0"/>
      <c r="V566" s="0"/>
      <c r="W566" s="0"/>
      <c r="X566" s="0"/>
      <c r="Y566" s="0"/>
      <c r="Z566" s="0"/>
      <c r="AA566" s="0"/>
      <c r="AB566" s="0"/>
      <c r="AC566" s="0"/>
      <c r="AD566" s="0"/>
      <c r="AE566" s="0"/>
      <c r="AF566" s="0"/>
      <c r="AG566" s="0"/>
    </row>
    <row r="567" customFormat="false" ht="12.75" hidden="false" customHeight="false" outlineLevel="0" collapsed="false">
      <c r="A567" s="11" t="s">
        <v>4</v>
      </c>
      <c r="B567" s="12" t="s">
        <v>5</v>
      </c>
      <c r="C567" s="12" t="s">
        <v>6</v>
      </c>
      <c r="D567" s="13" t="n">
        <v>1999</v>
      </c>
      <c r="E567" s="14" t="n">
        <v>2000</v>
      </c>
      <c r="F567" s="14" t="n">
        <v>2001</v>
      </c>
      <c r="G567" s="14" t="n">
        <v>2002</v>
      </c>
      <c r="H567" s="14" t="n">
        <v>2003</v>
      </c>
      <c r="I567" s="14" t="n">
        <v>2004</v>
      </c>
      <c r="J567" s="14" t="n">
        <v>2005</v>
      </c>
      <c r="K567" s="14" t="n">
        <v>2006</v>
      </c>
      <c r="L567" s="14" t="n">
        <v>2007</v>
      </c>
      <c r="M567" s="14" t="n">
        <v>2008</v>
      </c>
      <c r="N567" s="14" t="n">
        <v>2009</v>
      </c>
      <c r="O567" s="15" t="n">
        <v>2010</v>
      </c>
      <c r="P567" s="16" t="n">
        <v>2011</v>
      </c>
      <c r="Q567" s="16" t="n">
        <v>2012</v>
      </c>
      <c r="R567" s="16" t="n">
        <v>2013</v>
      </c>
      <c r="S567" s="16" t="n">
        <v>2014</v>
      </c>
      <c r="T567" s="16" t="n">
        <v>2015</v>
      </c>
      <c r="U567" s="16" t="n">
        <v>2016</v>
      </c>
      <c r="V567" s="16" t="n">
        <v>2017</v>
      </c>
      <c r="W567" s="16" t="n">
        <v>2018</v>
      </c>
      <c r="X567" s="16" t="n">
        <v>2019</v>
      </c>
      <c r="Y567" s="0"/>
      <c r="Z567" s="0"/>
      <c r="AA567" s="0"/>
      <c r="AB567" s="0"/>
      <c r="AC567" s="0"/>
      <c r="AD567" s="0"/>
      <c r="AE567" s="0"/>
      <c r="AF567" s="0"/>
      <c r="AG567" s="0"/>
    </row>
    <row r="568" customFormat="false" ht="12.75" hidden="false" customHeight="false" outlineLevel="0" collapsed="false">
      <c r="A568" s="11" t="s">
        <v>7</v>
      </c>
      <c r="B568" s="17" t="n">
        <f aca="false">NPV(0.1,D568:Y568)</f>
        <v>394427.15334924</v>
      </c>
      <c r="C568" s="17" t="n">
        <f aca="false">B568-B558</f>
        <v>0</v>
      </c>
      <c r="D568" s="18" t="n">
        <v>27166.1784825</v>
      </c>
      <c r="E568" s="19" t="n">
        <v>40347.8773374774</v>
      </c>
      <c r="F568" s="19" t="n">
        <v>40941.1228647172</v>
      </c>
      <c r="G568" s="19" t="n">
        <v>40999.6025001837</v>
      </c>
      <c r="H568" s="19" t="n">
        <v>45068.739154628</v>
      </c>
      <c r="I568" s="19" t="n">
        <v>48202.9893651706</v>
      </c>
      <c r="J568" s="19" t="n">
        <v>48607.3601573649</v>
      </c>
      <c r="K568" s="19" t="n">
        <v>49007.6682208296</v>
      </c>
      <c r="L568" s="19" t="n">
        <v>49975.9744618755</v>
      </c>
      <c r="M568" s="19" t="n">
        <v>50383.4812282928</v>
      </c>
      <c r="N568" s="19" t="n">
        <v>51393.0618595626</v>
      </c>
      <c r="O568" s="20" t="n">
        <v>51807.1594644032</v>
      </c>
      <c r="P568" s="21" t="n">
        <v>52859.4504427563</v>
      </c>
      <c r="Q568" s="21" t="n">
        <v>53279.4302849698</v>
      </c>
      <c r="R568" s="21" t="n">
        <v>53692.0931264851</v>
      </c>
      <c r="S568" s="21" t="n">
        <v>54096.6219654021</v>
      </c>
      <c r="T568" s="21" t="n">
        <v>54492.1573650078</v>
      </c>
      <c r="U568" s="21" t="n">
        <v>54877.7956429882</v>
      </c>
      <c r="V568" s="21" t="n">
        <v>55252.5869901864</v>
      </c>
      <c r="W568" s="21" t="n">
        <v>55615.5335163051</v>
      </c>
      <c r="X568" s="21" t="n">
        <v>55965.5872198672</v>
      </c>
      <c r="Y568" s="0"/>
      <c r="Z568" s="0"/>
      <c r="AA568" s="0"/>
      <c r="AB568" s="0"/>
      <c r="AC568" s="0"/>
      <c r="AD568" s="0"/>
      <c r="AE568" s="0"/>
      <c r="AF568" s="0"/>
      <c r="AG568" s="0"/>
    </row>
    <row r="569" customFormat="false" ht="12.75" hidden="false" customHeight="false" outlineLevel="0" collapsed="false">
      <c r="A569" s="22" t="s">
        <v>8</v>
      </c>
      <c r="B569" s="17" t="n">
        <f aca="false">NPV(0.1,D569:Y569)</f>
        <v>189841.614051799</v>
      </c>
      <c r="C569" s="17" t="n">
        <f aca="false">B569-B559</f>
        <v>-2353.04624323556</v>
      </c>
      <c r="D569" s="18" t="n">
        <v>19100.8619610294</v>
      </c>
      <c r="E569" s="19" t="n">
        <v>21103.5876479482</v>
      </c>
      <c r="F569" s="19" t="n">
        <v>21441.4602175823</v>
      </c>
      <c r="G569" s="19" t="n">
        <v>21546.2331626536</v>
      </c>
      <c r="H569" s="19" t="n">
        <v>21754.2529785142</v>
      </c>
      <c r="I569" s="19" t="n">
        <v>21806.7089625071</v>
      </c>
      <c r="J569" s="19" t="n">
        <v>21933.4944418381</v>
      </c>
      <c r="K569" s="19" t="n">
        <v>22058.9533425099</v>
      </c>
      <c r="L569" s="19" t="n">
        <v>22188.6671941099</v>
      </c>
      <c r="M569" s="19" t="n">
        <v>22322.7636451658</v>
      </c>
      <c r="N569" s="19" t="n">
        <v>22455.9165746836</v>
      </c>
      <c r="O569" s="20" t="n">
        <v>23379.6132567733</v>
      </c>
      <c r="P569" s="21" t="n">
        <v>23462.1710820535</v>
      </c>
      <c r="Q569" s="21" t="n">
        <v>23533.2887646986</v>
      </c>
      <c r="R569" s="21" t="n">
        <v>23609.4870812711</v>
      </c>
      <c r="S569" s="21" t="n">
        <v>23690.9184507888</v>
      </c>
      <c r="T569" s="21" t="n">
        <v>23744.994270973</v>
      </c>
      <c r="U569" s="21" t="n">
        <v>23788.2490400933</v>
      </c>
      <c r="V569" s="21" t="n">
        <v>23837.2221074592</v>
      </c>
      <c r="W569" s="21" t="n">
        <v>23990.3218036193</v>
      </c>
      <c r="X569" s="21" t="n">
        <v>24198.6064331888</v>
      </c>
      <c r="Y569" s="0"/>
      <c r="Z569" s="0"/>
      <c r="AA569" s="0"/>
      <c r="AB569" s="0"/>
      <c r="AC569" s="0"/>
      <c r="AD569" s="0"/>
      <c r="AE569" s="0"/>
      <c r="AF569" s="0"/>
      <c r="AG569" s="0"/>
    </row>
    <row r="570" customFormat="false" ht="12.75" hidden="false" customHeight="false" outlineLevel="0" collapsed="false">
      <c r="A570" s="22" t="s">
        <v>9</v>
      </c>
      <c r="B570" s="17" t="n">
        <f aca="false">NPV(0.1,D570:Y570)</f>
        <v>69501.3159070243</v>
      </c>
      <c r="C570" s="17" t="n">
        <f aca="false">B570-B560</f>
        <v>1471.16863088794</v>
      </c>
      <c r="D570" s="18" t="n">
        <v>-1905.2979745814</v>
      </c>
      <c r="E570" s="19" t="n">
        <v>3431.2487765503</v>
      </c>
      <c r="F570" s="19" t="n">
        <v>3755.72706938836</v>
      </c>
      <c r="G570" s="19" t="n">
        <v>4005.65173712391</v>
      </c>
      <c r="H570" s="19" t="n">
        <v>6780.19752484712</v>
      </c>
      <c r="I570" s="19" t="n">
        <v>9047.59444581111</v>
      </c>
      <c r="J570" s="19" t="n">
        <v>9606.90893735452</v>
      </c>
      <c r="K570" s="19" t="n">
        <v>10038.6609775294</v>
      </c>
      <c r="L570" s="19" t="n">
        <v>10822.8758531933</v>
      </c>
      <c r="M570" s="19" t="n">
        <v>11416.9983617756</v>
      </c>
      <c r="N570" s="19" t="n">
        <v>12501.9873874304</v>
      </c>
      <c r="O570" s="20" t="n">
        <v>12312.2313258516</v>
      </c>
      <c r="P570" s="21" t="n">
        <v>13079.5952212744</v>
      </c>
      <c r="Q570" s="21" t="n">
        <v>13458.7789302271</v>
      </c>
      <c r="R570" s="21" t="n">
        <v>13830.2114055561</v>
      </c>
      <c r="S570" s="21" t="n">
        <v>14193.2865471272</v>
      </c>
      <c r="T570" s="21" t="n">
        <v>14567.8420241735</v>
      </c>
      <c r="U570" s="21" t="n">
        <v>15104.0437048537</v>
      </c>
      <c r="V570" s="21" t="n">
        <v>15694.3159119976</v>
      </c>
      <c r="W570" s="21" t="n">
        <v>16308.7217215908</v>
      </c>
      <c r="X570" s="21" t="n">
        <v>16959.0654041648</v>
      </c>
      <c r="Y570" s="0"/>
      <c r="Z570" s="0"/>
      <c r="AA570" s="0"/>
      <c r="AB570" s="0"/>
      <c r="AC570" s="0"/>
      <c r="AD570" s="0"/>
      <c r="AE570" s="0"/>
      <c r="AF570" s="0"/>
      <c r="AG570" s="0"/>
    </row>
    <row r="571" customFormat="false" ht="12.75" hidden="false" customHeight="false" outlineLevel="0" collapsed="false">
      <c r="A571" s="22" t="s">
        <v>10</v>
      </c>
      <c r="B571" s="17" t="n">
        <f aca="false">NPV(0.1,D571:Y571)</f>
        <v>73045.446533485</v>
      </c>
      <c r="C571" s="17" t="n">
        <f aca="false">B571-B561</f>
        <v>1651.34122367382</v>
      </c>
      <c r="D571" s="23" t="n">
        <v>-5718.33482201104</v>
      </c>
      <c r="E571" s="24" t="n">
        <v>3460.08360945441</v>
      </c>
      <c r="F571" s="24" t="n">
        <v>4740.43703226838</v>
      </c>
      <c r="G571" s="24" t="n">
        <v>3398.77333629357</v>
      </c>
      <c r="H571" s="24" t="n">
        <v>11362.4648953595</v>
      </c>
      <c r="I571" s="24" t="n">
        <v>14851.5224097411</v>
      </c>
      <c r="J571" s="24" t="n">
        <v>11511.0426943877</v>
      </c>
      <c r="K571" s="24" t="n">
        <v>11070.8863613254</v>
      </c>
      <c r="L571" s="24" t="n">
        <v>8356.57892736482</v>
      </c>
      <c r="M571" s="24" t="n">
        <v>6572.27374557163</v>
      </c>
      <c r="N571" s="24" t="n">
        <v>16378.082862624</v>
      </c>
      <c r="O571" s="25" t="n">
        <v>16342.1933634787</v>
      </c>
      <c r="P571" s="21" t="n">
        <v>16257.9071077118</v>
      </c>
      <c r="Q571" s="21" t="n">
        <v>16626.4403293555</v>
      </c>
      <c r="R571" s="21" t="n">
        <v>16992.15049506</v>
      </c>
      <c r="S571" s="21" t="n">
        <v>15633.1782974035</v>
      </c>
      <c r="T571" s="21" t="n">
        <v>11030.4543413554</v>
      </c>
      <c r="U571" s="21" t="n">
        <v>10240.931975102</v>
      </c>
      <c r="V571" s="21" t="n">
        <v>8917.95418224589</v>
      </c>
      <c r="W571" s="21" t="n">
        <v>8355.09677344021</v>
      </c>
      <c r="X571" s="21" t="n">
        <v>19861.3120187211</v>
      </c>
      <c r="Y571" s="0"/>
      <c r="Z571" s="0"/>
      <c r="AA571" s="0"/>
      <c r="AB571" s="0"/>
      <c r="AC571" s="0"/>
      <c r="AD571" s="0"/>
      <c r="AE571" s="0"/>
      <c r="AF571" s="0"/>
      <c r="AG571" s="0"/>
    </row>
    <row r="572" customFormat="false" ht="12.75" hidden="false" customHeight="false" outlineLevel="0" collapsed="false">
      <c r="B572" s="5"/>
      <c r="C572" s="5"/>
      <c r="D572" s="0"/>
      <c r="E572" s="0"/>
      <c r="F572" s="0"/>
      <c r="G572" s="0"/>
      <c r="H572" s="0"/>
      <c r="I572" s="0"/>
      <c r="J572" s="0"/>
      <c r="K572" s="0"/>
      <c r="L572" s="0"/>
      <c r="M572" s="0"/>
      <c r="N572" s="0"/>
      <c r="O572" s="0"/>
      <c r="P572" s="0"/>
      <c r="Q572" s="0"/>
      <c r="R572" s="0"/>
      <c r="S572" s="0"/>
      <c r="T572" s="0"/>
      <c r="U572" s="0"/>
      <c r="V572" s="0"/>
      <c r="W572" s="0"/>
      <c r="X572" s="0"/>
      <c r="Y572" s="0"/>
      <c r="Z572" s="0"/>
      <c r="AA572" s="0"/>
      <c r="AB572" s="0"/>
      <c r="AC572" s="0"/>
      <c r="AD572" s="0"/>
      <c r="AE572" s="0"/>
      <c r="AF572" s="0"/>
      <c r="AG572" s="0"/>
    </row>
    <row r="573" customFormat="false" ht="12.75" hidden="false" customHeight="false" outlineLevel="0" collapsed="false">
      <c r="A573" s="26" t="s">
        <v>69</v>
      </c>
      <c r="B573" s="5"/>
      <c r="C573" s="5"/>
      <c r="D573" s="0"/>
      <c r="E573" s="0"/>
      <c r="F573" s="0"/>
      <c r="G573" s="0"/>
      <c r="H573" s="0"/>
      <c r="I573" s="0"/>
      <c r="J573" s="0"/>
      <c r="K573" s="0"/>
      <c r="L573" s="0"/>
      <c r="M573" s="0"/>
      <c r="N573" s="0"/>
      <c r="O573" s="0"/>
      <c r="P573" s="0"/>
      <c r="Q573" s="0"/>
      <c r="R573" s="0"/>
      <c r="S573" s="0"/>
      <c r="T573" s="0"/>
      <c r="U573" s="0"/>
      <c r="V573" s="0"/>
      <c r="W573" s="0"/>
      <c r="X573" s="0"/>
      <c r="Y573" s="0"/>
      <c r="Z573" s="0"/>
      <c r="AA573" s="0"/>
      <c r="AB573" s="0"/>
      <c r="AC573" s="0"/>
      <c r="AD573" s="0"/>
      <c r="AE573" s="0"/>
      <c r="AF573" s="0"/>
      <c r="AG573" s="0"/>
    </row>
    <row r="574" customFormat="false" ht="12.75" hidden="false" customHeight="false" outlineLevel="0" collapsed="false">
      <c r="A574" s="28" t="n">
        <v>36362</v>
      </c>
      <c r="B574" s="5"/>
      <c r="C574" s="5"/>
      <c r="D574" s="0"/>
      <c r="E574" s="0"/>
      <c r="F574" s="0"/>
      <c r="G574" s="0"/>
      <c r="H574" s="0"/>
      <c r="I574" s="0"/>
      <c r="J574" s="0"/>
      <c r="K574" s="0"/>
      <c r="L574" s="0"/>
      <c r="M574" s="0"/>
      <c r="N574" s="0"/>
      <c r="O574" s="0"/>
      <c r="P574" s="0"/>
      <c r="Q574" s="0"/>
      <c r="R574" s="0"/>
      <c r="S574" s="0"/>
      <c r="T574" s="0"/>
      <c r="U574" s="0"/>
      <c r="V574" s="0"/>
      <c r="W574" s="0"/>
      <c r="X574" s="0"/>
      <c r="Y574" s="0"/>
      <c r="Z574" s="0"/>
      <c r="AA574" s="0"/>
      <c r="AB574" s="0"/>
      <c r="AC574" s="0"/>
      <c r="AD574" s="0"/>
      <c r="AE574" s="0"/>
      <c r="AF574" s="0"/>
      <c r="AG574" s="0"/>
    </row>
    <row r="575" customFormat="false" ht="12.75" hidden="false" customHeight="false" outlineLevel="0" collapsed="false">
      <c r="A575" s="7" t="s">
        <v>2</v>
      </c>
      <c r="B575" s="8" t="n">
        <v>26470.7515194185</v>
      </c>
      <c r="C575" s="5"/>
      <c r="D575" s="0"/>
      <c r="E575" s="0"/>
      <c r="F575" s="0"/>
      <c r="G575" s="0"/>
      <c r="H575" s="0"/>
      <c r="I575" s="0"/>
      <c r="J575" s="0"/>
      <c r="K575" s="0"/>
      <c r="L575" s="0"/>
      <c r="M575" s="0"/>
      <c r="N575" s="0"/>
      <c r="O575" s="0"/>
      <c r="P575" s="0"/>
      <c r="Q575" s="0"/>
      <c r="R575" s="0"/>
      <c r="S575" s="0"/>
      <c r="T575" s="0"/>
      <c r="U575" s="0"/>
      <c r="V575" s="0"/>
      <c r="W575" s="0"/>
      <c r="X575" s="0"/>
      <c r="Y575" s="0"/>
      <c r="Z575" s="0"/>
      <c r="AA575" s="0"/>
      <c r="AB575" s="0"/>
      <c r="AC575" s="0"/>
      <c r="AD575" s="0"/>
      <c r="AE575" s="0"/>
      <c r="AF575" s="0"/>
      <c r="AG575" s="0"/>
    </row>
    <row r="576" customFormat="false" ht="12.75" hidden="false" customHeight="false" outlineLevel="0" collapsed="false">
      <c r="A576" s="9" t="s">
        <v>3</v>
      </c>
      <c r="B576" s="10" t="n">
        <v>50438.4664417081</v>
      </c>
      <c r="C576" s="5"/>
      <c r="D576" s="0"/>
      <c r="E576" s="0"/>
      <c r="F576" s="0"/>
      <c r="G576" s="0"/>
      <c r="H576" s="0"/>
      <c r="I576" s="0"/>
      <c r="J576" s="0"/>
      <c r="K576" s="0"/>
      <c r="L576" s="0"/>
      <c r="M576" s="0"/>
      <c r="N576" s="0"/>
      <c r="O576" s="0"/>
      <c r="P576" s="0"/>
      <c r="Q576" s="0"/>
      <c r="R576" s="0"/>
      <c r="S576" s="0"/>
      <c r="T576" s="0"/>
      <c r="U576" s="0"/>
      <c r="V576" s="0"/>
      <c r="W576" s="0"/>
      <c r="X576" s="0"/>
      <c r="Y576" s="0"/>
      <c r="Z576" s="0"/>
      <c r="AA576" s="0"/>
      <c r="AB576" s="0"/>
      <c r="AC576" s="0"/>
      <c r="AD576" s="0"/>
      <c r="AE576" s="0"/>
      <c r="AF576" s="0"/>
      <c r="AG576" s="0"/>
    </row>
    <row r="577" customFormat="false" ht="12.75" hidden="false" customHeight="false" outlineLevel="0" collapsed="false">
      <c r="A577" s="11" t="s">
        <v>4</v>
      </c>
      <c r="B577" s="12" t="s">
        <v>5</v>
      </c>
      <c r="C577" s="12" t="s">
        <v>6</v>
      </c>
      <c r="D577" s="13" t="n">
        <v>1999</v>
      </c>
      <c r="E577" s="14" t="n">
        <v>2000</v>
      </c>
      <c r="F577" s="14" t="n">
        <v>2001</v>
      </c>
      <c r="G577" s="14" t="n">
        <v>2002</v>
      </c>
      <c r="H577" s="14" t="n">
        <v>2003</v>
      </c>
      <c r="I577" s="14" t="n">
        <v>2004</v>
      </c>
      <c r="J577" s="14" t="n">
        <v>2005</v>
      </c>
      <c r="K577" s="14" t="n">
        <v>2006</v>
      </c>
      <c r="L577" s="14" t="n">
        <v>2007</v>
      </c>
      <c r="M577" s="14" t="n">
        <v>2008</v>
      </c>
      <c r="N577" s="14" t="n">
        <v>2009</v>
      </c>
      <c r="O577" s="15" t="n">
        <v>2010</v>
      </c>
      <c r="P577" s="16" t="n">
        <v>2011</v>
      </c>
      <c r="Q577" s="16" t="n">
        <v>2012</v>
      </c>
      <c r="R577" s="16" t="n">
        <v>2013</v>
      </c>
      <c r="S577" s="16" t="n">
        <v>2014</v>
      </c>
      <c r="T577" s="16" t="n">
        <v>2015</v>
      </c>
      <c r="U577" s="16" t="n">
        <v>2016</v>
      </c>
      <c r="V577" s="16" t="n">
        <v>2017</v>
      </c>
      <c r="W577" s="16" t="n">
        <v>2018</v>
      </c>
      <c r="X577" s="16" t="n">
        <v>2019</v>
      </c>
      <c r="Y577" s="0"/>
      <c r="Z577" s="0"/>
      <c r="AA577" s="0"/>
      <c r="AB577" s="0"/>
      <c r="AC577" s="0"/>
      <c r="AD577" s="0"/>
      <c r="AE577" s="0"/>
      <c r="AF577" s="0"/>
      <c r="AG577" s="0"/>
    </row>
    <row r="578" customFormat="false" ht="12.75" hidden="false" customHeight="false" outlineLevel="0" collapsed="false">
      <c r="A578" s="11" t="s">
        <v>7</v>
      </c>
      <c r="B578" s="17" t="n">
        <f aca="false">NPV(0.1,D578:Y578)</f>
        <v>394427.15334924</v>
      </c>
      <c r="C578" s="17" t="n">
        <f aca="false">B578-B568</f>
        <v>0</v>
      </c>
      <c r="D578" s="18" t="n">
        <v>27166.1784825</v>
      </c>
      <c r="E578" s="19" t="n">
        <v>40347.8773374774</v>
      </c>
      <c r="F578" s="19" t="n">
        <v>40941.1228647172</v>
      </c>
      <c r="G578" s="19" t="n">
        <v>40999.6025001837</v>
      </c>
      <c r="H578" s="19" t="n">
        <v>45068.739154628</v>
      </c>
      <c r="I578" s="19" t="n">
        <v>48202.9893651706</v>
      </c>
      <c r="J578" s="19" t="n">
        <v>48607.3601573649</v>
      </c>
      <c r="K578" s="19" t="n">
        <v>49007.6682208296</v>
      </c>
      <c r="L578" s="19" t="n">
        <v>49975.9744618755</v>
      </c>
      <c r="M578" s="19" t="n">
        <v>50383.4812282928</v>
      </c>
      <c r="N578" s="19" t="n">
        <v>51393.0618595626</v>
      </c>
      <c r="O578" s="20" t="n">
        <v>51807.1594644032</v>
      </c>
      <c r="P578" s="21" t="n">
        <v>52859.4504427563</v>
      </c>
      <c r="Q578" s="21" t="n">
        <v>53279.4302849698</v>
      </c>
      <c r="R578" s="21" t="n">
        <v>53692.0931264851</v>
      </c>
      <c r="S578" s="21" t="n">
        <v>54096.6219654021</v>
      </c>
      <c r="T578" s="21" t="n">
        <v>54492.1573650078</v>
      </c>
      <c r="U578" s="21" t="n">
        <v>54877.7956429882</v>
      </c>
      <c r="V578" s="21" t="n">
        <v>55252.5869901864</v>
      </c>
      <c r="W578" s="21" t="n">
        <v>55615.5335163051</v>
      </c>
      <c r="X578" s="21" t="n">
        <v>55965.5872198672</v>
      </c>
      <c r="Y578" s="0"/>
      <c r="Z578" s="0"/>
      <c r="AA578" s="0"/>
      <c r="AB578" s="0"/>
      <c r="AC578" s="0"/>
      <c r="AD578" s="0"/>
      <c r="AE578" s="0"/>
      <c r="AF578" s="0"/>
      <c r="AG578" s="0"/>
    </row>
    <row r="579" customFormat="false" ht="12.75" hidden="false" customHeight="false" outlineLevel="0" collapsed="false">
      <c r="A579" s="22" t="s">
        <v>8</v>
      </c>
      <c r="B579" s="17" t="n">
        <f aca="false">NPV(0.1,D579:Y579)</f>
        <v>189841.614051799</v>
      </c>
      <c r="C579" s="17" t="n">
        <f aca="false">B579-B569</f>
        <v>0</v>
      </c>
      <c r="D579" s="18" t="n">
        <v>19100.8619610294</v>
      </c>
      <c r="E579" s="19" t="n">
        <v>21103.5876479482</v>
      </c>
      <c r="F579" s="19" t="n">
        <v>21441.4602175823</v>
      </c>
      <c r="G579" s="19" t="n">
        <v>21546.2331626536</v>
      </c>
      <c r="H579" s="19" t="n">
        <v>21754.2529785142</v>
      </c>
      <c r="I579" s="19" t="n">
        <v>21806.7089625071</v>
      </c>
      <c r="J579" s="19" t="n">
        <v>21933.4944418381</v>
      </c>
      <c r="K579" s="19" t="n">
        <v>22058.9533425099</v>
      </c>
      <c r="L579" s="19" t="n">
        <v>22188.6671941099</v>
      </c>
      <c r="M579" s="19" t="n">
        <v>22322.7636451658</v>
      </c>
      <c r="N579" s="19" t="n">
        <v>22455.9165746836</v>
      </c>
      <c r="O579" s="20" t="n">
        <v>23379.6132567733</v>
      </c>
      <c r="P579" s="21" t="n">
        <v>23462.1710820535</v>
      </c>
      <c r="Q579" s="21" t="n">
        <v>23533.2887646986</v>
      </c>
      <c r="R579" s="21" t="n">
        <v>23609.4870812711</v>
      </c>
      <c r="S579" s="21" t="n">
        <v>23690.9184507888</v>
      </c>
      <c r="T579" s="21" t="n">
        <v>23744.994270973</v>
      </c>
      <c r="U579" s="21" t="n">
        <v>23788.2490400933</v>
      </c>
      <c r="V579" s="21" t="n">
        <v>23837.2221074592</v>
      </c>
      <c r="W579" s="21" t="n">
        <v>23990.3218036193</v>
      </c>
      <c r="X579" s="21" t="n">
        <v>24198.6064331888</v>
      </c>
      <c r="Y579" s="0"/>
      <c r="Z579" s="0"/>
      <c r="AA579" s="0"/>
      <c r="AB579" s="0"/>
      <c r="AC579" s="0"/>
      <c r="AD579" s="0"/>
      <c r="AE579" s="0"/>
      <c r="AF579" s="0"/>
      <c r="AG579" s="0"/>
    </row>
    <row r="580" customFormat="false" ht="12.75" hidden="false" customHeight="false" outlineLevel="0" collapsed="false">
      <c r="A580" s="22" t="s">
        <v>9</v>
      </c>
      <c r="B580" s="17" t="n">
        <f aca="false">NPV(0.1,D580:Y580)</f>
        <v>69664.2912707724</v>
      </c>
      <c r="C580" s="17" t="n">
        <f aca="false">B580-B570</f>
        <v>162.975363748075</v>
      </c>
      <c r="D580" s="18" t="n">
        <v>-1896.98067925848</v>
      </c>
      <c r="E580" s="19" t="n">
        <v>3451.2102853253</v>
      </c>
      <c r="F580" s="19" t="n">
        <v>3775.68857816336</v>
      </c>
      <c r="G580" s="19" t="n">
        <v>4025.61324589891</v>
      </c>
      <c r="H580" s="19" t="n">
        <v>6800.15903362212</v>
      </c>
      <c r="I580" s="19" t="n">
        <v>9067.64060354444</v>
      </c>
      <c r="J580" s="19" t="n">
        <v>9627.07360362952</v>
      </c>
      <c r="K580" s="19" t="n">
        <v>10058.8256438044</v>
      </c>
      <c r="L580" s="19" t="n">
        <v>10843.0405194683</v>
      </c>
      <c r="M580" s="19" t="n">
        <v>11437.1630280506</v>
      </c>
      <c r="N580" s="19" t="n">
        <v>12522.1520537054</v>
      </c>
      <c r="O580" s="20" t="n">
        <v>12332.3959921266</v>
      </c>
      <c r="P580" s="21" t="n">
        <v>13099.7598875494</v>
      </c>
      <c r="Q580" s="21" t="n">
        <v>13478.9435965021</v>
      </c>
      <c r="R580" s="21" t="n">
        <v>13850.3760718311</v>
      </c>
      <c r="S580" s="21" t="n">
        <v>14213.4512134022</v>
      </c>
      <c r="T580" s="21" t="n">
        <v>14588.0066904485</v>
      </c>
      <c r="U580" s="21" t="n">
        <v>15124.2083711287</v>
      </c>
      <c r="V580" s="21" t="n">
        <v>15714.4805782726</v>
      </c>
      <c r="W580" s="21" t="n">
        <v>16328.8863878658</v>
      </c>
      <c r="X580" s="21" t="n">
        <v>16979.2300704398</v>
      </c>
      <c r="Y580" s="0"/>
      <c r="Z580" s="0"/>
      <c r="AA580" s="0"/>
      <c r="AB580" s="0"/>
      <c r="AC580" s="0"/>
      <c r="AD580" s="0"/>
      <c r="AE580" s="0"/>
      <c r="AF580" s="0"/>
      <c r="AG580" s="0"/>
    </row>
    <row r="581" customFormat="false" ht="12.75" hidden="false" customHeight="false" outlineLevel="0" collapsed="false">
      <c r="A581" s="22" t="s">
        <v>10</v>
      </c>
      <c r="B581" s="17" t="n">
        <f aca="false">NPV(0.1,D581:Y581)</f>
        <v>72869.3639833358</v>
      </c>
      <c r="C581" s="17" t="n">
        <f aca="false">B581-B571</f>
        <v>-176.082550149193</v>
      </c>
      <c r="D581" s="23" t="n">
        <v>-5718.33482201104</v>
      </c>
      <c r="E581" s="24" t="n">
        <v>3460.08360945441</v>
      </c>
      <c r="F581" s="24" t="n">
        <v>4740.43703226838</v>
      </c>
      <c r="G581" s="24" t="n">
        <v>3398.77333629357</v>
      </c>
      <c r="H581" s="24" t="n">
        <v>11362.4648953595</v>
      </c>
      <c r="I581" s="24" t="n">
        <v>14851.5224097411</v>
      </c>
      <c r="J581" s="24" t="n">
        <v>11304.285253507</v>
      </c>
      <c r="K581" s="24" t="n">
        <v>11046.2797537872</v>
      </c>
      <c r="L581" s="24" t="n">
        <v>8332.01395537232</v>
      </c>
      <c r="M581" s="24" t="n">
        <v>6547.66713803338</v>
      </c>
      <c r="N581" s="24" t="n">
        <v>16353.5178906315</v>
      </c>
      <c r="O581" s="25" t="n">
        <v>16317.5867559405</v>
      </c>
      <c r="P581" s="21" t="n">
        <v>16233.3421357193</v>
      </c>
      <c r="Q581" s="21" t="n">
        <v>16601.8337218172</v>
      </c>
      <c r="R581" s="21" t="n">
        <v>16967.5855230675</v>
      </c>
      <c r="S581" s="21" t="n">
        <v>15620.8958114073</v>
      </c>
      <c r="T581" s="21" t="n">
        <v>11030.4543413554</v>
      </c>
      <c r="U581" s="21" t="n">
        <v>10240.931975102</v>
      </c>
      <c r="V581" s="21" t="n">
        <v>8917.95418224589</v>
      </c>
      <c r="W581" s="21" t="n">
        <v>8355.09677344021</v>
      </c>
      <c r="X581" s="21" t="n">
        <v>19861.3120187211</v>
      </c>
      <c r="Y581" s="0"/>
      <c r="Z581" s="0"/>
      <c r="AA581" s="0"/>
      <c r="AB581" s="0"/>
      <c r="AC581" s="0"/>
      <c r="AD581" s="0"/>
      <c r="AE581" s="0"/>
      <c r="AF581" s="0"/>
      <c r="AG581" s="0"/>
    </row>
    <row r="582" customFormat="false" ht="12.75" hidden="false" customHeight="false" outlineLevel="0" collapsed="false">
      <c r="A582" s="5"/>
      <c r="B582" s="5"/>
      <c r="C582" s="5"/>
      <c r="D582" s="0"/>
      <c r="E582" s="0"/>
      <c r="F582" s="0"/>
      <c r="G582" s="0"/>
      <c r="H582" s="0"/>
      <c r="I582" s="0"/>
      <c r="J582" s="0"/>
      <c r="K582" s="0"/>
      <c r="L582" s="0"/>
      <c r="M582" s="0"/>
      <c r="N582" s="0"/>
      <c r="O582" s="0"/>
      <c r="P582" s="0"/>
      <c r="Q582" s="0"/>
      <c r="R582" s="0"/>
      <c r="S582" s="0"/>
      <c r="T582" s="0"/>
      <c r="U582" s="0"/>
      <c r="V582" s="0"/>
      <c r="W582" s="0"/>
      <c r="X582" s="0"/>
      <c r="Y582" s="0"/>
      <c r="Z582" s="0"/>
      <c r="AA582" s="0"/>
      <c r="AB582" s="0"/>
      <c r="AC582" s="0"/>
      <c r="AD582" s="0"/>
      <c r="AE582" s="0"/>
      <c r="AF582" s="0"/>
      <c r="AG582" s="0"/>
    </row>
    <row r="583" customFormat="false" ht="12.75" hidden="false" customHeight="false" outlineLevel="0" collapsed="false">
      <c r="A583" s="26" t="s">
        <v>70</v>
      </c>
      <c r="B583" s="5"/>
      <c r="C583" s="5"/>
      <c r="D583" s="0"/>
      <c r="E583" s="0"/>
      <c r="F583" s="0"/>
      <c r="G583" s="0"/>
      <c r="H583" s="0"/>
      <c r="I583" s="0"/>
      <c r="J583" s="0"/>
      <c r="K583" s="0"/>
      <c r="L583" s="0"/>
      <c r="M583" s="0"/>
      <c r="N583" s="0"/>
      <c r="O583" s="0"/>
      <c r="P583" s="0"/>
      <c r="Q583" s="0"/>
      <c r="R583" s="0"/>
      <c r="S583" s="0"/>
      <c r="T583" s="0"/>
      <c r="U583" s="0"/>
      <c r="V583" s="0"/>
      <c r="W583" s="0"/>
      <c r="X583" s="0"/>
      <c r="Y583" s="0"/>
      <c r="Z583" s="0"/>
      <c r="AA583" s="0"/>
      <c r="AB583" s="0"/>
      <c r="AC583" s="0"/>
      <c r="AD583" s="0"/>
      <c r="AE583" s="0"/>
      <c r="AF583" s="0"/>
      <c r="AG583" s="0"/>
    </row>
    <row r="584" customFormat="false" ht="12.75" hidden="false" customHeight="false" outlineLevel="0" collapsed="false">
      <c r="A584" s="28" t="n">
        <v>36367</v>
      </c>
      <c r="B584" s="5"/>
      <c r="C584" s="5"/>
      <c r="D584" s="0"/>
      <c r="E584" s="0"/>
      <c r="F584" s="0"/>
      <c r="G584" s="0"/>
      <c r="H584" s="0"/>
      <c r="I584" s="0"/>
      <c r="J584" s="0"/>
      <c r="K584" s="0"/>
      <c r="L584" s="0"/>
      <c r="M584" s="0"/>
      <c r="N584" s="0"/>
      <c r="O584" s="0"/>
      <c r="P584" s="0"/>
      <c r="Q584" s="0"/>
      <c r="R584" s="0"/>
      <c r="S584" s="0"/>
      <c r="T584" s="0"/>
      <c r="U584" s="0"/>
      <c r="V584" s="0"/>
      <c r="W584" s="0"/>
      <c r="X584" s="0"/>
      <c r="Y584" s="0"/>
      <c r="Z584" s="0"/>
      <c r="AA584" s="0"/>
      <c r="AB584" s="0"/>
      <c r="AC584" s="0"/>
      <c r="AD584" s="0"/>
      <c r="AE584" s="0"/>
      <c r="AF584" s="0"/>
      <c r="AG584" s="0"/>
    </row>
    <row r="585" customFormat="false" ht="12.75" hidden="false" customHeight="false" outlineLevel="0" collapsed="false">
      <c r="A585" s="7" t="s">
        <v>2</v>
      </c>
      <c r="B585" s="8" t="n">
        <v>36043.9270727104</v>
      </c>
      <c r="C585" s="5"/>
      <c r="D585" s="0"/>
      <c r="E585" s="0"/>
      <c r="F585" s="0"/>
      <c r="G585" s="0"/>
      <c r="H585" s="0"/>
      <c r="I585" s="0"/>
      <c r="J585" s="0"/>
      <c r="K585" s="0"/>
      <c r="L585" s="0"/>
      <c r="M585" s="0"/>
      <c r="N585" s="0"/>
      <c r="O585" s="0"/>
      <c r="P585" s="0"/>
      <c r="Q585" s="0"/>
      <c r="R585" s="0"/>
      <c r="S585" s="0"/>
      <c r="T585" s="0"/>
      <c r="U585" s="0"/>
      <c r="V585" s="0"/>
      <c r="W585" s="0"/>
      <c r="X585" s="0"/>
      <c r="Y585" s="0"/>
      <c r="Z585" s="0"/>
      <c r="AA585" s="0"/>
      <c r="AB585" s="0"/>
      <c r="AC585" s="0"/>
      <c r="AD585" s="0"/>
      <c r="AE585" s="0"/>
      <c r="AF585" s="0"/>
      <c r="AG585" s="0"/>
    </row>
    <row r="586" customFormat="false" ht="12.75" hidden="false" customHeight="false" outlineLevel="0" collapsed="false">
      <c r="A586" s="9" t="s">
        <v>3</v>
      </c>
      <c r="B586" s="10" t="n">
        <v>65805.1615565339</v>
      </c>
      <c r="C586" s="5"/>
      <c r="D586" s="0"/>
      <c r="E586" s="0"/>
      <c r="F586" s="0"/>
      <c r="G586" s="0"/>
      <c r="H586" s="0"/>
      <c r="I586" s="0"/>
      <c r="J586" s="0"/>
      <c r="K586" s="0"/>
      <c r="L586" s="0"/>
      <c r="M586" s="0"/>
      <c r="N586" s="0"/>
      <c r="O586" s="0"/>
      <c r="P586" s="0"/>
      <c r="Q586" s="0"/>
      <c r="R586" s="0"/>
      <c r="S586" s="0"/>
      <c r="T586" s="0"/>
      <c r="U586" s="0"/>
      <c r="V586" s="0"/>
      <c r="W586" s="0"/>
      <c r="X586" s="0"/>
      <c r="Y586" s="0"/>
      <c r="Z586" s="0"/>
      <c r="AA586" s="0"/>
      <c r="AB586" s="0"/>
      <c r="AC586" s="0"/>
      <c r="AD586" s="0"/>
      <c r="AE586" s="0"/>
      <c r="AF586" s="0"/>
      <c r="AG586" s="0"/>
    </row>
    <row r="587" customFormat="false" ht="12.75" hidden="false" customHeight="false" outlineLevel="0" collapsed="false">
      <c r="A587" s="11" t="s">
        <v>4</v>
      </c>
      <c r="B587" s="12" t="s">
        <v>5</v>
      </c>
      <c r="C587" s="12" t="s">
        <v>6</v>
      </c>
      <c r="D587" s="13" t="n">
        <v>1999</v>
      </c>
      <c r="E587" s="14" t="n">
        <v>2000</v>
      </c>
      <c r="F587" s="14" t="n">
        <v>2001</v>
      </c>
      <c r="G587" s="14" t="n">
        <v>2002</v>
      </c>
      <c r="H587" s="14" t="n">
        <v>2003</v>
      </c>
      <c r="I587" s="14" t="n">
        <v>2004</v>
      </c>
      <c r="J587" s="14" t="n">
        <v>2005</v>
      </c>
      <c r="K587" s="14" t="n">
        <v>2006</v>
      </c>
      <c r="L587" s="14" t="n">
        <v>2007</v>
      </c>
      <c r="M587" s="14" t="n">
        <v>2008</v>
      </c>
      <c r="N587" s="14" t="n">
        <v>2009</v>
      </c>
      <c r="O587" s="15" t="n">
        <v>2010</v>
      </c>
      <c r="P587" s="16" t="n">
        <v>2011</v>
      </c>
      <c r="Q587" s="16" t="n">
        <v>2012</v>
      </c>
      <c r="R587" s="16" t="n">
        <v>2013</v>
      </c>
      <c r="S587" s="16" t="n">
        <v>2014</v>
      </c>
      <c r="T587" s="16" t="n">
        <v>2015</v>
      </c>
      <c r="U587" s="16" t="n">
        <v>2016</v>
      </c>
      <c r="V587" s="16" t="n">
        <v>2017</v>
      </c>
      <c r="W587" s="16" t="n">
        <v>2018</v>
      </c>
      <c r="X587" s="16" t="n">
        <v>2019</v>
      </c>
      <c r="Y587" s="0"/>
      <c r="Z587" s="0"/>
      <c r="AA587" s="0"/>
      <c r="AB587" s="0"/>
      <c r="AC587" s="0"/>
      <c r="AD587" s="0"/>
      <c r="AE587" s="0"/>
      <c r="AF587" s="0"/>
      <c r="AG587" s="0"/>
    </row>
    <row r="588" customFormat="false" ht="12.75" hidden="false" customHeight="false" outlineLevel="0" collapsed="false">
      <c r="A588" s="11" t="s">
        <v>7</v>
      </c>
      <c r="B588" s="17" t="n">
        <f aca="false">NPV(0.1,D588:Y588)</f>
        <v>418867.165581224</v>
      </c>
      <c r="C588" s="17" t="n">
        <f aca="false">B588-B578</f>
        <v>24440.0122319838</v>
      </c>
      <c r="D588" s="18" t="n">
        <v>26898.21696</v>
      </c>
      <c r="E588" s="19" t="n">
        <v>40079.9158149774</v>
      </c>
      <c r="F588" s="19" t="n">
        <v>40673.1613422172</v>
      </c>
      <c r="G588" s="19" t="n">
        <v>40731.6409776837</v>
      </c>
      <c r="H588" s="19" t="n">
        <v>47605.8401142549</v>
      </c>
      <c r="I588" s="19" t="n">
        <v>52769.7658852343</v>
      </c>
      <c r="J588" s="19" t="n">
        <v>53213.7751206579</v>
      </c>
      <c r="K588" s="19" t="n">
        <v>53653.2595037859</v>
      </c>
      <c r="L588" s="19" t="n">
        <v>54718.6111930403</v>
      </c>
      <c r="M588" s="19" t="n">
        <v>55165.9282773646</v>
      </c>
      <c r="N588" s="19" t="n">
        <v>56276.6600298264</v>
      </c>
      <c r="O588" s="20" t="n">
        <v>56731.1338742778</v>
      </c>
      <c r="P588" s="21" t="n">
        <v>57888.8217946469</v>
      </c>
      <c r="Q588" s="21" t="n">
        <v>58349.6650785334</v>
      </c>
      <c r="R588" s="21" t="n">
        <v>58802.3864027137</v>
      </c>
      <c r="S588" s="21" t="n">
        <v>59246.0836906499</v>
      </c>
      <c r="T588" s="21" t="n">
        <v>59679.8080509755</v>
      </c>
      <c r="U588" s="21" t="n">
        <v>60102.5617804749</v>
      </c>
      <c r="V588" s="21" t="n">
        <v>60513.2962893742</v>
      </c>
      <c r="W588" s="21" t="n">
        <v>60910.9099460808</v>
      </c>
      <c r="X588" s="21" t="n">
        <v>61294.2458384051</v>
      </c>
      <c r="Y588" s="0"/>
      <c r="Z588" s="0"/>
      <c r="AA588" s="0"/>
      <c r="AB588" s="0"/>
      <c r="AC588" s="0"/>
      <c r="AD588" s="0"/>
      <c r="AE588" s="0"/>
      <c r="AF588" s="0"/>
      <c r="AG588" s="0"/>
    </row>
    <row r="589" customFormat="false" ht="12.75" hidden="false" customHeight="false" outlineLevel="0" collapsed="false">
      <c r="A589" s="22" t="s">
        <v>8</v>
      </c>
      <c r="B589" s="17" t="n">
        <f aca="false">NPV(0.1,D589:Y589)</f>
        <v>196874.926470177</v>
      </c>
      <c r="C589" s="17" t="n">
        <f aca="false">B589-B579</f>
        <v>7033.31241837749</v>
      </c>
      <c r="D589" s="18" t="n">
        <v>18832.9004385294</v>
      </c>
      <c r="E589" s="19" t="n">
        <v>20835.6261254482</v>
      </c>
      <c r="F589" s="19" t="n">
        <v>21173.4986950823</v>
      </c>
      <c r="G589" s="19" t="n">
        <v>21278.2716401536</v>
      </c>
      <c r="H589" s="19" t="n">
        <v>22527.7220392421</v>
      </c>
      <c r="I589" s="19" t="n">
        <v>23312.4173251758</v>
      </c>
      <c r="J589" s="19" t="n">
        <v>23442.0846460667</v>
      </c>
      <c r="K589" s="19" t="n">
        <v>23570.5118435451</v>
      </c>
      <c r="L589" s="19" t="n">
        <v>23703.2830408559</v>
      </c>
      <c r="M589" s="19" t="n">
        <v>23840.5285579941</v>
      </c>
      <c r="N589" s="19" t="n">
        <v>23976.9250255765</v>
      </c>
      <c r="O589" s="20" t="n">
        <v>24903.9625518727</v>
      </c>
      <c r="P589" s="21" t="n">
        <v>24989.9614466857</v>
      </c>
      <c r="Q589" s="21" t="n">
        <v>25064.6234309496</v>
      </c>
      <c r="R589" s="21" t="n">
        <v>25144.4723781894</v>
      </c>
      <c r="S589" s="21" t="n">
        <v>25229.6638972945</v>
      </c>
      <c r="T589" s="21" t="n">
        <v>25287.6126715537</v>
      </c>
      <c r="U589" s="21" t="n">
        <v>25334.8565833712</v>
      </c>
      <c r="V589" s="21" t="n">
        <v>25387.9384677152</v>
      </c>
      <c r="W589" s="21" t="n">
        <v>25545.2702453628</v>
      </c>
      <c r="X589" s="21" t="n">
        <v>25757.9139188644</v>
      </c>
      <c r="Y589" s="0"/>
      <c r="Z589" s="0"/>
      <c r="AA589" s="0"/>
      <c r="AB589" s="0"/>
      <c r="AC589" s="0"/>
      <c r="AD589" s="0"/>
      <c r="AE589" s="0"/>
      <c r="AF589" s="0"/>
      <c r="AG589" s="0"/>
    </row>
    <row r="590" customFormat="false" ht="12.75" hidden="false" customHeight="false" outlineLevel="0" collapsed="false">
      <c r="A590" s="22" t="s">
        <v>9</v>
      </c>
      <c r="B590" s="17" t="n">
        <f aca="false">NPV(0.1,D590:Y590)</f>
        <v>80547.2863698606</v>
      </c>
      <c r="C590" s="17" t="n">
        <f aca="false">B590-B580</f>
        <v>10882.9950990882</v>
      </c>
      <c r="D590" s="18" t="n">
        <v>-1896.98067925848</v>
      </c>
      <c r="E590" s="19" t="n">
        <v>3451.2102853253</v>
      </c>
      <c r="F590" s="19" t="n">
        <v>3775.68857816336</v>
      </c>
      <c r="G590" s="19" t="n">
        <v>4025.61324589891</v>
      </c>
      <c r="H590" s="19" t="n">
        <v>7902.81476491189</v>
      </c>
      <c r="I590" s="19" t="n">
        <v>10981.4778105758</v>
      </c>
      <c r="J590" s="19" t="n">
        <v>11563.8917272108</v>
      </c>
      <c r="K590" s="19" t="n">
        <v>12018.2817021762</v>
      </c>
      <c r="L590" s="19" t="n">
        <v>12861.2597017985</v>
      </c>
      <c r="M590" s="19" t="n">
        <v>13478.3035124202</v>
      </c>
      <c r="N590" s="19" t="n">
        <v>14624.5061948133</v>
      </c>
      <c r="O590" s="20" t="n">
        <v>14457.905356855</v>
      </c>
      <c r="P590" s="21" t="n">
        <v>15289.0139754269</v>
      </c>
      <c r="Q590" s="21" t="n">
        <v>15691.5303104753</v>
      </c>
      <c r="R590" s="21" t="n">
        <v>16085.7256575205</v>
      </c>
      <c r="S590" s="21" t="n">
        <v>16470.9387318019</v>
      </c>
      <c r="T590" s="21" t="n">
        <v>16866.9492196279</v>
      </c>
      <c r="U590" s="21" t="n">
        <v>17423.8620897017</v>
      </c>
      <c r="V590" s="21" t="n">
        <v>18034.0377260604</v>
      </c>
      <c r="W590" s="21" t="n">
        <v>18667.4720990083</v>
      </c>
      <c r="X590" s="21" t="n">
        <v>19335.8990740391</v>
      </c>
      <c r="Y590" s="0"/>
      <c r="Z590" s="0"/>
      <c r="AA590" s="0"/>
      <c r="AB590" s="0"/>
      <c r="AC590" s="0"/>
      <c r="AD590" s="0"/>
      <c r="AE590" s="0"/>
      <c r="AF590" s="0"/>
      <c r="AG590" s="0"/>
    </row>
    <row r="591" customFormat="false" ht="12.75" hidden="false" customHeight="false" outlineLevel="0" collapsed="false">
      <c r="A591" s="22" t="s">
        <v>10</v>
      </c>
      <c r="B591" s="17" t="n">
        <f aca="false">NPV(0.1,D591:Y591)</f>
        <v>83826.1323529503</v>
      </c>
      <c r="C591" s="17" t="n">
        <f aca="false">B591-B581</f>
        <v>10956.7683696145</v>
      </c>
      <c r="D591" s="23" t="n">
        <v>-5718.33482201104</v>
      </c>
      <c r="E591" s="24" t="n">
        <v>3460.08360945441</v>
      </c>
      <c r="F591" s="24" t="n">
        <v>4740.43703226838</v>
      </c>
      <c r="G591" s="24" t="n">
        <v>3398.77333629356</v>
      </c>
      <c r="H591" s="24" t="n">
        <v>13148.1421929947</v>
      </c>
      <c r="I591" s="24" t="n">
        <v>16768.6466654226</v>
      </c>
      <c r="J591" s="24" t="n">
        <v>12554.7947620926</v>
      </c>
      <c r="K591" s="24" t="n">
        <v>13005.7358121589</v>
      </c>
      <c r="L591" s="24" t="n">
        <v>10350.2331377025</v>
      </c>
      <c r="M591" s="24" t="n">
        <v>8588.80762240294</v>
      </c>
      <c r="N591" s="24" t="n">
        <v>18455.8720317395</v>
      </c>
      <c r="O591" s="25" t="n">
        <v>18443.0961206688</v>
      </c>
      <c r="P591" s="21" t="n">
        <v>18422.5962235968</v>
      </c>
      <c r="Q591" s="21" t="n">
        <v>18814.4204357904</v>
      </c>
      <c r="R591" s="21" t="n">
        <v>19202.9351087569</v>
      </c>
      <c r="S591" s="21" t="n">
        <v>17878.383329807</v>
      </c>
      <c r="T591" s="21" t="n">
        <v>13309.3968705347</v>
      </c>
      <c r="U591" s="21" t="n">
        <v>12540.585693675</v>
      </c>
      <c r="V591" s="21" t="n">
        <v>11237.5113300337</v>
      </c>
      <c r="W591" s="21" t="n">
        <v>10693.6824845827</v>
      </c>
      <c r="X591" s="21" t="n">
        <v>22217.9810223203</v>
      </c>
      <c r="Y591" s="0"/>
      <c r="Z591" s="0"/>
      <c r="AA591" s="0"/>
      <c r="AB591" s="0"/>
      <c r="AC591" s="0"/>
      <c r="AD591" s="0"/>
      <c r="AE591" s="0"/>
      <c r="AF591" s="0"/>
      <c r="AG591" s="0"/>
    </row>
    <row r="592" customFormat="false" ht="12.75" hidden="false" customHeight="false" outlineLevel="0" collapsed="false">
      <c r="A592" s="5"/>
      <c r="B592" s="5"/>
      <c r="C592" s="5"/>
      <c r="D592" s="0"/>
      <c r="E592" s="0"/>
      <c r="F592" s="0"/>
      <c r="G592" s="0"/>
      <c r="H592" s="0"/>
      <c r="I592" s="0"/>
      <c r="J592" s="0"/>
      <c r="K592" s="0"/>
      <c r="L592" s="0"/>
      <c r="M592" s="0"/>
      <c r="N592" s="0"/>
      <c r="O592" s="0"/>
      <c r="P592" s="0"/>
      <c r="Q592" s="0"/>
      <c r="R592" s="0"/>
      <c r="S592" s="0"/>
      <c r="T592" s="0"/>
      <c r="U592" s="0"/>
      <c r="V592" s="0"/>
      <c r="W592" s="0"/>
      <c r="X592" s="0"/>
      <c r="Y592" s="0"/>
      <c r="Z592" s="0"/>
      <c r="AA592" s="0"/>
      <c r="AB592" s="0"/>
      <c r="AC592" s="0"/>
      <c r="AD592" s="0"/>
      <c r="AE592" s="0"/>
      <c r="AF592" s="0"/>
      <c r="AG592" s="0"/>
    </row>
    <row r="593" customFormat="false" ht="12.75" hidden="false" customHeight="false" outlineLevel="0" collapsed="false">
      <c r="A593" s="26" t="s">
        <v>71</v>
      </c>
      <c r="B593" s="5"/>
      <c r="C593" s="5"/>
      <c r="D593" s="0"/>
      <c r="E593" s="0"/>
      <c r="F593" s="0"/>
      <c r="G593" s="0"/>
      <c r="H593" s="0"/>
      <c r="I593" s="0"/>
      <c r="J593" s="0"/>
      <c r="K593" s="0"/>
      <c r="L593" s="0"/>
      <c r="M593" s="0"/>
      <c r="N593" s="0"/>
      <c r="O593" s="0"/>
      <c r="P593" s="0"/>
      <c r="Q593" s="0"/>
      <c r="R593" s="0"/>
      <c r="S593" s="0"/>
      <c r="T593" s="0"/>
      <c r="U593" s="0"/>
      <c r="V593" s="0"/>
      <c r="W593" s="0"/>
      <c r="X593" s="0"/>
      <c r="Y593" s="0"/>
      <c r="Z593" s="0"/>
      <c r="AA593" s="0"/>
      <c r="AB593" s="0"/>
      <c r="AC593" s="0"/>
      <c r="AD593" s="0"/>
      <c r="AE593" s="0"/>
      <c r="AF593" s="0"/>
      <c r="AG593" s="0"/>
    </row>
    <row r="594" customFormat="false" ht="12.75" hidden="false" customHeight="false" outlineLevel="0" collapsed="false">
      <c r="A594" s="28" t="n">
        <v>36385</v>
      </c>
      <c r="B594" s="5"/>
      <c r="C594" s="5"/>
      <c r="D594" s="0"/>
      <c r="E594" s="0"/>
      <c r="F594" s="0"/>
      <c r="G594" s="0"/>
      <c r="H594" s="0"/>
      <c r="I594" s="0"/>
      <c r="J594" s="0"/>
      <c r="K594" s="0"/>
      <c r="L594" s="0"/>
      <c r="M594" s="0"/>
      <c r="N594" s="0"/>
      <c r="O594" s="0"/>
      <c r="P594" s="0"/>
      <c r="Q594" s="0"/>
      <c r="R594" s="0"/>
      <c r="S594" s="0"/>
      <c r="T594" s="0"/>
      <c r="U594" s="0"/>
      <c r="V594" s="0"/>
      <c r="W594" s="0"/>
      <c r="X594" s="0"/>
      <c r="Y594" s="0"/>
      <c r="Z594" s="0"/>
      <c r="AA594" s="0"/>
      <c r="AB594" s="0"/>
      <c r="AC594" s="0"/>
      <c r="AD594" s="0"/>
      <c r="AE594" s="0"/>
      <c r="AF594" s="0"/>
      <c r="AG594" s="0"/>
    </row>
    <row r="595" customFormat="false" ht="12.75" hidden="false" customHeight="false" outlineLevel="0" collapsed="false">
      <c r="A595" s="7" t="s">
        <v>2</v>
      </c>
      <c r="B595" s="8" t="n">
        <v>34919.1740485314</v>
      </c>
      <c r="C595" s="5"/>
      <c r="D595" s="0"/>
      <c r="E595" s="0"/>
      <c r="F595" s="0"/>
      <c r="G595" s="0"/>
      <c r="H595" s="0"/>
      <c r="I595" s="0"/>
      <c r="J595" s="0"/>
      <c r="K595" s="0"/>
      <c r="L595" s="0"/>
      <c r="M595" s="0"/>
      <c r="N595" s="0"/>
      <c r="O595" s="0"/>
      <c r="P595" s="0"/>
      <c r="Q595" s="0"/>
      <c r="R595" s="0"/>
      <c r="S595" s="0"/>
      <c r="T595" s="0"/>
      <c r="U595" s="0"/>
      <c r="V595" s="0"/>
      <c r="W595" s="0"/>
      <c r="X595" s="0"/>
      <c r="Y595" s="0"/>
      <c r="Z595" s="0"/>
      <c r="AA595" s="0"/>
      <c r="AB595" s="0"/>
      <c r="AC595" s="0"/>
      <c r="AD595" s="0"/>
      <c r="AE595" s="0"/>
      <c r="AF595" s="0"/>
      <c r="AG595" s="0"/>
    </row>
    <row r="596" customFormat="false" ht="12.75" hidden="false" customHeight="false" outlineLevel="0" collapsed="false">
      <c r="A596" s="9" t="s">
        <v>3</v>
      </c>
      <c r="B596" s="10" t="n">
        <v>64439.2215565339</v>
      </c>
      <c r="C596" s="5"/>
      <c r="D596" s="0"/>
      <c r="E596" s="0"/>
      <c r="F596" s="0"/>
      <c r="G596" s="0"/>
      <c r="H596" s="0"/>
      <c r="I596" s="0"/>
      <c r="J596" s="0"/>
      <c r="K596" s="0"/>
      <c r="L596" s="0"/>
      <c r="M596" s="0"/>
      <c r="N596" s="0"/>
      <c r="O596" s="0"/>
      <c r="P596" s="0"/>
      <c r="Q596" s="0"/>
      <c r="R596" s="0"/>
      <c r="S596" s="0"/>
      <c r="T596" s="0"/>
      <c r="U596" s="0"/>
      <c r="V596" s="0"/>
      <c r="W596" s="0"/>
      <c r="X596" s="0"/>
      <c r="Y596" s="0"/>
      <c r="Z596" s="0"/>
      <c r="AA596" s="0"/>
      <c r="AB596" s="0"/>
      <c r="AC596" s="0"/>
      <c r="AD596" s="0"/>
      <c r="AE596" s="0"/>
      <c r="AF596" s="0"/>
      <c r="AG596" s="0"/>
    </row>
    <row r="597" customFormat="false" ht="12.75" hidden="false" customHeight="false" outlineLevel="0" collapsed="false">
      <c r="A597" s="11" t="s">
        <v>4</v>
      </c>
      <c r="B597" s="12" t="s">
        <v>5</v>
      </c>
      <c r="C597" s="12" t="s">
        <v>6</v>
      </c>
      <c r="D597" s="13" t="n">
        <v>1999</v>
      </c>
      <c r="E597" s="14" t="n">
        <v>2000</v>
      </c>
      <c r="F597" s="14" t="n">
        <v>2001</v>
      </c>
      <c r="G597" s="14" t="n">
        <v>2002</v>
      </c>
      <c r="H597" s="14" t="n">
        <v>2003</v>
      </c>
      <c r="I597" s="14" t="n">
        <v>2004</v>
      </c>
      <c r="J597" s="14" t="n">
        <v>2005</v>
      </c>
      <c r="K597" s="14" t="n">
        <v>2006</v>
      </c>
      <c r="L597" s="14" t="n">
        <v>2007</v>
      </c>
      <c r="M597" s="14" t="n">
        <v>2008</v>
      </c>
      <c r="N597" s="14" t="n">
        <v>2009</v>
      </c>
      <c r="O597" s="15" t="n">
        <v>2010</v>
      </c>
      <c r="P597" s="16" t="n">
        <v>2011</v>
      </c>
      <c r="Q597" s="16" t="n">
        <v>2012</v>
      </c>
      <c r="R597" s="16" t="n">
        <v>2013</v>
      </c>
      <c r="S597" s="16" t="n">
        <v>2014</v>
      </c>
      <c r="T597" s="16" t="n">
        <v>2015</v>
      </c>
      <c r="U597" s="16" t="n">
        <v>2016</v>
      </c>
      <c r="V597" s="16" t="n">
        <v>2017</v>
      </c>
      <c r="W597" s="16" t="n">
        <v>2018</v>
      </c>
      <c r="X597" s="16" t="n">
        <v>2019</v>
      </c>
      <c r="Y597" s="0"/>
      <c r="Z597" s="0"/>
      <c r="AA597" s="0"/>
      <c r="AB597" s="0"/>
      <c r="AC597" s="0"/>
      <c r="AD597" s="0"/>
      <c r="AE597" s="0"/>
      <c r="AF597" s="0"/>
      <c r="AG597" s="0"/>
    </row>
    <row r="598" customFormat="false" ht="12.75" hidden="false" customHeight="false" outlineLevel="0" collapsed="false">
      <c r="A598" s="11" t="s">
        <v>7</v>
      </c>
      <c r="B598" s="17" t="n">
        <f aca="false">NPV(0.1,D598:Y598)</f>
        <v>418867.165581224</v>
      </c>
      <c r="C598" s="17" t="n">
        <f aca="false">B598-B588</f>
        <v>0</v>
      </c>
      <c r="D598" s="18" t="n">
        <v>26898.21696</v>
      </c>
      <c r="E598" s="19" t="n">
        <v>40079.9158149774</v>
      </c>
      <c r="F598" s="19" t="n">
        <v>40673.1613422172</v>
      </c>
      <c r="G598" s="19" t="n">
        <v>40731.6409776837</v>
      </c>
      <c r="H598" s="19" t="n">
        <v>47605.8401142549</v>
      </c>
      <c r="I598" s="19" t="n">
        <v>52769.7658852343</v>
      </c>
      <c r="J598" s="19" t="n">
        <v>53213.7751206579</v>
      </c>
      <c r="K598" s="19" t="n">
        <v>53653.2595037859</v>
      </c>
      <c r="L598" s="19" t="n">
        <v>54718.6111930403</v>
      </c>
      <c r="M598" s="19" t="n">
        <v>55165.9282773646</v>
      </c>
      <c r="N598" s="19" t="n">
        <v>56276.6600298264</v>
      </c>
      <c r="O598" s="20" t="n">
        <v>56731.1338742778</v>
      </c>
      <c r="P598" s="21" t="n">
        <v>57888.8217946469</v>
      </c>
      <c r="Q598" s="21" t="n">
        <v>58349.6650785334</v>
      </c>
      <c r="R598" s="21" t="n">
        <v>58802.3864027137</v>
      </c>
      <c r="S598" s="21" t="n">
        <v>59246.0836906499</v>
      </c>
      <c r="T598" s="21" t="n">
        <v>59679.8080509755</v>
      </c>
      <c r="U598" s="21" t="n">
        <v>60102.5617804749</v>
      </c>
      <c r="V598" s="21" t="n">
        <v>60513.2962893742</v>
      </c>
      <c r="W598" s="21" t="n">
        <v>60910.9099460808</v>
      </c>
      <c r="X598" s="21" t="n">
        <v>61294.2458384051</v>
      </c>
      <c r="Y598" s="0"/>
      <c r="Z598" s="0"/>
      <c r="AA598" s="0"/>
      <c r="AB598" s="0"/>
      <c r="AC598" s="0"/>
      <c r="AD598" s="0"/>
      <c r="AE598" s="0"/>
      <c r="AF598" s="0"/>
      <c r="AG598" s="0"/>
    </row>
    <row r="599" customFormat="false" ht="12.75" hidden="false" customHeight="false" outlineLevel="0" collapsed="false">
      <c r="A599" s="22" t="s">
        <v>8</v>
      </c>
      <c r="B599" s="17" t="n">
        <f aca="false">NPV(0.1,D599:Y599)</f>
        <v>196874.926470177</v>
      </c>
      <c r="C599" s="17" t="n">
        <f aca="false">B599-B589</f>
        <v>0</v>
      </c>
      <c r="D599" s="18" t="n">
        <v>18832.9004385294</v>
      </c>
      <c r="E599" s="19" t="n">
        <v>20835.6261254482</v>
      </c>
      <c r="F599" s="19" t="n">
        <v>21173.4986950823</v>
      </c>
      <c r="G599" s="19" t="n">
        <v>21278.2716401536</v>
      </c>
      <c r="H599" s="19" t="n">
        <v>22527.7220392421</v>
      </c>
      <c r="I599" s="19" t="n">
        <v>23312.4173251758</v>
      </c>
      <c r="J599" s="19" t="n">
        <v>23442.0846460667</v>
      </c>
      <c r="K599" s="19" t="n">
        <v>23570.5118435451</v>
      </c>
      <c r="L599" s="19" t="n">
        <v>23703.2830408559</v>
      </c>
      <c r="M599" s="19" t="n">
        <v>23840.5285579941</v>
      </c>
      <c r="N599" s="19" t="n">
        <v>23976.9250255765</v>
      </c>
      <c r="O599" s="20" t="n">
        <v>24903.9625518727</v>
      </c>
      <c r="P599" s="21" t="n">
        <v>24989.9614466857</v>
      </c>
      <c r="Q599" s="21" t="n">
        <v>25064.6234309496</v>
      </c>
      <c r="R599" s="21" t="n">
        <v>25144.4723781894</v>
      </c>
      <c r="S599" s="21" t="n">
        <v>25229.6638972945</v>
      </c>
      <c r="T599" s="21" t="n">
        <v>25287.6126715537</v>
      </c>
      <c r="U599" s="21" t="n">
        <v>25334.8565833712</v>
      </c>
      <c r="V599" s="21" t="n">
        <v>25387.9384677152</v>
      </c>
      <c r="W599" s="21" t="n">
        <v>25545.2702453628</v>
      </c>
      <c r="X599" s="21" t="n">
        <v>25757.9139188644</v>
      </c>
      <c r="Y599" s="0"/>
      <c r="Z599" s="0"/>
      <c r="AA599" s="0"/>
      <c r="AB599" s="0"/>
      <c r="AC599" s="0"/>
      <c r="AD599" s="0"/>
      <c r="AE599" s="0"/>
      <c r="AF599" s="0"/>
      <c r="AG599" s="0"/>
    </row>
    <row r="600" customFormat="false" ht="12.75" hidden="false" customHeight="false" outlineLevel="0" collapsed="false">
      <c r="A600" s="22" t="s">
        <v>9</v>
      </c>
      <c r="B600" s="17" t="n">
        <f aca="false">NPV(0.1,D600:Y600)</f>
        <v>80262.965497714</v>
      </c>
      <c r="C600" s="17" t="n">
        <f aca="false">B600-B590</f>
        <v>-284.320872146665</v>
      </c>
      <c r="D600" s="18" t="n">
        <v>-1917.93678962306</v>
      </c>
      <c r="E600" s="19" t="n">
        <v>3400.9156204503</v>
      </c>
      <c r="F600" s="19" t="n">
        <v>3725.39391328836</v>
      </c>
      <c r="G600" s="19" t="n">
        <v>3975.3185810239</v>
      </c>
      <c r="H600" s="19" t="n">
        <v>7852.52010003688</v>
      </c>
      <c r="I600" s="19" t="n">
        <v>10942.5912009091</v>
      </c>
      <c r="J600" s="19" t="n">
        <v>11540.9763948358</v>
      </c>
      <c r="K600" s="19" t="n">
        <v>11995.3663698012</v>
      </c>
      <c r="L600" s="19" t="n">
        <v>12838.3443694235</v>
      </c>
      <c r="M600" s="19" t="n">
        <v>13455.3881800452</v>
      </c>
      <c r="N600" s="19" t="n">
        <v>14601.5908624383</v>
      </c>
      <c r="O600" s="20" t="n">
        <v>14434.99002448</v>
      </c>
      <c r="P600" s="21" t="n">
        <v>15266.0986430519</v>
      </c>
      <c r="Q600" s="21" t="n">
        <v>15668.6149781003</v>
      </c>
      <c r="R600" s="21" t="n">
        <v>16062.8103251455</v>
      </c>
      <c r="S600" s="21" t="n">
        <v>16448.0233994269</v>
      </c>
      <c r="T600" s="21" t="n">
        <v>16844.0338872529</v>
      </c>
      <c r="U600" s="21" t="n">
        <v>17400.9467573267</v>
      </c>
      <c r="V600" s="21" t="n">
        <v>18011.1223936854</v>
      </c>
      <c r="W600" s="21" t="n">
        <v>18644.5567666333</v>
      </c>
      <c r="X600" s="21" t="n">
        <v>19312.9837416641</v>
      </c>
      <c r="Y600" s="0"/>
      <c r="Z600" s="0"/>
      <c r="AA600" s="0"/>
      <c r="AB600" s="0"/>
      <c r="AC600" s="0"/>
      <c r="AD600" s="0"/>
      <c r="AE600" s="0"/>
      <c r="AF600" s="0"/>
      <c r="AG600" s="0"/>
    </row>
    <row r="601" customFormat="false" ht="12.75" hidden="false" customHeight="false" outlineLevel="0" collapsed="false">
      <c r="A601" s="22" t="s">
        <v>10</v>
      </c>
      <c r="B601" s="17" t="n">
        <f aca="false">NPV(0.1,D601:Y601)</f>
        <v>84085.1291344399</v>
      </c>
      <c r="C601" s="17" t="n">
        <f aca="false">B601-B591</f>
        <v>258.99678148955</v>
      </c>
      <c r="D601" s="23" t="n">
        <v>-5718.33482201104</v>
      </c>
      <c r="E601" s="24" t="n">
        <v>3460.08360945441</v>
      </c>
      <c r="F601" s="24" t="n">
        <v>4740.43703226838</v>
      </c>
      <c r="G601" s="24" t="n">
        <v>3398.77333629356</v>
      </c>
      <c r="H601" s="24" t="n">
        <v>13148.1421929947</v>
      </c>
      <c r="I601" s="24" t="n">
        <v>17061.2054258939</v>
      </c>
      <c r="J601" s="24" t="n">
        <v>12582.7106467551</v>
      </c>
      <c r="K601" s="24" t="n">
        <v>13033.6990118801</v>
      </c>
      <c r="L601" s="24" t="n">
        <v>10378.149022365</v>
      </c>
      <c r="M601" s="24" t="n">
        <v>8616.77082212419</v>
      </c>
      <c r="N601" s="24" t="n">
        <v>18483.787916402</v>
      </c>
      <c r="O601" s="25" t="n">
        <v>18471.05932039</v>
      </c>
      <c r="P601" s="21" t="n">
        <v>18450.5121082593</v>
      </c>
      <c r="Q601" s="21" t="n">
        <v>18842.3836355117</v>
      </c>
      <c r="R601" s="21" t="n">
        <v>19230.8509934194</v>
      </c>
      <c r="S601" s="21" t="n">
        <v>17892.3412721383</v>
      </c>
      <c r="T601" s="21" t="n">
        <v>13309.3968705347</v>
      </c>
      <c r="U601" s="21" t="n">
        <v>12540.585693675</v>
      </c>
      <c r="V601" s="21" t="n">
        <v>11237.5113300337</v>
      </c>
      <c r="W601" s="21" t="n">
        <v>10693.6824845827</v>
      </c>
      <c r="X601" s="21" t="n">
        <v>22217.9810223203</v>
      </c>
      <c r="Y601" s="0"/>
      <c r="Z601" s="0"/>
      <c r="AA601" s="0"/>
      <c r="AB601" s="0"/>
      <c r="AC601" s="0"/>
      <c r="AD601" s="0"/>
      <c r="AE601" s="0"/>
      <c r="AF601" s="0"/>
      <c r="AG601" s="0"/>
    </row>
    <row r="602" customFormat="false" ht="12.75" hidden="false" customHeight="false" outlineLevel="0" collapsed="false">
      <c r="A602" s="5"/>
      <c r="B602" s="5"/>
      <c r="C602" s="5"/>
      <c r="D602" s="0"/>
      <c r="E602" s="0"/>
      <c r="F602" s="0"/>
      <c r="G602" s="0"/>
      <c r="H602" s="0"/>
      <c r="I602" s="0"/>
      <c r="J602" s="0"/>
      <c r="K602" s="0"/>
      <c r="L602" s="0"/>
      <c r="M602" s="0"/>
      <c r="N602" s="0"/>
      <c r="O602" s="0"/>
      <c r="P602" s="0"/>
      <c r="Q602" s="0"/>
      <c r="R602" s="0"/>
      <c r="S602" s="0"/>
      <c r="T602" s="0"/>
      <c r="U602" s="0"/>
      <c r="V602" s="0"/>
      <c r="W602" s="0"/>
      <c r="X602" s="0"/>
      <c r="Y602" s="0"/>
      <c r="Z602" s="0"/>
      <c r="AA602" s="0"/>
      <c r="AB602" s="0"/>
      <c r="AC602" s="0"/>
      <c r="AD602" s="0"/>
      <c r="AE602" s="0"/>
      <c r="AF602" s="0"/>
      <c r="AG602" s="0"/>
    </row>
    <row r="603" customFormat="false" ht="12.75" hidden="false" customHeight="false" outlineLevel="0" collapsed="false">
      <c r="A603" s="5"/>
      <c r="B603" s="5"/>
      <c r="C603" s="5"/>
      <c r="D603" s="0"/>
      <c r="E603" s="0"/>
      <c r="F603" s="0"/>
      <c r="G603" s="0"/>
      <c r="H603" s="0"/>
      <c r="I603" s="0"/>
      <c r="J603" s="0"/>
      <c r="K603" s="0"/>
      <c r="L603" s="0"/>
      <c r="M603" s="0"/>
      <c r="N603" s="0"/>
      <c r="O603" s="0"/>
      <c r="P603" s="0"/>
      <c r="Q603" s="0"/>
      <c r="R603" s="0"/>
      <c r="S603" s="0"/>
      <c r="T603" s="0"/>
      <c r="U603" s="0"/>
      <c r="V603" s="0"/>
      <c r="W603" s="0"/>
      <c r="X603" s="0"/>
      <c r="Y603" s="0"/>
      <c r="Z603" s="0"/>
      <c r="AA603" s="0"/>
      <c r="AB603" s="0"/>
      <c r="AC603" s="0"/>
      <c r="AD603" s="0"/>
      <c r="AE603" s="0"/>
      <c r="AF603" s="0"/>
      <c r="AG603" s="0"/>
    </row>
    <row r="604" customFormat="false" ht="12.75" hidden="false" customHeight="false" outlineLevel="0" collapsed="false">
      <c r="A604" s="26" t="s">
        <v>72</v>
      </c>
      <c r="B604" s="5"/>
      <c r="C604" s="5"/>
      <c r="D604" s="0"/>
      <c r="E604" s="0"/>
      <c r="F604" s="0"/>
      <c r="G604" s="0"/>
      <c r="H604" s="0"/>
      <c r="I604" s="0"/>
      <c r="J604" s="0"/>
      <c r="K604" s="0"/>
      <c r="L604" s="0"/>
      <c r="M604" s="0"/>
      <c r="N604" s="0"/>
      <c r="O604" s="0"/>
      <c r="P604" s="0"/>
      <c r="Q604" s="0"/>
      <c r="R604" s="0"/>
      <c r="S604" s="0"/>
      <c r="T604" s="0"/>
      <c r="U604" s="0"/>
      <c r="V604" s="0"/>
      <c r="W604" s="0"/>
      <c r="X604" s="0"/>
      <c r="Y604" s="0"/>
      <c r="Z604" s="0"/>
      <c r="AA604" s="0"/>
      <c r="AB604" s="0"/>
      <c r="AC604" s="0"/>
      <c r="AD604" s="0"/>
      <c r="AE604" s="0"/>
      <c r="AF604" s="0"/>
      <c r="AG604" s="0"/>
    </row>
    <row r="605" customFormat="false" ht="12.75" hidden="false" customHeight="false" outlineLevel="0" collapsed="false">
      <c r="A605" s="28" t="n">
        <v>36390</v>
      </c>
      <c r="B605" s="5"/>
      <c r="C605" s="5"/>
      <c r="D605" s="0"/>
      <c r="E605" s="0"/>
      <c r="F605" s="0"/>
      <c r="G605" s="0"/>
      <c r="H605" s="0"/>
      <c r="I605" s="0"/>
      <c r="J605" s="0"/>
      <c r="K605" s="0"/>
      <c r="L605" s="0"/>
      <c r="M605" s="0"/>
      <c r="N605" s="0"/>
      <c r="O605" s="0"/>
      <c r="P605" s="0"/>
      <c r="Q605" s="0"/>
      <c r="R605" s="0"/>
      <c r="S605" s="0"/>
      <c r="T605" s="0"/>
      <c r="U605" s="0"/>
      <c r="V605" s="0"/>
      <c r="W605" s="0"/>
      <c r="X605" s="0"/>
      <c r="Y605" s="0"/>
      <c r="Z605" s="0"/>
      <c r="AA605" s="0"/>
      <c r="AB605" s="0"/>
      <c r="AC605" s="0"/>
      <c r="AD605" s="0"/>
      <c r="AE605" s="0"/>
      <c r="AF605" s="0"/>
      <c r="AG605" s="0"/>
    </row>
    <row r="606" customFormat="false" ht="12.75" hidden="false" customHeight="false" outlineLevel="0" collapsed="false">
      <c r="A606" s="7" t="s">
        <v>2</v>
      </c>
      <c r="B606" s="8" t="n">
        <v>35116.8296036049</v>
      </c>
      <c r="C606" s="5"/>
      <c r="D606" s="0"/>
      <c r="E606" s="0"/>
      <c r="F606" s="0"/>
      <c r="G606" s="0"/>
      <c r="H606" s="0"/>
      <c r="I606" s="0"/>
      <c r="J606" s="0"/>
      <c r="K606" s="0"/>
      <c r="L606" s="0"/>
      <c r="M606" s="0"/>
      <c r="N606" s="0"/>
      <c r="O606" s="0"/>
      <c r="P606" s="0"/>
      <c r="Q606" s="0"/>
      <c r="R606" s="0"/>
      <c r="S606" s="0"/>
      <c r="T606" s="0"/>
      <c r="U606" s="0"/>
      <c r="V606" s="0"/>
      <c r="W606" s="0"/>
      <c r="X606" s="0"/>
      <c r="Y606" s="0"/>
      <c r="Z606" s="0"/>
      <c r="AA606" s="0"/>
      <c r="AB606" s="0"/>
      <c r="AC606" s="0"/>
      <c r="AD606" s="0"/>
      <c r="AE606" s="0"/>
      <c r="AF606" s="0"/>
      <c r="AG606" s="0"/>
    </row>
    <row r="607" customFormat="false" ht="12.75" hidden="false" customHeight="false" outlineLevel="0" collapsed="false">
      <c r="A607" s="9" t="s">
        <v>3</v>
      </c>
      <c r="B607" s="10" t="n">
        <v>64677.0063150614</v>
      </c>
      <c r="C607" s="5"/>
      <c r="D607" s="0"/>
      <c r="E607" s="0"/>
      <c r="F607" s="0"/>
      <c r="G607" s="0"/>
      <c r="H607" s="0"/>
      <c r="I607" s="0"/>
      <c r="J607" s="0"/>
      <c r="K607" s="0"/>
      <c r="L607" s="0"/>
      <c r="M607" s="0"/>
      <c r="N607" s="0"/>
      <c r="O607" s="0"/>
      <c r="P607" s="0"/>
      <c r="Q607" s="0"/>
      <c r="R607" s="0"/>
      <c r="S607" s="0"/>
      <c r="T607" s="0"/>
      <c r="U607" s="0"/>
      <c r="V607" s="0"/>
      <c r="W607" s="0"/>
      <c r="X607" s="0"/>
      <c r="Y607" s="0"/>
      <c r="Z607" s="0"/>
      <c r="AA607" s="0"/>
      <c r="AB607" s="0"/>
      <c r="AC607" s="0"/>
      <c r="AD607" s="0"/>
      <c r="AE607" s="0"/>
      <c r="AF607" s="0"/>
      <c r="AG607" s="0"/>
    </row>
    <row r="608" customFormat="false" ht="12.75" hidden="false" customHeight="false" outlineLevel="0" collapsed="false">
      <c r="A608" s="11" t="s">
        <v>4</v>
      </c>
      <c r="B608" s="12" t="s">
        <v>5</v>
      </c>
      <c r="C608" s="12" t="s">
        <v>6</v>
      </c>
      <c r="D608" s="13" t="n">
        <v>1999</v>
      </c>
      <c r="E608" s="14" t="n">
        <v>2000</v>
      </c>
      <c r="F608" s="14" t="n">
        <v>2001</v>
      </c>
      <c r="G608" s="14" t="n">
        <v>2002</v>
      </c>
      <c r="H608" s="14" t="n">
        <v>2003</v>
      </c>
      <c r="I608" s="14" t="n">
        <v>2004</v>
      </c>
      <c r="J608" s="14" t="n">
        <v>2005</v>
      </c>
      <c r="K608" s="14" t="n">
        <v>2006</v>
      </c>
      <c r="L608" s="14" t="n">
        <v>2007</v>
      </c>
      <c r="M608" s="14" t="n">
        <v>2008</v>
      </c>
      <c r="N608" s="14" t="n">
        <v>2009</v>
      </c>
      <c r="O608" s="15" t="n">
        <v>2010</v>
      </c>
      <c r="P608" s="16" t="n">
        <v>2011</v>
      </c>
      <c r="Q608" s="16" t="n">
        <v>2012</v>
      </c>
      <c r="R608" s="16" t="n">
        <v>2013</v>
      </c>
      <c r="S608" s="16" t="n">
        <v>2014</v>
      </c>
      <c r="T608" s="16" t="n">
        <v>2015</v>
      </c>
      <c r="U608" s="16" t="n">
        <v>2016</v>
      </c>
      <c r="V608" s="16" t="n">
        <v>2017</v>
      </c>
      <c r="W608" s="16" t="n">
        <v>2018</v>
      </c>
      <c r="X608" s="16" t="n">
        <v>2019</v>
      </c>
      <c r="Y608" s="0"/>
      <c r="Z608" s="0"/>
      <c r="AA608" s="0"/>
      <c r="AB608" s="0"/>
      <c r="AC608" s="0"/>
      <c r="AD608" s="0"/>
      <c r="AE608" s="0"/>
      <c r="AF608" s="0"/>
      <c r="AG608" s="0"/>
    </row>
    <row r="609" customFormat="false" ht="12.75" hidden="false" customHeight="false" outlineLevel="0" collapsed="false">
      <c r="A609" s="11" t="s">
        <v>7</v>
      </c>
      <c r="B609" s="17" t="n">
        <f aca="false">NPV(0.1,D609:Y609)</f>
        <v>418867.165581224</v>
      </c>
      <c r="C609" s="17" t="n">
        <f aca="false">B609-B598</f>
        <v>0</v>
      </c>
      <c r="D609" s="18" t="n">
        <v>26898.21696</v>
      </c>
      <c r="E609" s="19" t="n">
        <v>40079.9158149774</v>
      </c>
      <c r="F609" s="19" t="n">
        <v>40673.1613422172</v>
      </c>
      <c r="G609" s="19" t="n">
        <v>40731.6409776837</v>
      </c>
      <c r="H609" s="19" t="n">
        <v>47605.8401142549</v>
      </c>
      <c r="I609" s="19" t="n">
        <v>52769.7658852343</v>
      </c>
      <c r="J609" s="19" t="n">
        <v>53213.7751206579</v>
      </c>
      <c r="K609" s="19" t="n">
        <v>53653.2595037859</v>
      </c>
      <c r="L609" s="19" t="n">
        <v>54718.6111930403</v>
      </c>
      <c r="M609" s="19" t="n">
        <v>55165.9282773646</v>
      </c>
      <c r="N609" s="19" t="n">
        <v>56276.6600298264</v>
      </c>
      <c r="O609" s="20" t="n">
        <v>56731.1338742778</v>
      </c>
      <c r="P609" s="21" t="n">
        <v>57888.8217946469</v>
      </c>
      <c r="Q609" s="21" t="n">
        <v>58349.6650785334</v>
      </c>
      <c r="R609" s="21" t="n">
        <v>58802.3864027137</v>
      </c>
      <c r="S609" s="21" t="n">
        <v>59246.0836906499</v>
      </c>
      <c r="T609" s="21" t="n">
        <v>59679.8080509755</v>
      </c>
      <c r="U609" s="21" t="n">
        <v>60102.5617804749</v>
      </c>
      <c r="V609" s="21" t="n">
        <v>60513.2962893742</v>
      </c>
      <c r="W609" s="21" t="n">
        <v>60910.9099460808</v>
      </c>
      <c r="X609" s="21" t="n">
        <v>61294.2458384051</v>
      </c>
      <c r="Y609" s="0"/>
      <c r="Z609" s="0"/>
      <c r="AA609" s="0"/>
      <c r="AB609" s="0"/>
      <c r="AC609" s="0"/>
      <c r="AD609" s="0"/>
      <c r="AE609" s="0"/>
      <c r="AF609" s="0"/>
      <c r="AG609" s="0"/>
    </row>
    <row r="610" customFormat="false" ht="12.75" hidden="false" customHeight="false" outlineLevel="0" collapsed="false">
      <c r="A610" s="22" t="s">
        <v>8</v>
      </c>
      <c r="B610" s="17" t="n">
        <f aca="false">NPV(0.1,D610:Y610)</f>
        <v>196860.307239669</v>
      </c>
      <c r="C610" s="17" t="n">
        <f aca="false">B610-B599</f>
        <v>-14.619230507582</v>
      </c>
      <c r="D610" s="18" t="n">
        <v>18832.9004385294</v>
      </c>
      <c r="E610" s="19" t="n">
        <v>20833.8692709755</v>
      </c>
      <c r="F610" s="19" t="n">
        <v>21171.7773326191</v>
      </c>
      <c r="G610" s="19" t="n">
        <v>21276.5857697</v>
      </c>
      <c r="H610" s="19" t="n">
        <v>22526.0716607981</v>
      </c>
      <c r="I610" s="19" t="n">
        <v>23310.8024387413</v>
      </c>
      <c r="J610" s="19" t="n">
        <v>23440.5052516417</v>
      </c>
      <c r="K610" s="19" t="n">
        <v>23568.9856871345</v>
      </c>
      <c r="L610" s="19" t="n">
        <v>23701.8101224596</v>
      </c>
      <c r="M610" s="19" t="n">
        <v>23839.1088776121</v>
      </c>
      <c r="N610" s="19" t="n">
        <v>23975.5763292136</v>
      </c>
      <c r="O610" s="20" t="n">
        <v>24900.1294148413</v>
      </c>
      <c r="P610" s="21" t="n">
        <v>24986.3944997259</v>
      </c>
      <c r="Q610" s="21" t="n">
        <v>25061.3759120758</v>
      </c>
      <c r="R610" s="21" t="n">
        <v>25141.5442874015</v>
      </c>
      <c r="S610" s="21" t="n">
        <v>25227.0552345925</v>
      </c>
      <c r="T610" s="21" t="n">
        <v>25285.4299129663</v>
      </c>
      <c r="U610" s="21" t="n">
        <v>25333.1529669128</v>
      </c>
      <c r="V610" s="21" t="n">
        <v>25386.7139933858</v>
      </c>
      <c r="W610" s="21" t="n">
        <v>25544.2054850763</v>
      </c>
      <c r="X610" s="21" t="n">
        <v>25756.8491585779</v>
      </c>
      <c r="Y610" s="0"/>
      <c r="Z610" s="0"/>
      <c r="AA610" s="0"/>
      <c r="AB610" s="0"/>
      <c r="AC610" s="0"/>
      <c r="AD610" s="0"/>
      <c r="AE610" s="0"/>
      <c r="AF610" s="0"/>
      <c r="AG610" s="0"/>
    </row>
    <row r="611" customFormat="false" ht="12.75" hidden="false" customHeight="false" outlineLevel="0" collapsed="false">
      <c r="A611" s="22" t="s">
        <v>9</v>
      </c>
      <c r="B611" s="17" t="n">
        <f aca="false">NPV(0.1,D611:Y611)</f>
        <v>80304.8950095536</v>
      </c>
      <c r="C611" s="17" t="n">
        <f aca="false">B611-B600</f>
        <v>41.9295118396403</v>
      </c>
      <c r="D611" s="18" t="n">
        <v>-1916.3688233314</v>
      </c>
      <c r="E611" s="19" t="n">
        <v>3405.77715790767</v>
      </c>
      <c r="F611" s="19" t="n">
        <v>3730.23326047588</v>
      </c>
      <c r="G611" s="19" t="n">
        <v>3980.13573794158</v>
      </c>
      <c r="H611" s="19" t="n">
        <v>7857.31506668472</v>
      </c>
      <c r="I611" s="19" t="n">
        <v>10947.5699649954</v>
      </c>
      <c r="J611" s="19" t="n">
        <v>11546.221351444</v>
      </c>
      <c r="K611" s="19" t="n">
        <v>12000.5780410045</v>
      </c>
      <c r="L611" s="19" t="n">
        <v>12843.5227552221</v>
      </c>
      <c r="M611" s="19" t="n">
        <v>13460.533280439</v>
      </c>
      <c r="N611" s="19" t="n">
        <v>14606.6915822925</v>
      </c>
      <c r="O611" s="20" t="n">
        <v>14441.6440632233</v>
      </c>
      <c r="P611" s="21" t="n">
        <v>15272.5862547714</v>
      </c>
      <c r="Q611" s="21" t="n">
        <v>15674.9028773912</v>
      </c>
      <c r="R611" s="21" t="n">
        <v>16068.8985120078</v>
      </c>
      <c r="S611" s="21" t="n">
        <v>16453.9118738606</v>
      </c>
      <c r="T611" s="21" t="n">
        <v>16849.6560784484</v>
      </c>
      <c r="U611" s="21" t="n">
        <v>17406.2693798793</v>
      </c>
      <c r="V611" s="21" t="n">
        <v>18016.145447595</v>
      </c>
      <c r="W611" s="21" t="n">
        <v>18649.4799643286</v>
      </c>
      <c r="X611" s="21" t="n">
        <v>19317.9069393595</v>
      </c>
      <c r="Y611" s="0"/>
      <c r="Z611" s="0"/>
      <c r="AA611" s="0"/>
      <c r="AB611" s="0"/>
      <c r="AC611" s="0"/>
      <c r="AD611" s="0"/>
      <c r="AE611" s="0"/>
      <c r="AF611" s="0"/>
      <c r="AG611" s="0"/>
    </row>
    <row r="612" customFormat="false" ht="12.75" hidden="false" customHeight="false" outlineLevel="0" collapsed="false">
      <c r="A612" s="22" t="s">
        <v>10</v>
      </c>
      <c r="B612" s="17" t="n">
        <f aca="false">NPV(0.1,D612:Y612)</f>
        <v>84054.8637340494</v>
      </c>
      <c r="C612" s="17" t="n">
        <f aca="false">B612-B601</f>
        <v>-30.2654003904609</v>
      </c>
      <c r="D612" s="23" t="n">
        <v>-5718.33482201104</v>
      </c>
      <c r="E612" s="24" t="n">
        <v>3460.10557013532</v>
      </c>
      <c r="F612" s="24" t="n">
        <v>4742.21540377189</v>
      </c>
      <c r="G612" s="24" t="n">
        <v>3400.5157721374</v>
      </c>
      <c r="H612" s="24" t="n">
        <v>13149.8486931789</v>
      </c>
      <c r="I612" s="24" t="n">
        <v>17022.5423455473</v>
      </c>
      <c r="J612" s="24" t="n">
        <v>12578.5470526528</v>
      </c>
      <c r="K612" s="24" t="n">
        <v>13029.5110876098</v>
      </c>
      <c r="L612" s="24" t="n">
        <v>10373.9366034579</v>
      </c>
      <c r="M612" s="24" t="n">
        <v>8612.51632704434</v>
      </c>
      <c r="N612" s="24" t="n">
        <v>18479.5155775552</v>
      </c>
      <c r="O612" s="25" t="n">
        <v>18465.7760849769</v>
      </c>
      <c r="P612" s="21" t="n">
        <v>18447.8218673304</v>
      </c>
      <c r="Q612" s="21" t="n">
        <v>18839.5381294005</v>
      </c>
      <c r="R612" s="21" t="n">
        <v>19227.8145656476</v>
      </c>
      <c r="S612" s="21" t="n">
        <v>17891.6984084979</v>
      </c>
      <c r="T612" s="21" t="n">
        <v>13311.1874762449</v>
      </c>
      <c r="U612" s="21" t="n">
        <v>12542.1299687566</v>
      </c>
      <c r="V612" s="21" t="n">
        <v>11238.7560364723</v>
      </c>
      <c r="W612" s="21" t="n">
        <v>10694.5079067211</v>
      </c>
      <c r="X612" s="21" t="n">
        <v>22218.6467304157</v>
      </c>
      <c r="Y612" s="0"/>
      <c r="Z612" s="0"/>
      <c r="AA612" s="0"/>
      <c r="AB612" s="0"/>
      <c r="AC612" s="0"/>
      <c r="AD612" s="0"/>
      <c r="AE612" s="0"/>
      <c r="AF612" s="0"/>
      <c r="AG612" s="0"/>
    </row>
    <row r="613" customFormat="false" ht="12.75" hidden="false" customHeight="false" outlineLevel="0" collapsed="false">
      <c r="A613" s="5"/>
      <c r="B613" s="5"/>
      <c r="C613" s="5"/>
      <c r="D613" s="0"/>
      <c r="E613" s="0"/>
      <c r="F613" s="0"/>
      <c r="G613" s="0"/>
      <c r="H613" s="0"/>
      <c r="I613" s="0"/>
      <c r="J613" s="0"/>
      <c r="K613" s="0"/>
      <c r="L613" s="0"/>
      <c r="M613" s="0"/>
      <c r="N613" s="0"/>
      <c r="O613" s="0"/>
      <c r="P613" s="0"/>
      <c r="Q613" s="0"/>
      <c r="R613" s="0"/>
      <c r="S613" s="0"/>
      <c r="T613" s="0"/>
      <c r="U613" s="0"/>
      <c r="V613" s="0"/>
      <c r="W613" s="0"/>
      <c r="X613" s="0"/>
      <c r="Y613" s="0"/>
      <c r="Z613" s="0"/>
      <c r="AA613" s="0"/>
      <c r="AB613" s="0"/>
      <c r="AC613" s="0"/>
      <c r="AD613" s="0"/>
      <c r="AE613" s="0"/>
      <c r="AF613" s="0"/>
      <c r="AG613" s="0"/>
    </row>
    <row r="614" customFormat="false" ht="12.75" hidden="false" customHeight="false" outlineLevel="0" collapsed="false">
      <c r="A614" s="5"/>
      <c r="B614" s="5"/>
      <c r="C614" s="5"/>
      <c r="D614" s="0"/>
      <c r="E614" s="0"/>
      <c r="F614" s="0"/>
      <c r="G614" s="0"/>
      <c r="H614" s="0"/>
      <c r="I614" s="0"/>
      <c r="J614" s="0"/>
      <c r="K614" s="0"/>
      <c r="L614" s="0"/>
      <c r="M614" s="0"/>
      <c r="N614" s="0"/>
      <c r="O614" s="0"/>
      <c r="P614" s="0"/>
      <c r="Q614" s="0"/>
      <c r="R614" s="0"/>
      <c r="S614" s="0"/>
      <c r="T614" s="0"/>
      <c r="U614" s="0"/>
      <c r="V614" s="0"/>
      <c r="W614" s="0"/>
      <c r="X614" s="0"/>
      <c r="Y614" s="0"/>
      <c r="Z614" s="0"/>
      <c r="AA614" s="0"/>
      <c r="AB614" s="0"/>
      <c r="AC614" s="0"/>
      <c r="AD614" s="0"/>
      <c r="AE614" s="0"/>
      <c r="AF614" s="0"/>
      <c r="AG614" s="0"/>
    </row>
    <row r="615" customFormat="false" ht="12.75" hidden="false" customHeight="false" outlineLevel="0" collapsed="false">
      <c r="A615" s="26" t="s">
        <v>73</v>
      </c>
      <c r="B615" s="5"/>
      <c r="C615" s="5"/>
      <c r="D615" s="0"/>
      <c r="E615" s="0"/>
      <c r="F615" s="0"/>
      <c r="G615" s="0"/>
      <c r="H615" s="0"/>
      <c r="I615" s="0"/>
      <c r="J615" s="0"/>
      <c r="K615" s="0"/>
      <c r="L615" s="0"/>
      <c r="M615" s="0"/>
      <c r="N615" s="0"/>
      <c r="O615" s="0"/>
      <c r="P615" s="0"/>
      <c r="Q615" s="0"/>
      <c r="R615" s="0"/>
      <c r="S615" s="0"/>
      <c r="T615" s="0"/>
      <c r="U615" s="0"/>
      <c r="V615" s="0"/>
      <c r="W615" s="0"/>
      <c r="X615" s="0"/>
      <c r="Y615" s="0"/>
      <c r="Z615" s="0"/>
      <c r="AA615" s="0"/>
      <c r="AB615" s="0"/>
      <c r="AC615" s="0"/>
      <c r="AD615" s="0"/>
      <c r="AE615" s="0"/>
      <c r="AF615" s="0"/>
      <c r="AG615" s="0"/>
    </row>
    <row r="616" customFormat="false" ht="12.75" hidden="false" customHeight="false" outlineLevel="0" collapsed="false">
      <c r="A616" s="28" t="n">
        <v>36396</v>
      </c>
      <c r="B616" s="5"/>
      <c r="C616" s="5"/>
      <c r="D616" s="0"/>
      <c r="E616" s="0"/>
      <c r="F616" s="0"/>
      <c r="G616" s="0"/>
      <c r="H616" s="0"/>
      <c r="I616" s="0"/>
      <c r="J616" s="0"/>
      <c r="K616" s="0"/>
      <c r="L616" s="0"/>
      <c r="M616" s="0"/>
      <c r="N616" s="0"/>
      <c r="O616" s="0"/>
      <c r="P616" s="0"/>
      <c r="Q616" s="0"/>
      <c r="R616" s="0"/>
      <c r="S616" s="0"/>
      <c r="T616" s="0"/>
      <c r="U616" s="0"/>
      <c r="V616" s="0"/>
      <c r="W616" s="0"/>
      <c r="X616" s="0"/>
      <c r="Y616" s="0"/>
      <c r="Z616" s="0"/>
      <c r="AA616" s="0"/>
      <c r="AB616" s="0"/>
      <c r="AC616" s="0"/>
      <c r="AD616" s="0"/>
      <c r="AE616" s="0"/>
      <c r="AF616" s="0"/>
      <c r="AG616" s="0"/>
    </row>
    <row r="617" customFormat="false" ht="12.75" hidden="false" customHeight="false" outlineLevel="0" collapsed="false">
      <c r="A617" s="7" t="s">
        <v>2</v>
      </c>
      <c r="B617" s="8" t="n">
        <v>35360.0999412801</v>
      </c>
      <c r="C617" s="5"/>
      <c r="D617" s="0"/>
      <c r="E617" s="0"/>
      <c r="F617" s="0"/>
      <c r="G617" s="0"/>
      <c r="H617" s="0"/>
      <c r="I617" s="0"/>
      <c r="J617" s="0"/>
      <c r="K617" s="0"/>
      <c r="L617" s="0"/>
      <c r="M617" s="0"/>
      <c r="N617" s="0"/>
      <c r="O617" s="0"/>
      <c r="P617" s="0"/>
      <c r="Q617" s="0"/>
      <c r="R617" s="0"/>
      <c r="S617" s="0"/>
      <c r="T617" s="0"/>
      <c r="U617" s="0"/>
      <c r="V617" s="0"/>
      <c r="W617" s="0"/>
      <c r="X617" s="0"/>
      <c r="Y617" s="0"/>
      <c r="Z617" s="0"/>
      <c r="AA617" s="0"/>
      <c r="AB617" s="0"/>
      <c r="AC617" s="0"/>
      <c r="AD617" s="0"/>
      <c r="AE617" s="0"/>
      <c r="AF617" s="0"/>
      <c r="AG617" s="0"/>
    </row>
    <row r="618" customFormat="false" ht="12.75" hidden="false" customHeight="false" outlineLevel="0" collapsed="false">
      <c r="A618" s="9" t="s">
        <v>3</v>
      </c>
      <c r="B618" s="10" t="n">
        <v>64965.8903150614</v>
      </c>
      <c r="C618" s="5"/>
      <c r="D618" s="0"/>
      <c r="E618" s="0"/>
      <c r="F618" s="0"/>
      <c r="G618" s="0"/>
      <c r="H618" s="0"/>
      <c r="I618" s="0"/>
      <c r="J618" s="0"/>
      <c r="K618" s="0"/>
      <c r="L618" s="0"/>
      <c r="M618" s="0"/>
      <c r="N618" s="0"/>
      <c r="O618" s="0"/>
      <c r="P618" s="0"/>
      <c r="Q618" s="0"/>
      <c r="R618" s="0"/>
      <c r="S618" s="0"/>
      <c r="T618" s="0"/>
      <c r="U618" s="0"/>
      <c r="V618" s="0"/>
      <c r="W618" s="0"/>
      <c r="X618" s="0"/>
      <c r="Y618" s="0"/>
      <c r="Z618" s="0"/>
      <c r="AA618" s="0"/>
      <c r="AB618" s="0"/>
      <c r="AC618" s="0"/>
      <c r="AD618" s="0"/>
      <c r="AE618" s="0"/>
      <c r="AF618" s="0"/>
      <c r="AG618" s="0"/>
    </row>
    <row r="619" customFormat="false" ht="12.75" hidden="false" customHeight="false" outlineLevel="0" collapsed="false">
      <c r="A619" s="11" t="s">
        <v>4</v>
      </c>
      <c r="B619" s="12" t="s">
        <v>5</v>
      </c>
      <c r="C619" s="12" t="s">
        <v>6</v>
      </c>
      <c r="D619" s="13" t="n">
        <v>1999</v>
      </c>
      <c r="E619" s="14" t="n">
        <v>2000</v>
      </c>
      <c r="F619" s="14" t="n">
        <v>2001</v>
      </c>
      <c r="G619" s="14" t="n">
        <v>2002</v>
      </c>
      <c r="H619" s="14" t="n">
        <v>2003</v>
      </c>
      <c r="I619" s="14" t="n">
        <v>2004</v>
      </c>
      <c r="J619" s="14" t="n">
        <v>2005</v>
      </c>
      <c r="K619" s="14" t="n">
        <v>2006</v>
      </c>
      <c r="L619" s="14" t="n">
        <v>2007</v>
      </c>
      <c r="M619" s="14" t="n">
        <v>2008</v>
      </c>
      <c r="N619" s="14" t="n">
        <v>2009</v>
      </c>
      <c r="O619" s="15" t="n">
        <v>2010</v>
      </c>
      <c r="P619" s="16" t="n">
        <v>2011</v>
      </c>
      <c r="Q619" s="16" t="n">
        <v>2012</v>
      </c>
      <c r="R619" s="16" t="n">
        <v>2013</v>
      </c>
      <c r="S619" s="16" t="n">
        <v>2014</v>
      </c>
      <c r="T619" s="16" t="n">
        <v>2015</v>
      </c>
      <c r="U619" s="16" t="n">
        <v>2016</v>
      </c>
      <c r="V619" s="16" t="n">
        <v>2017</v>
      </c>
      <c r="W619" s="16" t="n">
        <v>2018</v>
      </c>
      <c r="X619" s="16" t="n">
        <v>2019</v>
      </c>
      <c r="Y619" s="0"/>
      <c r="Z619" s="0"/>
      <c r="AA619" s="0"/>
      <c r="AB619" s="0"/>
      <c r="AC619" s="0"/>
      <c r="AD619" s="0"/>
      <c r="AE619" s="0"/>
      <c r="AF619" s="0"/>
      <c r="AG619" s="0"/>
    </row>
    <row r="620" customFormat="false" ht="12.75" hidden="false" customHeight="false" outlineLevel="0" collapsed="false">
      <c r="A620" s="11" t="s">
        <v>7</v>
      </c>
      <c r="B620" s="17" t="n">
        <f aca="false">NPV(0.1,D620:Y620)</f>
        <v>418867.165581224</v>
      </c>
      <c r="C620" s="17" t="n">
        <f aca="false">B620-B609</f>
        <v>0</v>
      </c>
      <c r="D620" s="18" t="n">
        <v>26898.21696</v>
      </c>
      <c r="E620" s="19" t="n">
        <v>40079.9158149774</v>
      </c>
      <c r="F620" s="19" t="n">
        <v>40673.1613422172</v>
      </c>
      <c r="G620" s="19" t="n">
        <v>40731.6409776837</v>
      </c>
      <c r="H620" s="19" t="n">
        <v>47605.8401142549</v>
      </c>
      <c r="I620" s="19" t="n">
        <v>52769.7658852343</v>
      </c>
      <c r="J620" s="19" t="n">
        <v>53213.7751206579</v>
      </c>
      <c r="K620" s="19" t="n">
        <v>53653.2595037859</v>
      </c>
      <c r="L620" s="19" t="n">
        <v>54718.6111930403</v>
      </c>
      <c r="M620" s="19" t="n">
        <v>55165.9282773646</v>
      </c>
      <c r="N620" s="19" t="n">
        <v>56276.6600298264</v>
      </c>
      <c r="O620" s="20" t="n">
        <v>56731.1338742778</v>
      </c>
      <c r="P620" s="21" t="n">
        <v>57888.8217946469</v>
      </c>
      <c r="Q620" s="21" t="n">
        <v>58349.6650785334</v>
      </c>
      <c r="R620" s="21" t="n">
        <v>58802.3864027137</v>
      </c>
      <c r="S620" s="21" t="n">
        <v>59246.0836906499</v>
      </c>
      <c r="T620" s="21" t="n">
        <v>59679.8080509755</v>
      </c>
      <c r="U620" s="21" t="n">
        <v>60102.5617804749</v>
      </c>
      <c r="V620" s="21" t="n">
        <v>60513.2962893742</v>
      </c>
      <c r="W620" s="21" t="n">
        <v>60910.9099460808</v>
      </c>
      <c r="X620" s="21" t="n">
        <v>61294.2458384051</v>
      </c>
      <c r="Y620" s="0"/>
      <c r="Z620" s="0"/>
      <c r="AA620" s="0"/>
      <c r="AB620" s="0"/>
      <c r="AC620" s="0"/>
      <c r="AD620" s="0"/>
      <c r="AE620" s="0"/>
      <c r="AF620" s="0"/>
      <c r="AG620" s="0"/>
    </row>
    <row r="621" customFormat="false" ht="12.75" hidden="false" customHeight="false" outlineLevel="0" collapsed="false">
      <c r="A621" s="22" t="s">
        <v>8</v>
      </c>
      <c r="B621" s="17" t="n">
        <f aca="false">NPV(0.1,D621:Y621)</f>
        <v>196860.307239669</v>
      </c>
      <c r="C621" s="17" t="n">
        <f aca="false">B621-B610</f>
        <v>0</v>
      </c>
      <c r="D621" s="18" t="n">
        <v>18832.9004385294</v>
      </c>
      <c r="E621" s="19" t="n">
        <v>20833.8692709755</v>
      </c>
      <c r="F621" s="19" t="n">
        <v>21171.7773326191</v>
      </c>
      <c r="G621" s="19" t="n">
        <v>21276.5857697</v>
      </c>
      <c r="H621" s="19" t="n">
        <v>22526.0716607981</v>
      </c>
      <c r="I621" s="19" t="n">
        <v>23310.8024387413</v>
      </c>
      <c r="J621" s="19" t="n">
        <v>23440.5052516417</v>
      </c>
      <c r="K621" s="19" t="n">
        <v>23568.9856871345</v>
      </c>
      <c r="L621" s="19" t="n">
        <v>23701.8101224596</v>
      </c>
      <c r="M621" s="19" t="n">
        <v>23839.1088776121</v>
      </c>
      <c r="N621" s="19" t="n">
        <v>23975.5763292136</v>
      </c>
      <c r="O621" s="20" t="n">
        <v>24900.1294148413</v>
      </c>
      <c r="P621" s="21" t="n">
        <v>24986.3944997259</v>
      </c>
      <c r="Q621" s="21" t="n">
        <v>25061.3759120758</v>
      </c>
      <c r="R621" s="21" t="n">
        <v>25141.5442874015</v>
      </c>
      <c r="S621" s="21" t="n">
        <v>25227.0552345925</v>
      </c>
      <c r="T621" s="21" t="n">
        <v>25285.4299129663</v>
      </c>
      <c r="U621" s="21" t="n">
        <v>25333.1529669128</v>
      </c>
      <c r="V621" s="21" t="n">
        <v>25386.7139933858</v>
      </c>
      <c r="W621" s="21" t="n">
        <v>25544.2054850763</v>
      </c>
      <c r="X621" s="21" t="n">
        <v>25756.8491585779</v>
      </c>
      <c r="Y621" s="0"/>
      <c r="Z621" s="0"/>
      <c r="AA621" s="0"/>
      <c r="AB621" s="0"/>
      <c r="AC621" s="0"/>
      <c r="AD621" s="0"/>
      <c r="AE621" s="0"/>
      <c r="AF621" s="0"/>
      <c r="AG621" s="0"/>
    </row>
    <row r="622" customFormat="false" ht="12.75" hidden="false" customHeight="false" outlineLevel="0" collapsed="false">
      <c r="A622" s="22" t="s">
        <v>9</v>
      </c>
      <c r="B622" s="17" t="n">
        <f aca="false">NPV(0.1,D622:Y622)</f>
        <v>80348.3411981931</v>
      </c>
      <c r="C622" s="17" t="n">
        <f aca="false">B622-B611</f>
        <v>43.4461886395293</v>
      </c>
      <c r="D622" s="18" t="n">
        <v>-1914.1389999564</v>
      </c>
      <c r="E622" s="19" t="n">
        <v>3411.12873400767</v>
      </c>
      <c r="F622" s="19" t="n">
        <v>3735.58483657588</v>
      </c>
      <c r="G622" s="19" t="n">
        <v>3985.48731404158</v>
      </c>
      <c r="H622" s="19" t="n">
        <v>7862.66664278472</v>
      </c>
      <c r="I622" s="19" t="n">
        <v>10952.9215410954</v>
      </c>
      <c r="J622" s="19" t="n">
        <v>11551.572927544</v>
      </c>
      <c r="K622" s="19" t="n">
        <v>12005.9296171045</v>
      </c>
      <c r="L622" s="19" t="n">
        <v>12848.8743313221</v>
      </c>
      <c r="M622" s="19" t="n">
        <v>13465.884856539</v>
      </c>
      <c r="N622" s="19" t="n">
        <v>14612.0431583925</v>
      </c>
      <c r="O622" s="20" t="n">
        <v>14446.9956393233</v>
      </c>
      <c r="P622" s="21" t="n">
        <v>15277.9378308714</v>
      </c>
      <c r="Q622" s="21" t="n">
        <v>15680.2544534912</v>
      </c>
      <c r="R622" s="21" t="n">
        <v>16074.2500881078</v>
      </c>
      <c r="S622" s="21" t="n">
        <v>16459.2634499606</v>
      </c>
      <c r="T622" s="21" t="n">
        <v>16855.0076545484</v>
      </c>
      <c r="U622" s="21" t="n">
        <v>17411.6209559793</v>
      </c>
      <c r="V622" s="21" t="n">
        <v>18021.497023695</v>
      </c>
      <c r="W622" s="21" t="n">
        <v>18654.8315404286</v>
      </c>
      <c r="X622" s="21" t="n">
        <v>19323.2585154595</v>
      </c>
      <c r="Y622" s="0"/>
      <c r="Z622" s="0"/>
      <c r="AA622" s="0"/>
      <c r="AB622" s="0"/>
      <c r="AC622" s="0"/>
      <c r="AD622" s="0"/>
      <c r="AE622" s="0"/>
      <c r="AF622" s="0"/>
      <c r="AG622" s="0"/>
    </row>
    <row r="623" customFormat="false" ht="12.75" hidden="false" customHeight="false" outlineLevel="0" collapsed="false">
      <c r="A623" s="22" t="s">
        <v>10</v>
      </c>
      <c r="B623" s="17" t="n">
        <f aca="false">NPV(0.1,D623:Y623)</f>
        <v>84005.5570073108</v>
      </c>
      <c r="C623" s="17" t="n">
        <f aca="false">B623-B612</f>
        <v>-49.3067267386505</v>
      </c>
      <c r="D623" s="23" t="n">
        <v>-5718.33482201104</v>
      </c>
      <c r="E623" s="24" t="n">
        <v>3460.10557013532</v>
      </c>
      <c r="F623" s="24" t="n">
        <v>4742.21540377189</v>
      </c>
      <c r="G623" s="24" t="n">
        <v>3400.5157721374</v>
      </c>
      <c r="H623" s="24" t="n">
        <v>13149.8486931789</v>
      </c>
      <c r="I623" s="24" t="n">
        <v>16974.0226166643</v>
      </c>
      <c r="J623" s="24" t="n">
        <v>12572.0276629828</v>
      </c>
      <c r="K623" s="24" t="n">
        <v>13022.9806481268</v>
      </c>
      <c r="L623" s="24" t="n">
        <v>10367.4172137879</v>
      </c>
      <c r="M623" s="24" t="n">
        <v>8605.98588756134</v>
      </c>
      <c r="N623" s="24" t="n">
        <v>18472.9961878852</v>
      </c>
      <c r="O623" s="25" t="n">
        <v>18459.2456454939</v>
      </c>
      <c r="P623" s="21" t="n">
        <v>18441.3024776604</v>
      </c>
      <c r="Q623" s="21" t="n">
        <v>18833.0076899175</v>
      </c>
      <c r="R623" s="21" t="n">
        <v>19221.2951759776</v>
      </c>
      <c r="S623" s="21" t="n">
        <v>17888.4387136629</v>
      </c>
      <c r="T623" s="21" t="n">
        <v>13311.1874762449</v>
      </c>
      <c r="U623" s="21" t="n">
        <v>12542.1299687566</v>
      </c>
      <c r="V623" s="21" t="n">
        <v>11238.7560364723</v>
      </c>
      <c r="W623" s="21" t="n">
        <v>10694.5079067211</v>
      </c>
      <c r="X623" s="21" t="n">
        <v>22218.6467304157</v>
      </c>
      <c r="Y623" s="0"/>
      <c r="Z623" s="0"/>
      <c r="AA623" s="0"/>
      <c r="AB623" s="0"/>
      <c r="AC623" s="0"/>
      <c r="AD623" s="0"/>
      <c r="AE623" s="0"/>
      <c r="AF623" s="0"/>
      <c r="AG623" s="0"/>
    </row>
    <row r="624" customFormat="false" ht="12.75" hidden="false" customHeight="false" outlineLevel="0" collapsed="false">
      <c r="A624" s="5"/>
      <c r="B624" s="5"/>
      <c r="C624" s="5"/>
      <c r="D624" s="0"/>
      <c r="E624" s="0"/>
      <c r="F624" s="0"/>
      <c r="G624" s="0"/>
      <c r="H624" s="0"/>
      <c r="I624" s="0"/>
      <c r="J624" s="0"/>
      <c r="K624" s="0"/>
      <c r="L624" s="0"/>
      <c r="M624" s="0"/>
      <c r="N624" s="0"/>
      <c r="O624" s="0"/>
      <c r="P624" s="0"/>
      <c r="Q624" s="0"/>
      <c r="R624" s="0"/>
      <c r="S624" s="0"/>
      <c r="T624" s="0"/>
      <c r="U624" s="0"/>
      <c r="V624" s="0"/>
      <c r="W624" s="0"/>
      <c r="X624" s="0"/>
      <c r="Y624" s="0"/>
      <c r="Z624" s="0"/>
      <c r="AA624" s="0"/>
      <c r="AB624" s="0"/>
      <c r="AC624" s="0"/>
      <c r="AD624" s="0"/>
      <c r="AE624" s="0"/>
      <c r="AF624" s="0"/>
      <c r="AG624" s="0"/>
    </row>
    <row r="625" customFormat="false" ht="12.75" hidden="false" customHeight="false" outlineLevel="0" collapsed="false">
      <c r="A625" s="5"/>
      <c r="B625" s="5"/>
      <c r="C625" s="5"/>
      <c r="D625" s="0"/>
      <c r="E625" s="0"/>
      <c r="F625" s="0"/>
      <c r="G625" s="0"/>
      <c r="H625" s="0"/>
      <c r="I625" s="0"/>
      <c r="J625" s="0"/>
      <c r="K625" s="0"/>
      <c r="L625" s="0"/>
      <c r="M625" s="0"/>
      <c r="N625" s="0"/>
      <c r="O625" s="0"/>
      <c r="P625" s="0"/>
      <c r="Q625" s="0"/>
      <c r="R625" s="0"/>
      <c r="S625" s="0"/>
      <c r="T625" s="0"/>
      <c r="U625" s="0"/>
      <c r="V625" s="0"/>
      <c r="W625" s="0"/>
      <c r="X625" s="0"/>
      <c r="Y625" s="0"/>
      <c r="Z625" s="0"/>
      <c r="AA625" s="0"/>
      <c r="AB625" s="0"/>
      <c r="AC625" s="0"/>
      <c r="AD625" s="0"/>
      <c r="AE625" s="0"/>
      <c r="AF625" s="0"/>
      <c r="AG625" s="0"/>
    </row>
    <row r="626" customFormat="false" ht="12.75" hidden="false" customHeight="false" outlineLevel="0" collapsed="false">
      <c r="A626" s="26" t="s">
        <v>74</v>
      </c>
      <c r="B626" s="5"/>
      <c r="C626" s="5"/>
      <c r="D626" s="0"/>
      <c r="E626" s="0"/>
      <c r="F626" s="0"/>
      <c r="G626" s="0"/>
      <c r="H626" s="0"/>
      <c r="I626" s="0"/>
      <c r="J626" s="0"/>
      <c r="K626" s="0"/>
      <c r="L626" s="0"/>
      <c r="M626" s="0"/>
      <c r="N626" s="0"/>
      <c r="O626" s="0"/>
      <c r="P626" s="0"/>
      <c r="Q626" s="0"/>
      <c r="R626" s="0"/>
      <c r="S626" s="0"/>
      <c r="T626" s="0"/>
      <c r="U626" s="0"/>
      <c r="V626" s="0"/>
      <c r="W626" s="0"/>
      <c r="X626" s="0"/>
      <c r="Y626" s="0"/>
      <c r="Z626" s="0"/>
      <c r="AA626" s="0"/>
      <c r="AB626" s="0"/>
      <c r="AC626" s="0"/>
      <c r="AD626" s="0"/>
      <c r="AE626" s="0"/>
      <c r="AF626" s="0"/>
      <c r="AG626" s="0"/>
    </row>
    <row r="627" customFormat="false" ht="12.75" hidden="false" customHeight="false" outlineLevel="0" collapsed="false">
      <c r="A627" s="28" t="n">
        <v>36403</v>
      </c>
      <c r="B627" s="5"/>
      <c r="C627" s="5"/>
      <c r="D627" s="0"/>
      <c r="E627" s="0"/>
      <c r="F627" s="0"/>
      <c r="G627" s="0"/>
      <c r="H627" s="0"/>
      <c r="I627" s="0"/>
      <c r="J627" s="0"/>
      <c r="K627" s="0"/>
      <c r="L627" s="0"/>
      <c r="M627" s="0"/>
      <c r="N627" s="0"/>
      <c r="O627" s="0"/>
      <c r="P627" s="0"/>
      <c r="Q627" s="0"/>
      <c r="R627" s="0"/>
      <c r="S627" s="0"/>
      <c r="T627" s="0"/>
      <c r="U627" s="0"/>
      <c r="V627" s="0"/>
      <c r="W627" s="0"/>
      <c r="X627" s="0"/>
      <c r="Y627" s="0"/>
      <c r="Z627" s="0"/>
      <c r="AA627" s="0"/>
      <c r="AB627" s="0"/>
      <c r="AC627" s="0"/>
      <c r="AD627" s="0"/>
      <c r="AE627" s="0"/>
      <c r="AF627" s="0"/>
      <c r="AG627" s="0"/>
    </row>
    <row r="628" customFormat="false" ht="12.75" hidden="false" customHeight="false" outlineLevel="0" collapsed="false">
      <c r="A628" s="7" t="s">
        <v>2</v>
      </c>
      <c r="B628" s="8" t="n">
        <v>35395.8103004266</v>
      </c>
      <c r="C628" s="5"/>
      <c r="D628" s="0"/>
      <c r="E628" s="0"/>
      <c r="F628" s="0"/>
      <c r="G628" s="0"/>
      <c r="H628" s="0"/>
      <c r="I628" s="0"/>
      <c r="J628" s="0"/>
      <c r="K628" s="0"/>
      <c r="L628" s="0"/>
      <c r="M628" s="0"/>
      <c r="N628" s="0"/>
      <c r="O628" s="0"/>
      <c r="P628" s="0"/>
      <c r="Q628" s="0"/>
      <c r="R628" s="0"/>
      <c r="S628" s="0"/>
      <c r="T628" s="0"/>
      <c r="U628" s="0"/>
      <c r="V628" s="0"/>
      <c r="W628" s="0"/>
      <c r="X628" s="0"/>
      <c r="Y628" s="0"/>
      <c r="Z628" s="0"/>
      <c r="AA628" s="0"/>
      <c r="AB628" s="0"/>
      <c r="AC628" s="0"/>
      <c r="AD628" s="0"/>
      <c r="AE628" s="0"/>
      <c r="AF628" s="0"/>
      <c r="AG628" s="0"/>
    </row>
    <row r="629" customFormat="false" ht="12.75" hidden="false" customHeight="false" outlineLevel="0" collapsed="false">
      <c r="A629" s="9" t="s">
        <v>3</v>
      </c>
      <c r="B629" s="31" t="n">
        <v>65006.8073150614</v>
      </c>
      <c r="C629" s="5"/>
      <c r="D629" s="0"/>
      <c r="E629" s="0"/>
      <c r="F629" s="0"/>
      <c r="G629" s="0"/>
      <c r="H629" s="0"/>
      <c r="I629" s="0"/>
      <c r="J629" s="0"/>
      <c r="K629" s="0"/>
      <c r="L629" s="0"/>
      <c r="M629" s="0"/>
      <c r="N629" s="0"/>
      <c r="O629" s="0"/>
      <c r="P629" s="0"/>
      <c r="Q629" s="0"/>
      <c r="R629" s="0"/>
      <c r="S629" s="0"/>
      <c r="T629" s="0"/>
      <c r="U629" s="0"/>
      <c r="V629" s="0"/>
      <c r="W629" s="0"/>
      <c r="X629" s="0"/>
      <c r="Y629" s="0"/>
      <c r="Z629" s="0"/>
      <c r="AA629" s="0"/>
      <c r="AB629" s="0"/>
      <c r="AC629" s="0"/>
      <c r="AD629" s="0"/>
      <c r="AE629" s="0"/>
      <c r="AF629" s="0"/>
      <c r="AG629" s="0"/>
    </row>
    <row r="630" customFormat="false" ht="12.75" hidden="false" customHeight="false" outlineLevel="0" collapsed="false">
      <c r="A630" s="11" t="s">
        <v>4</v>
      </c>
      <c r="B630" s="12" t="s">
        <v>5</v>
      </c>
      <c r="C630" s="12" t="s">
        <v>6</v>
      </c>
      <c r="D630" s="13" t="n">
        <v>1999</v>
      </c>
      <c r="E630" s="14" t="n">
        <v>2000</v>
      </c>
      <c r="F630" s="14" t="n">
        <v>2001</v>
      </c>
      <c r="G630" s="14" t="n">
        <v>2002</v>
      </c>
      <c r="H630" s="14" t="n">
        <v>2003</v>
      </c>
      <c r="I630" s="14" t="n">
        <v>2004</v>
      </c>
      <c r="J630" s="14" t="n">
        <v>2005</v>
      </c>
      <c r="K630" s="14" t="n">
        <v>2006</v>
      </c>
      <c r="L630" s="14" t="n">
        <v>2007</v>
      </c>
      <c r="M630" s="14" t="n">
        <v>2008</v>
      </c>
      <c r="N630" s="14" t="n">
        <v>2009</v>
      </c>
      <c r="O630" s="15" t="n">
        <v>2010</v>
      </c>
      <c r="P630" s="16" t="n">
        <v>2011</v>
      </c>
      <c r="Q630" s="16" t="n">
        <v>2012</v>
      </c>
      <c r="R630" s="16" t="n">
        <v>2013</v>
      </c>
      <c r="S630" s="16" t="n">
        <v>2014</v>
      </c>
      <c r="T630" s="16" t="n">
        <v>2015</v>
      </c>
      <c r="U630" s="16" t="n">
        <v>2016</v>
      </c>
      <c r="V630" s="16" t="n">
        <v>2017</v>
      </c>
      <c r="W630" s="16" t="n">
        <v>2018</v>
      </c>
      <c r="X630" s="16" t="n">
        <v>2019</v>
      </c>
      <c r="Y630" s="0"/>
      <c r="Z630" s="0"/>
      <c r="AA630" s="0"/>
      <c r="AB630" s="0"/>
      <c r="AC630" s="0"/>
      <c r="AD630" s="0"/>
      <c r="AE630" s="0"/>
      <c r="AF630" s="0"/>
      <c r="AG630" s="0"/>
    </row>
    <row r="631" customFormat="false" ht="12.75" hidden="false" customHeight="false" outlineLevel="0" collapsed="false">
      <c r="A631" s="11" t="s">
        <v>7</v>
      </c>
      <c r="B631" s="17" t="n">
        <f aca="false">NPV(0.1,D631:Y631)</f>
        <v>418867.165581224</v>
      </c>
      <c r="C631" s="17" t="n">
        <f aca="false">B631-B620</f>
        <v>0</v>
      </c>
      <c r="D631" s="18" t="n">
        <v>26898.21696</v>
      </c>
      <c r="E631" s="19" t="n">
        <v>40079.9158149774</v>
      </c>
      <c r="F631" s="19" t="n">
        <v>40673.1613422172</v>
      </c>
      <c r="G631" s="19" t="n">
        <v>40731.6409776837</v>
      </c>
      <c r="H631" s="19" t="n">
        <v>47605.8401142549</v>
      </c>
      <c r="I631" s="19" t="n">
        <v>52769.7658852343</v>
      </c>
      <c r="J631" s="19" t="n">
        <v>53213.7751206579</v>
      </c>
      <c r="K631" s="19" t="n">
        <v>53653.2595037859</v>
      </c>
      <c r="L631" s="19" t="n">
        <v>54718.6111930403</v>
      </c>
      <c r="M631" s="19" t="n">
        <v>55165.9282773646</v>
      </c>
      <c r="N631" s="19" t="n">
        <v>56276.6600298264</v>
      </c>
      <c r="O631" s="20" t="n">
        <v>56731.1338742778</v>
      </c>
      <c r="P631" s="21" t="n">
        <v>57888.8217946469</v>
      </c>
      <c r="Q631" s="21" t="n">
        <v>58349.6650785334</v>
      </c>
      <c r="R631" s="21" t="n">
        <v>58802.3864027137</v>
      </c>
      <c r="S631" s="21" t="n">
        <v>59246.0836906499</v>
      </c>
      <c r="T631" s="21" t="n">
        <v>59679.8080509755</v>
      </c>
      <c r="U631" s="21" t="n">
        <v>60102.5617804749</v>
      </c>
      <c r="V631" s="21" t="n">
        <v>60513.2962893742</v>
      </c>
      <c r="W631" s="21" t="n">
        <v>60910.9099460808</v>
      </c>
      <c r="X631" s="21" t="n">
        <v>61294.2458384051</v>
      </c>
      <c r="Y631" s="0"/>
      <c r="Z631" s="0"/>
      <c r="AA631" s="0"/>
      <c r="AB631" s="0"/>
      <c r="AC631" s="0"/>
      <c r="AD631" s="0"/>
      <c r="AE631" s="0"/>
      <c r="AF631" s="0"/>
      <c r="AG631" s="0"/>
    </row>
    <row r="632" customFormat="false" ht="12.75" hidden="false" customHeight="false" outlineLevel="0" collapsed="false">
      <c r="A632" s="22" t="s">
        <v>8</v>
      </c>
      <c r="B632" s="17" t="n">
        <f aca="false">NPV(0.1,D632:Y632)</f>
        <v>196860.307239669</v>
      </c>
      <c r="C632" s="17" t="n">
        <f aca="false">B632-B621</f>
        <v>0</v>
      </c>
      <c r="D632" s="18" t="n">
        <v>18832.9004385294</v>
      </c>
      <c r="E632" s="19" t="n">
        <v>20833.8692709755</v>
      </c>
      <c r="F632" s="19" t="n">
        <v>21171.7773326191</v>
      </c>
      <c r="G632" s="19" t="n">
        <v>21276.5857697</v>
      </c>
      <c r="H632" s="19" t="n">
        <v>22526.0716607981</v>
      </c>
      <c r="I632" s="19" t="n">
        <v>23310.8024387413</v>
      </c>
      <c r="J632" s="19" t="n">
        <v>23440.5052516417</v>
      </c>
      <c r="K632" s="19" t="n">
        <v>23568.9856871345</v>
      </c>
      <c r="L632" s="19" t="n">
        <v>23701.8101224596</v>
      </c>
      <c r="M632" s="19" t="n">
        <v>23839.1088776121</v>
      </c>
      <c r="N632" s="19" t="n">
        <v>23975.5763292136</v>
      </c>
      <c r="O632" s="20" t="n">
        <v>24900.1294148413</v>
      </c>
      <c r="P632" s="21" t="n">
        <v>24986.3944997259</v>
      </c>
      <c r="Q632" s="21" t="n">
        <v>25061.3759120758</v>
      </c>
      <c r="R632" s="21" t="n">
        <v>25141.5442874015</v>
      </c>
      <c r="S632" s="21" t="n">
        <v>25227.0552345925</v>
      </c>
      <c r="T632" s="21" t="n">
        <v>25285.4299129663</v>
      </c>
      <c r="U632" s="21" t="n">
        <v>25333.1529669128</v>
      </c>
      <c r="V632" s="21" t="n">
        <v>25386.7139933858</v>
      </c>
      <c r="W632" s="21" t="n">
        <v>25544.2054850763</v>
      </c>
      <c r="X632" s="21" t="n">
        <v>25756.8491585779</v>
      </c>
      <c r="Y632" s="0"/>
      <c r="Z632" s="0"/>
      <c r="AA632" s="0"/>
      <c r="AB632" s="0"/>
      <c r="AC632" s="0"/>
      <c r="AD632" s="0"/>
      <c r="AE632" s="0"/>
      <c r="AF632" s="0"/>
      <c r="AG632" s="0"/>
    </row>
    <row r="633" customFormat="false" ht="12.75" hidden="false" customHeight="false" outlineLevel="0" collapsed="false">
      <c r="A633" s="22" t="s">
        <v>9</v>
      </c>
      <c r="B633" s="17" t="n">
        <f aca="false">NPV(0.1,D633:Y633)</f>
        <v>80346.9996178987</v>
      </c>
      <c r="C633" s="17" t="n">
        <f aca="false">B633-B622</f>
        <v>-1.34158029442187</v>
      </c>
      <c r="D633" s="18" t="n">
        <v>-1914.94229284181</v>
      </c>
      <c r="E633" s="19" t="n">
        <v>3409.20083108267</v>
      </c>
      <c r="F633" s="19" t="n">
        <v>3733.65693365088</v>
      </c>
      <c r="G633" s="19" t="n">
        <v>3983.55941111658</v>
      </c>
      <c r="H633" s="19" t="n">
        <v>7860.73873985972</v>
      </c>
      <c r="I633" s="19" t="n">
        <v>10952.3102510871</v>
      </c>
      <c r="J633" s="19" t="n">
        <v>11552.804895619</v>
      </c>
      <c r="K633" s="19" t="n">
        <v>12007.1615851795</v>
      </c>
      <c r="L633" s="19" t="n">
        <v>12850.1062993971</v>
      </c>
      <c r="M633" s="19" t="n">
        <v>13467.116824614</v>
      </c>
      <c r="N633" s="19" t="n">
        <v>14613.2751264675</v>
      </c>
      <c r="O633" s="20" t="n">
        <v>14448.2276073983</v>
      </c>
      <c r="P633" s="21" t="n">
        <v>15279.1697989464</v>
      </c>
      <c r="Q633" s="21" t="n">
        <v>15681.4864215662</v>
      </c>
      <c r="R633" s="21" t="n">
        <v>16075.4820561828</v>
      </c>
      <c r="S633" s="21" t="n">
        <v>16460.4954180356</v>
      </c>
      <c r="T633" s="21" t="n">
        <v>16856.2396226234</v>
      </c>
      <c r="U633" s="21" t="n">
        <v>17412.8529240543</v>
      </c>
      <c r="V633" s="21" t="n">
        <v>18022.72899177</v>
      </c>
      <c r="W633" s="21" t="n">
        <v>18656.0635085036</v>
      </c>
      <c r="X633" s="21" t="n">
        <v>19324.4904835345</v>
      </c>
      <c r="Y633" s="0"/>
      <c r="Z633" s="0"/>
      <c r="AA633" s="0"/>
      <c r="AB633" s="0"/>
      <c r="AC633" s="0"/>
      <c r="AD633" s="0"/>
      <c r="AE633" s="0"/>
      <c r="AF633" s="0"/>
      <c r="AG633" s="0"/>
    </row>
    <row r="634" customFormat="false" ht="12.75" hidden="false" customHeight="false" outlineLevel="0" collapsed="false">
      <c r="A634" s="22" t="s">
        <v>10</v>
      </c>
      <c r="B634" s="17" t="n">
        <f aca="false">NPV(0.1,D634:Y634)</f>
        <v>83999.7305799425</v>
      </c>
      <c r="C634" s="17" t="n">
        <f aca="false">B634-B623</f>
        <v>-5.82642736824346</v>
      </c>
      <c r="D634" s="23" t="n">
        <v>-5718.33482201104</v>
      </c>
      <c r="E634" s="24" t="n">
        <v>3460.10557013532</v>
      </c>
      <c r="F634" s="24" t="n">
        <v>4742.21540377189</v>
      </c>
      <c r="G634" s="24" t="n">
        <v>3400.5157721374</v>
      </c>
      <c r="H634" s="24" t="n">
        <v>13149.8486931789</v>
      </c>
      <c r="I634" s="24" t="n">
        <v>16972.639700422</v>
      </c>
      <c r="J634" s="24" t="n">
        <v>12570.5268565303</v>
      </c>
      <c r="K634" s="24" t="n">
        <v>13021.4772979346</v>
      </c>
      <c r="L634" s="24" t="n">
        <v>10365.9164073354</v>
      </c>
      <c r="M634" s="24" t="n">
        <v>8604.4825373691</v>
      </c>
      <c r="N634" s="24" t="n">
        <v>18471.4953814327</v>
      </c>
      <c r="O634" s="25" t="n">
        <v>18457.7422953017</v>
      </c>
      <c r="P634" s="21" t="n">
        <v>18439.8016712079</v>
      </c>
      <c r="Q634" s="21" t="n">
        <v>18831.5043397253</v>
      </c>
      <c r="R634" s="21" t="n">
        <v>19219.7943695251</v>
      </c>
      <c r="S634" s="21" t="n">
        <v>17887.6883104367</v>
      </c>
      <c r="T634" s="21" t="n">
        <v>13311.1874762449</v>
      </c>
      <c r="U634" s="21" t="n">
        <v>12542.1299687566</v>
      </c>
      <c r="V634" s="21" t="n">
        <v>11238.7560364723</v>
      </c>
      <c r="W634" s="21" t="n">
        <v>10694.5079067211</v>
      </c>
      <c r="X634" s="21" t="n">
        <v>22218.6467304157</v>
      </c>
      <c r="Y634" s="0"/>
      <c r="Z634" s="0"/>
      <c r="AA634" s="0"/>
      <c r="AB634" s="0"/>
      <c r="AC634" s="0"/>
      <c r="AD634" s="0"/>
      <c r="AE634" s="0"/>
      <c r="AF634" s="0"/>
      <c r="AG634" s="0"/>
    </row>
    <row r="635" customFormat="false" ht="12.75" hidden="false" customHeight="false" outlineLevel="0" collapsed="false">
      <c r="A635" s="5"/>
      <c r="B635" s="5"/>
      <c r="C635" s="5"/>
      <c r="D635" s="0"/>
      <c r="E635" s="0"/>
      <c r="F635" s="0"/>
      <c r="G635" s="0"/>
      <c r="H635" s="0"/>
      <c r="I635" s="0"/>
      <c r="J635" s="0"/>
      <c r="K635" s="0"/>
      <c r="L635" s="0"/>
      <c r="M635" s="0"/>
      <c r="N635" s="0"/>
      <c r="O635" s="0"/>
      <c r="P635" s="0"/>
      <c r="Q635" s="0"/>
      <c r="R635" s="0"/>
      <c r="S635" s="0"/>
      <c r="T635" s="0"/>
      <c r="U635" s="0"/>
      <c r="V635" s="0"/>
      <c r="W635" s="0"/>
      <c r="X635" s="0"/>
      <c r="Y635" s="0"/>
      <c r="Z635" s="0"/>
      <c r="AA635" s="0"/>
      <c r="AB635" s="0"/>
      <c r="AC635" s="0"/>
      <c r="AD635" s="0"/>
      <c r="AE635" s="0"/>
      <c r="AF635" s="0"/>
      <c r="AG635" s="0"/>
    </row>
    <row r="636" customFormat="false" ht="12.75" hidden="false" customHeight="false" outlineLevel="0" collapsed="false">
      <c r="A636" s="5"/>
      <c r="B636" s="5"/>
      <c r="C636" s="5"/>
      <c r="D636" s="0"/>
      <c r="E636" s="0"/>
      <c r="F636" s="0"/>
      <c r="G636" s="0"/>
      <c r="H636" s="0"/>
      <c r="I636" s="0"/>
      <c r="J636" s="0"/>
      <c r="K636" s="0"/>
      <c r="L636" s="0"/>
      <c r="M636" s="0"/>
      <c r="N636" s="0"/>
      <c r="O636" s="0"/>
      <c r="P636" s="0"/>
      <c r="Q636" s="0"/>
      <c r="R636" s="0"/>
      <c r="S636" s="0"/>
      <c r="T636" s="0"/>
      <c r="U636" s="0"/>
      <c r="V636" s="0"/>
      <c r="W636" s="0"/>
      <c r="X636" s="0"/>
      <c r="Y636" s="0"/>
      <c r="Z636" s="0"/>
      <c r="AA636" s="0"/>
      <c r="AB636" s="0"/>
      <c r="AC636" s="0"/>
      <c r="AD636" s="0"/>
      <c r="AE636" s="0"/>
      <c r="AF636" s="0"/>
      <c r="AG636" s="0"/>
    </row>
    <row r="637" customFormat="false" ht="12.75" hidden="false" customHeight="false" outlineLevel="0" collapsed="false">
      <c r="A637" s="26" t="s">
        <v>75</v>
      </c>
      <c r="B637" s="5"/>
      <c r="C637" s="5"/>
      <c r="D637" s="0"/>
      <c r="E637" s="0"/>
      <c r="F637" s="0"/>
      <c r="G637" s="0"/>
      <c r="H637" s="0"/>
      <c r="I637" s="0"/>
      <c r="J637" s="0"/>
      <c r="K637" s="0"/>
      <c r="L637" s="0"/>
      <c r="M637" s="0"/>
      <c r="N637" s="0"/>
      <c r="O637" s="0"/>
      <c r="P637" s="0"/>
      <c r="Q637" s="0"/>
      <c r="R637" s="0"/>
      <c r="S637" s="0"/>
      <c r="T637" s="0"/>
      <c r="U637" s="0"/>
      <c r="V637" s="0"/>
      <c r="W637" s="0"/>
      <c r="X637" s="0"/>
      <c r="Y637" s="0"/>
      <c r="Z637" s="0"/>
      <c r="AA637" s="0"/>
      <c r="AB637" s="0"/>
      <c r="AC637" s="0"/>
      <c r="AD637" s="0"/>
      <c r="AE637" s="0"/>
      <c r="AF637" s="0"/>
      <c r="AG637" s="0"/>
    </row>
    <row r="638" customFormat="false" ht="12.75" hidden="false" customHeight="false" outlineLevel="0" collapsed="false">
      <c r="A638" s="28" t="n">
        <v>36412</v>
      </c>
      <c r="B638" s="5"/>
      <c r="C638" s="5"/>
      <c r="D638" s="0"/>
      <c r="E638" s="0"/>
      <c r="F638" s="0"/>
      <c r="G638" s="0"/>
      <c r="H638" s="0"/>
      <c r="I638" s="0"/>
      <c r="J638" s="0"/>
      <c r="K638" s="0"/>
      <c r="L638" s="0"/>
      <c r="M638" s="0"/>
      <c r="N638" s="0"/>
      <c r="O638" s="0"/>
      <c r="P638" s="0"/>
      <c r="Q638" s="0"/>
      <c r="R638" s="0"/>
      <c r="S638" s="0"/>
      <c r="T638" s="0"/>
      <c r="U638" s="0"/>
      <c r="V638" s="0"/>
      <c r="W638" s="0"/>
      <c r="X638" s="0"/>
      <c r="Y638" s="0"/>
      <c r="Z638" s="0"/>
      <c r="AA638" s="0"/>
      <c r="AB638" s="0"/>
      <c r="AC638" s="0"/>
      <c r="AD638" s="0"/>
      <c r="AE638" s="0"/>
      <c r="AF638" s="0"/>
      <c r="AG638" s="0"/>
    </row>
    <row r="639" customFormat="false" ht="12.75" hidden="false" customHeight="false" outlineLevel="0" collapsed="false">
      <c r="A639" s="7" t="s">
        <v>2</v>
      </c>
      <c r="B639" s="8" t="n">
        <v>36798.0502049316</v>
      </c>
      <c r="C639" s="5"/>
      <c r="D639" s="0"/>
      <c r="E639" s="0"/>
      <c r="F639" s="0"/>
      <c r="G639" s="0"/>
      <c r="H639" s="0"/>
      <c r="I639" s="0"/>
      <c r="J639" s="0"/>
      <c r="K639" s="0"/>
      <c r="L639" s="0"/>
      <c r="M639" s="0"/>
      <c r="N639" s="0"/>
      <c r="O639" s="0"/>
      <c r="P639" s="0"/>
      <c r="Q639" s="0"/>
      <c r="R639" s="0"/>
      <c r="S639" s="0"/>
      <c r="T639" s="0"/>
      <c r="U639" s="0"/>
      <c r="V639" s="0"/>
      <c r="W639" s="0"/>
      <c r="X639" s="0"/>
      <c r="Y639" s="0"/>
      <c r="Z639" s="0"/>
      <c r="AA639" s="0"/>
      <c r="AB639" s="0"/>
      <c r="AC639" s="0"/>
      <c r="AD639" s="0"/>
      <c r="AE639" s="0"/>
      <c r="AF639" s="0"/>
      <c r="AG639" s="0"/>
    </row>
    <row r="640" customFormat="false" ht="12.75" hidden="false" customHeight="false" outlineLevel="0" collapsed="false">
      <c r="A640" s="9" t="s">
        <v>3</v>
      </c>
      <c r="B640" s="31" t="n">
        <v>66670.5383150614</v>
      </c>
      <c r="C640" s="5"/>
      <c r="D640" s="0"/>
      <c r="E640" s="0"/>
      <c r="F640" s="0"/>
      <c r="G640" s="0"/>
      <c r="H640" s="0"/>
      <c r="I640" s="0"/>
      <c r="J640" s="0"/>
      <c r="K640" s="0"/>
      <c r="L640" s="0"/>
      <c r="M640" s="0"/>
      <c r="N640" s="0"/>
      <c r="O640" s="0"/>
      <c r="P640" s="0"/>
      <c r="Q640" s="0"/>
      <c r="R640" s="0"/>
      <c r="S640" s="0"/>
      <c r="T640" s="0"/>
      <c r="U640" s="0"/>
      <c r="V640" s="0"/>
      <c r="W640" s="0"/>
      <c r="X640" s="0"/>
      <c r="Y640" s="0"/>
      <c r="Z640" s="0"/>
      <c r="AA640" s="0"/>
      <c r="AB640" s="0"/>
      <c r="AC640" s="0"/>
      <c r="AD640" s="0"/>
      <c r="AE640" s="0"/>
      <c r="AF640" s="0"/>
      <c r="AG640" s="0"/>
    </row>
    <row r="641" customFormat="false" ht="12.75" hidden="false" customHeight="false" outlineLevel="0" collapsed="false">
      <c r="A641" s="11" t="s">
        <v>4</v>
      </c>
      <c r="B641" s="12" t="s">
        <v>5</v>
      </c>
      <c r="C641" s="12" t="s">
        <v>6</v>
      </c>
      <c r="D641" s="13" t="n">
        <v>1999</v>
      </c>
      <c r="E641" s="14" t="n">
        <v>2000</v>
      </c>
      <c r="F641" s="14" t="n">
        <v>2001</v>
      </c>
      <c r="G641" s="14" t="n">
        <v>2002</v>
      </c>
      <c r="H641" s="14" t="n">
        <v>2003</v>
      </c>
      <c r="I641" s="14" t="n">
        <v>2004</v>
      </c>
      <c r="J641" s="14" t="n">
        <v>2005</v>
      </c>
      <c r="K641" s="14" t="n">
        <v>2006</v>
      </c>
      <c r="L641" s="14" t="n">
        <v>2007</v>
      </c>
      <c r="M641" s="14" t="n">
        <v>2008</v>
      </c>
      <c r="N641" s="14" t="n">
        <v>2009</v>
      </c>
      <c r="O641" s="15" t="n">
        <v>2010</v>
      </c>
      <c r="P641" s="16" t="n">
        <v>2011</v>
      </c>
      <c r="Q641" s="16" t="n">
        <v>2012</v>
      </c>
      <c r="R641" s="16" t="n">
        <v>2013</v>
      </c>
      <c r="S641" s="16" t="n">
        <v>2014</v>
      </c>
      <c r="T641" s="16" t="n">
        <v>2015</v>
      </c>
      <c r="U641" s="16" t="n">
        <v>2016</v>
      </c>
      <c r="V641" s="16" t="n">
        <v>2017</v>
      </c>
      <c r="W641" s="16" t="n">
        <v>2018</v>
      </c>
      <c r="X641" s="16" t="n">
        <v>2019</v>
      </c>
      <c r="Y641" s="0"/>
      <c r="Z641" s="0"/>
      <c r="AA641" s="0"/>
      <c r="AB641" s="0"/>
      <c r="AC641" s="0"/>
      <c r="AD641" s="0"/>
      <c r="AE641" s="0"/>
      <c r="AF641" s="0"/>
      <c r="AG641" s="0"/>
    </row>
    <row r="642" customFormat="false" ht="12.75" hidden="false" customHeight="false" outlineLevel="0" collapsed="false">
      <c r="A642" s="11" t="s">
        <v>7</v>
      </c>
      <c r="B642" s="17" t="n">
        <f aca="false">NPV(0.1,D642:Y642)</f>
        <v>418867.165581224</v>
      </c>
      <c r="C642" s="17" t="n">
        <f aca="false">B642-B631</f>
        <v>0</v>
      </c>
      <c r="D642" s="18" t="n">
        <v>26898.21696</v>
      </c>
      <c r="E642" s="19" t="n">
        <v>40079.9158149774</v>
      </c>
      <c r="F642" s="19" t="n">
        <v>40673.1613422172</v>
      </c>
      <c r="G642" s="19" t="n">
        <v>40731.6409776837</v>
      </c>
      <c r="H642" s="19" t="n">
        <v>47605.8401142549</v>
      </c>
      <c r="I642" s="19" t="n">
        <v>52769.7658852343</v>
      </c>
      <c r="J642" s="19" t="n">
        <v>53213.7751206579</v>
      </c>
      <c r="K642" s="19" t="n">
        <v>53653.2595037859</v>
      </c>
      <c r="L642" s="19" t="n">
        <v>54718.6111930403</v>
      </c>
      <c r="M642" s="19" t="n">
        <v>55165.9282773646</v>
      </c>
      <c r="N642" s="19" t="n">
        <v>56276.6600298264</v>
      </c>
      <c r="O642" s="20" t="n">
        <v>56731.1338742778</v>
      </c>
      <c r="P642" s="21" t="n">
        <v>57888.8217946469</v>
      </c>
      <c r="Q642" s="21" t="n">
        <v>58349.6650785334</v>
      </c>
      <c r="R642" s="21" t="n">
        <v>58802.3864027137</v>
      </c>
      <c r="S642" s="21" t="n">
        <v>59246.0836906499</v>
      </c>
      <c r="T642" s="21" t="n">
        <v>59679.8080509755</v>
      </c>
      <c r="U642" s="21" t="n">
        <v>60102.5617804749</v>
      </c>
      <c r="V642" s="21" t="n">
        <v>60513.2962893742</v>
      </c>
      <c r="W642" s="21" t="n">
        <v>60910.9099460808</v>
      </c>
      <c r="X642" s="21" t="n">
        <v>61294.2458384051</v>
      </c>
      <c r="Y642" s="0"/>
      <c r="Z642" s="0"/>
      <c r="AA642" s="0"/>
      <c r="AB642" s="0"/>
      <c r="AC642" s="0"/>
      <c r="AD642" s="0"/>
      <c r="AE642" s="0"/>
      <c r="AF642" s="0"/>
      <c r="AG642" s="0"/>
    </row>
    <row r="643" customFormat="false" ht="12.75" hidden="false" customHeight="false" outlineLevel="0" collapsed="false">
      <c r="A643" s="22" t="s">
        <v>8</v>
      </c>
      <c r="B643" s="17" t="n">
        <f aca="false">NPV(0.1,D643:Y643)</f>
        <v>196860.307239669</v>
      </c>
      <c r="C643" s="17" t="n">
        <f aca="false">B643-B632</f>
        <v>0</v>
      </c>
      <c r="D643" s="18" t="n">
        <v>18832.9004385294</v>
      </c>
      <c r="E643" s="19" t="n">
        <v>20833.8692709755</v>
      </c>
      <c r="F643" s="19" t="n">
        <v>21171.7773326191</v>
      </c>
      <c r="G643" s="19" t="n">
        <v>21276.5857697</v>
      </c>
      <c r="H643" s="19" t="n">
        <v>22526.0716607981</v>
      </c>
      <c r="I643" s="19" t="n">
        <v>23310.8024387413</v>
      </c>
      <c r="J643" s="19" t="n">
        <v>23440.5052516417</v>
      </c>
      <c r="K643" s="19" t="n">
        <v>23568.9856871345</v>
      </c>
      <c r="L643" s="19" t="n">
        <v>23701.8101224596</v>
      </c>
      <c r="M643" s="19" t="n">
        <v>23839.1088776121</v>
      </c>
      <c r="N643" s="19" t="n">
        <v>23975.5763292136</v>
      </c>
      <c r="O643" s="20" t="n">
        <v>24900.1294148413</v>
      </c>
      <c r="P643" s="21" t="n">
        <v>24986.3944997259</v>
      </c>
      <c r="Q643" s="21" t="n">
        <v>25061.3759120758</v>
      </c>
      <c r="R643" s="21" t="n">
        <v>25141.5442874015</v>
      </c>
      <c r="S643" s="21" t="n">
        <v>25227.0552345925</v>
      </c>
      <c r="T643" s="21" t="n">
        <v>25285.4299129663</v>
      </c>
      <c r="U643" s="21" t="n">
        <v>25333.1529669128</v>
      </c>
      <c r="V643" s="21" t="n">
        <v>25386.7139933858</v>
      </c>
      <c r="W643" s="21" t="n">
        <v>25544.2054850763</v>
      </c>
      <c r="X643" s="21" t="n">
        <v>25756.8491585779</v>
      </c>
      <c r="Y643" s="0"/>
      <c r="Z643" s="0"/>
      <c r="AA643" s="0"/>
      <c r="AB643" s="0"/>
      <c r="AC643" s="0"/>
      <c r="AD643" s="0"/>
      <c r="AE643" s="0"/>
      <c r="AF643" s="0"/>
      <c r="AG643" s="0"/>
    </row>
    <row r="644" customFormat="false" ht="12.75" hidden="false" customHeight="false" outlineLevel="0" collapsed="false">
      <c r="A644" s="22" t="s">
        <v>9</v>
      </c>
      <c r="B644" s="17" t="n">
        <f aca="false">NPV(0.1,D644:Y644)</f>
        <v>80590.0076518637</v>
      </c>
      <c r="C644" s="17" t="n">
        <f aca="false">B644-B633</f>
        <v>243.008033965016</v>
      </c>
      <c r="D644" s="18" t="n">
        <v>-1903.1762754564</v>
      </c>
      <c r="E644" s="19" t="n">
        <v>3437.43927280767</v>
      </c>
      <c r="F644" s="19" t="n">
        <v>3761.89537537588</v>
      </c>
      <c r="G644" s="19" t="n">
        <v>4011.79785284158</v>
      </c>
      <c r="H644" s="19" t="n">
        <v>7888.97718158472</v>
      </c>
      <c r="I644" s="19" t="n">
        <v>10981.8144648954</v>
      </c>
      <c r="J644" s="19" t="n">
        <v>11584.081190344</v>
      </c>
      <c r="K644" s="19" t="n">
        <v>12038.4378799045</v>
      </c>
      <c r="L644" s="19" t="n">
        <v>12881.3825941221</v>
      </c>
      <c r="M644" s="19" t="n">
        <v>13498.393119339</v>
      </c>
      <c r="N644" s="19" t="n">
        <v>14644.5514211925</v>
      </c>
      <c r="O644" s="20" t="n">
        <v>14479.5039021233</v>
      </c>
      <c r="P644" s="21" t="n">
        <v>15310.4460936714</v>
      </c>
      <c r="Q644" s="21" t="n">
        <v>15712.7627162912</v>
      </c>
      <c r="R644" s="21" t="n">
        <v>16106.7583509078</v>
      </c>
      <c r="S644" s="21" t="n">
        <v>16491.7717127606</v>
      </c>
      <c r="T644" s="21" t="n">
        <v>16887.5159173484</v>
      </c>
      <c r="U644" s="21" t="n">
        <v>17444.1292187793</v>
      </c>
      <c r="V644" s="21" t="n">
        <v>18054.005286495</v>
      </c>
      <c r="W644" s="21" t="n">
        <v>18687.3398032286</v>
      </c>
      <c r="X644" s="21" t="n">
        <v>19355.7667782595</v>
      </c>
      <c r="Y644" s="0"/>
      <c r="Z644" s="0"/>
      <c r="AA644" s="0"/>
      <c r="AB644" s="0"/>
      <c r="AC644" s="0"/>
      <c r="AD644" s="0"/>
      <c r="AE644" s="0"/>
      <c r="AF644" s="0"/>
      <c r="AG644" s="0"/>
    </row>
    <row r="645" customFormat="false" ht="12.75" hidden="false" customHeight="false" outlineLevel="0" collapsed="false">
      <c r="A645" s="22" t="s">
        <v>10</v>
      </c>
      <c r="B645" s="17" t="n">
        <f aca="false">NPV(0.1,D645:Y645)</f>
        <v>83716.8775390077</v>
      </c>
      <c r="C645" s="17" t="n">
        <f aca="false">B645-B634</f>
        <v>-282.853040934831</v>
      </c>
      <c r="D645" s="23" t="n">
        <v>-5718.33482201104</v>
      </c>
      <c r="E645" s="24" t="n">
        <v>3460.10557013532</v>
      </c>
      <c r="F645" s="24" t="n">
        <v>4742.21540377189</v>
      </c>
      <c r="G645" s="24" t="n">
        <v>3400.5157721374</v>
      </c>
      <c r="H645" s="24" t="n">
        <v>13149.8486931789</v>
      </c>
      <c r="I645" s="24" t="n">
        <v>16698.4838719803</v>
      </c>
      <c r="J645" s="24" t="n">
        <v>12532.4254918228</v>
      </c>
      <c r="K645" s="24" t="n">
        <v>12983.3113546428</v>
      </c>
      <c r="L645" s="24" t="n">
        <v>10327.8150426279</v>
      </c>
      <c r="M645" s="24" t="n">
        <v>8566.31659407734</v>
      </c>
      <c r="N645" s="24" t="n">
        <v>18433.3940167252</v>
      </c>
      <c r="O645" s="25" t="n">
        <v>18419.5763520099</v>
      </c>
      <c r="P645" s="21" t="n">
        <v>18401.7003065004</v>
      </c>
      <c r="Q645" s="21" t="n">
        <v>18793.3383964335</v>
      </c>
      <c r="R645" s="21" t="n">
        <v>19181.6930048176</v>
      </c>
      <c r="S645" s="21" t="n">
        <v>17868.6376280829</v>
      </c>
      <c r="T645" s="21" t="n">
        <v>13311.1874762449</v>
      </c>
      <c r="U645" s="21" t="n">
        <v>12542.1299687566</v>
      </c>
      <c r="V645" s="21" t="n">
        <v>11238.7560364723</v>
      </c>
      <c r="W645" s="21" t="n">
        <v>10694.5079067211</v>
      </c>
      <c r="X645" s="21" t="n">
        <v>22218.6467304157</v>
      </c>
      <c r="Y645" s="0"/>
      <c r="Z645" s="0"/>
      <c r="AA645" s="0"/>
      <c r="AB645" s="0"/>
      <c r="AC645" s="0"/>
      <c r="AD645" s="0"/>
      <c r="AE645" s="0"/>
      <c r="AF645" s="0"/>
      <c r="AG645" s="0"/>
    </row>
    <row r="646" customFormat="false" ht="12.75" hidden="false" customHeight="false" outlineLevel="0" collapsed="false">
      <c r="A646" s="5"/>
      <c r="B646" s="5"/>
      <c r="C646" s="5"/>
      <c r="D646" s="0"/>
      <c r="E646" s="0"/>
      <c r="F646" s="0"/>
      <c r="G646" s="0"/>
      <c r="H646" s="0"/>
      <c r="I646" s="0"/>
      <c r="J646" s="0"/>
      <c r="K646" s="0"/>
      <c r="L646" s="0"/>
      <c r="M646" s="0"/>
      <c r="N646" s="0"/>
      <c r="O646" s="0"/>
      <c r="P646" s="0"/>
      <c r="Q646" s="0"/>
      <c r="R646" s="0"/>
      <c r="S646" s="0"/>
      <c r="T646" s="0"/>
      <c r="U646" s="0"/>
      <c r="V646" s="0"/>
      <c r="W646" s="0"/>
      <c r="X646" s="0"/>
      <c r="Y646" s="0"/>
      <c r="Z646" s="0"/>
      <c r="AA646" s="0"/>
      <c r="AB646" s="0"/>
      <c r="AC646" s="0"/>
      <c r="AD646" s="0"/>
      <c r="AE646" s="0"/>
      <c r="AF646" s="0"/>
      <c r="AG646" s="0"/>
    </row>
    <row r="647" customFormat="false" ht="12.75" hidden="false" customHeight="false" outlineLevel="0" collapsed="false">
      <c r="A647" s="5"/>
      <c r="B647" s="5"/>
      <c r="C647" s="5"/>
      <c r="D647" s="0"/>
      <c r="E647" s="0"/>
      <c r="F647" s="0"/>
      <c r="G647" s="0"/>
      <c r="H647" s="0"/>
      <c r="I647" s="0"/>
      <c r="J647" s="0"/>
      <c r="K647" s="0"/>
      <c r="L647" s="0"/>
      <c r="M647" s="0"/>
      <c r="N647" s="0"/>
      <c r="O647" s="0"/>
      <c r="P647" s="0"/>
      <c r="Q647" s="0"/>
      <c r="R647" s="0"/>
      <c r="S647" s="0"/>
      <c r="T647" s="0"/>
      <c r="U647" s="0"/>
      <c r="V647" s="0"/>
      <c r="W647" s="0"/>
      <c r="X647" s="0"/>
      <c r="Y647" s="0"/>
      <c r="Z647" s="0"/>
      <c r="AA647" s="0"/>
      <c r="AB647" s="0"/>
      <c r="AC647" s="0"/>
      <c r="AD647" s="0"/>
      <c r="AE647" s="0"/>
      <c r="AF647" s="0"/>
      <c r="AG647" s="0"/>
    </row>
    <row r="648" customFormat="false" ht="12.75" hidden="false" customHeight="false" outlineLevel="0" collapsed="false">
      <c r="A648" s="26" t="s">
        <v>76</v>
      </c>
      <c r="B648" s="5"/>
      <c r="C648" s="5"/>
      <c r="D648" s="0"/>
      <c r="E648" s="0"/>
      <c r="F648" s="0"/>
      <c r="G648" s="0"/>
      <c r="H648" s="0"/>
      <c r="I648" s="0"/>
      <c r="J648" s="0"/>
      <c r="K648" s="0"/>
      <c r="L648" s="0"/>
      <c r="M648" s="0"/>
      <c r="N648" s="0"/>
      <c r="O648" s="0"/>
      <c r="P648" s="0"/>
      <c r="Q648" s="0"/>
      <c r="R648" s="0"/>
      <c r="S648" s="0"/>
      <c r="T648" s="0"/>
      <c r="U648" s="0"/>
      <c r="V648" s="0"/>
      <c r="W648" s="0"/>
      <c r="X648" s="0"/>
      <c r="Y648" s="0"/>
      <c r="Z648" s="0"/>
      <c r="AA648" s="0"/>
      <c r="AB648" s="0"/>
      <c r="AC648" s="0"/>
      <c r="AD648" s="0"/>
      <c r="AE648" s="0"/>
      <c r="AF648" s="0"/>
      <c r="AG648" s="0"/>
    </row>
    <row r="649" customFormat="false" ht="12.75" hidden="false" customHeight="false" outlineLevel="0" collapsed="false">
      <c r="A649" s="28" t="n">
        <v>36419</v>
      </c>
      <c r="B649" s="5"/>
      <c r="C649" s="5"/>
      <c r="D649" s="0"/>
      <c r="E649" s="0"/>
      <c r="F649" s="0"/>
      <c r="G649" s="0"/>
      <c r="H649" s="0"/>
      <c r="I649" s="0"/>
      <c r="J649" s="0"/>
      <c r="K649" s="0"/>
      <c r="L649" s="0"/>
      <c r="M649" s="0"/>
      <c r="N649" s="0"/>
      <c r="O649" s="0"/>
      <c r="P649" s="0"/>
      <c r="Q649" s="0"/>
      <c r="R649" s="0"/>
      <c r="S649" s="0"/>
      <c r="T649" s="0"/>
      <c r="U649" s="0"/>
      <c r="V649" s="0"/>
      <c r="W649" s="0"/>
      <c r="X649" s="0"/>
      <c r="Y649" s="0"/>
      <c r="Z649" s="0"/>
      <c r="AA649" s="0"/>
      <c r="AB649" s="0"/>
      <c r="AC649" s="0"/>
      <c r="AD649" s="0"/>
      <c r="AE649" s="0"/>
      <c r="AF649" s="0"/>
      <c r="AG649" s="0"/>
    </row>
    <row r="650" customFormat="false" ht="12.75" hidden="false" customHeight="false" outlineLevel="0" collapsed="false">
      <c r="A650" s="7" t="s">
        <v>2</v>
      </c>
      <c r="B650" s="8" t="n">
        <v>36778.9883294177</v>
      </c>
      <c r="C650" s="5"/>
      <c r="D650" s="0"/>
      <c r="E650" s="0"/>
      <c r="F650" s="0"/>
      <c r="G650" s="0"/>
      <c r="H650" s="0"/>
      <c r="I650" s="0"/>
      <c r="J650" s="0"/>
      <c r="K650" s="0"/>
      <c r="L650" s="0"/>
      <c r="M650" s="0"/>
      <c r="N650" s="0"/>
      <c r="O650" s="0"/>
      <c r="P650" s="0"/>
      <c r="Q650" s="0"/>
      <c r="R650" s="0"/>
      <c r="S650" s="0"/>
      <c r="T650" s="0"/>
      <c r="U650" s="0"/>
      <c r="V650" s="0"/>
      <c r="W650" s="0"/>
      <c r="X650" s="0"/>
      <c r="Y650" s="0"/>
      <c r="Z650" s="0"/>
      <c r="AA650" s="0"/>
      <c r="AB650" s="0"/>
      <c r="AC650" s="0"/>
      <c r="AD650" s="0"/>
      <c r="AE650" s="0"/>
      <c r="AF650" s="0"/>
      <c r="AG650" s="0"/>
    </row>
    <row r="651" customFormat="false" ht="12.75" hidden="false" customHeight="false" outlineLevel="0" collapsed="false">
      <c r="A651" s="9" t="s">
        <v>3</v>
      </c>
      <c r="B651" s="31" t="n">
        <v>66647.4063150614</v>
      </c>
      <c r="C651" s="5"/>
      <c r="D651" s="0"/>
      <c r="E651" s="0"/>
      <c r="F651" s="0"/>
      <c r="G651" s="0"/>
      <c r="H651" s="0"/>
      <c r="I651" s="0"/>
      <c r="J651" s="0"/>
      <c r="K651" s="0"/>
      <c r="L651" s="0"/>
      <c r="M651" s="0"/>
      <c r="N651" s="0"/>
      <c r="O651" s="0"/>
      <c r="P651" s="0"/>
      <c r="Q651" s="0"/>
      <c r="R651" s="0"/>
      <c r="S651" s="0"/>
      <c r="T651" s="0"/>
      <c r="U651" s="0"/>
      <c r="V651" s="0"/>
      <c r="W651" s="0"/>
      <c r="X651" s="0"/>
      <c r="Y651" s="0"/>
      <c r="Z651" s="0"/>
      <c r="AA651" s="0"/>
      <c r="AB651" s="0"/>
      <c r="AC651" s="0"/>
      <c r="AD651" s="0"/>
      <c r="AE651" s="0"/>
      <c r="AF651" s="0"/>
      <c r="AG651" s="0"/>
    </row>
    <row r="652" customFormat="false" ht="12.75" hidden="false" customHeight="false" outlineLevel="0" collapsed="false">
      <c r="A652" s="11" t="s">
        <v>4</v>
      </c>
      <c r="B652" s="12" t="s">
        <v>5</v>
      </c>
      <c r="C652" s="12" t="s">
        <v>6</v>
      </c>
      <c r="D652" s="13" t="n">
        <v>1999</v>
      </c>
      <c r="E652" s="14" t="n">
        <v>2000</v>
      </c>
      <c r="F652" s="14" t="n">
        <v>2001</v>
      </c>
      <c r="G652" s="14" t="n">
        <v>2002</v>
      </c>
      <c r="H652" s="14" t="n">
        <v>2003</v>
      </c>
      <c r="I652" s="14" t="n">
        <v>2004</v>
      </c>
      <c r="J652" s="14" t="n">
        <v>2005</v>
      </c>
      <c r="K652" s="14" t="n">
        <v>2006</v>
      </c>
      <c r="L652" s="14" t="n">
        <v>2007</v>
      </c>
      <c r="M652" s="14" t="n">
        <v>2008</v>
      </c>
      <c r="N652" s="14" t="n">
        <v>2009</v>
      </c>
      <c r="O652" s="15" t="n">
        <v>2010</v>
      </c>
      <c r="P652" s="16" t="n">
        <v>2011</v>
      </c>
      <c r="Q652" s="16" t="n">
        <v>2012</v>
      </c>
      <c r="R652" s="16" t="n">
        <v>2013</v>
      </c>
      <c r="S652" s="16" t="n">
        <v>2014</v>
      </c>
      <c r="T652" s="16" t="n">
        <v>2015</v>
      </c>
      <c r="U652" s="16" t="n">
        <v>2016</v>
      </c>
      <c r="V652" s="16" t="n">
        <v>2017</v>
      </c>
      <c r="W652" s="16" t="n">
        <v>2018</v>
      </c>
      <c r="X652" s="16" t="n">
        <v>2019</v>
      </c>
      <c r="Y652" s="0"/>
      <c r="Z652" s="0"/>
      <c r="AA652" s="0"/>
      <c r="AB652" s="0"/>
      <c r="AC652" s="0"/>
      <c r="AD652" s="0"/>
      <c r="AE652" s="0"/>
      <c r="AF652" s="0"/>
      <c r="AG652" s="0"/>
    </row>
    <row r="653" customFormat="false" ht="12.75" hidden="false" customHeight="false" outlineLevel="0" collapsed="false">
      <c r="A653" s="11" t="s">
        <v>7</v>
      </c>
      <c r="B653" s="17" t="n">
        <f aca="false">NPV(0.1,D653:Y653)</f>
        <v>418867.165581224</v>
      </c>
      <c r="C653" s="17" t="n">
        <f aca="false">B653-B642</f>
        <v>0</v>
      </c>
      <c r="D653" s="18" t="n">
        <v>26898.21696</v>
      </c>
      <c r="E653" s="19" t="n">
        <v>40079.9158149774</v>
      </c>
      <c r="F653" s="19" t="n">
        <v>40673.1613422172</v>
      </c>
      <c r="G653" s="19" t="n">
        <v>40731.6409776837</v>
      </c>
      <c r="H653" s="19" t="n">
        <v>47605.8401142549</v>
      </c>
      <c r="I653" s="19" t="n">
        <v>52769.7658852343</v>
      </c>
      <c r="J653" s="19" t="n">
        <v>53213.7751206579</v>
      </c>
      <c r="K653" s="19" t="n">
        <v>53653.2595037859</v>
      </c>
      <c r="L653" s="19" t="n">
        <v>54718.6111930403</v>
      </c>
      <c r="M653" s="19" t="n">
        <v>55165.9282773646</v>
      </c>
      <c r="N653" s="19" t="n">
        <v>56276.6600298264</v>
      </c>
      <c r="O653" s="20" t="n">
        <v>56731.1338742778</v>
      </c>
      <c r="P653" s="21" t="n">
        <v>57888.8217946469</v>
      </c>
      <c r="Q653" s="21" t="n">
        <v>58349.6650785334</v>
      </c>
      <c r="R653" s="21" t="n">
        <v>58802.3864027137</v>
      </c>
      <c r="S653" s="21" t="n">
        <v>59246.0836906499</v>
      </c>
      <c r="T653" s="21" t="n">
        <v>59679.8080509755</v>
      </c>
      <c r="U653" s="21" t="n">
        <v>60102.5617804749</v>
      </c>
      <c r="V653" s="21" t="n">
        <v>60513.2962893742</v>
      </c>
      <c r="W653" s="21" t="n">
        <v>60910.9099460808</v>
      </c>
      <c r="X653" s="21" t="n">
        <v>61294.2458384051</v>
      </c>
      <c r="Y653" s="0"/>
      <c r="Z653" s="0"/>
      <c r="AA653" s="0"/>
      <c r="AB653" s="0"/>
      <c r="AC653" s="0"/>
      <c r="AD653" s="0"/>
      <c r="AE653" s="0"/>
      <c r="AF653" s="0"/>
      <c r="AG653" s="0"/>
    </row>
    <row r="654" customFormat="false" ht="12.75" hidden="false" customHeight="false" outlineLevel="0" collapsed="false">
      <c r="A654" s="22" t="s">
        <v>8</v>
      </c>
      <c r="B654" s="17" t="n">
        <f aca="false">NPV(0.1,D654:Y654)</f>
        <v>196860.307239669</v>
      </c>
      <c r="C654" s="17" t="n">
        <f aca="false">B654-B643</f>
        <v>0</v>
      </c>
      <c r="D654" s="18" t="n">
        <v>18832.9004385294</v>
      </c>
      <c r="E654" s="19" t="n">
        <v>20833.8692709755</v>
      </c>
      <c r="F654" s="19" t="n">
        <v>21171.7773326191</v>
      </c>
      <c r="G654" s="19" t="n">
        <v>21276.5857697</v>
      </c>
      <c r="H654" s="19" t="n">
        <v>22526.0716607981</v>
      </c>
      <c r="I654" s="19" t="n">
        <v>23310.8024387413</v>
      </c>
      <c r="J654" s="19" t="n">
        <v>23440.5052516417</v>
      </c>
      <c r="K654" s="19" t="n">
        <v>23568.9856871345</v>
      </c>
      <c r="L654" s="19" t="n">
        <v>23701.8101224596</v>
      </c>
      <c r="M654" s="19" t="n">
        <v>23839.1088776121</v>
      </c>
      <c r="N654" s="19" t="n">
        <v>23975.5763292136</v>
      </c>
      <c r="O654" s="20" t="n">
        <v>24900.1294148413</v>
      </c>
      <c r="P654" s="21" t="n">
        <v>24986.3944997259</v>
      </c>
      <c r="Q654" s="21" t="n">
        <v>25061.3759120758</v>
      </c>
      <c r="R654" s="21" t="n">
        <v>25141.5442874015</v>
      </c>
      <c r="S654" s="21" t="n">
        <v>25227.0552345925</v>
      </c>
      <c r="T654" s="21" t="n">
        <v>25285.4299129663</v>
      </c>
      <c r="U654" s="21" t="n">
        <v>25333.1529669128</v>
      </c>
      <c r="V654" s="21" t="n">
        <v>25386.7139933858</v>
      </c>
      <c r="W654" s="21" t="n">
        <v>25544.2054850763</v>
      </c>
      <c r="X654" s="21" t="n">
        <v>25756.8491585779</v>
      </c>
      <c r="Y654" s="0"/>
      <c r="Z654" s="0"/>
      <c r="AA654" s="0"/>
      <c r="AB654" s="0"/>
      <c r="AC654" s="0"/>
      <c r="AD654" s="0"/>
      <c r="AE654" s="0"/>
      <c r="AF654" s="0"/>
      <c r="AG654" s="0"/>
    </row>
    <row r="655" customFormat="false" ht="12.75" hidden="false" customHeight="false" outlineLevel="0" collapsed="false">
      <c r="A655" s="22" t="s">
        <v>9</v>
      </c>
      <c r="B655" s="17" t="n">
        <f aca="false">NPV(0.1,D655:Y655)</f>
        <v>80584.0323030929</v>
      </c>
      <c r="C655" s="17" t="n">
        <f aca="false">B655-B644</f>
        <v>-5.97534877083672</v>
      </c>
      <c r="D655" s="18" t="n">
        <v>-1903.72757431056</v>
      </c>
      <c r="E655" s="19" t="n">
        <v>3436.11615555767</v>
      </c>
      <c r="F655" s="19" t="n">
        <v>3760.57225812588</v>
      </c>
      <c r="G655" s="19" t="n">
        <v>4010.47473559158</v>
      </c>
      <c r="H655" s="19" t="n">
        <v>7887.65406433472</v>
      </c>
      <c r="I655" s="19" t="n">
        <v>10980.9298755621</v>
      </c>
      <c r="J655" s="19" t="n">
        <v>11583.810540094</v>
      </c>
      <c r="K655" s="19" t="n">
        <v>12038.1672296545</v>
      </c>
      <c r="L655" s="19" t="n">
        <v>12881.1119438721</v>
      </c>
      <c r="M655" s="19" t="n">
        <v>13498.122469089</v>
      </c>
      <c r="N655" s="19" t="n">
        <v>14644.2807709425</v>
      </c>
      <c r="O655" s="20" t="n">
        <v>14479.2332518733</v>
      </c>
      <c r="P655" s="21" t="n">
        <v>15310.1754434214</v>
      </c>
      <c r="Q655" s="21" t="n">
        <v>15712.4920660412</v>
      </c>
      <c r="R655" s="21" t="n">
        <v>16106.4877006578</v>
      </c>
      <c r="S655" s="21" t="n">
        <v>16491.5010625106</v>
      </c>
      <c r="T655" s="21" t="n">
        <v>16887.2452670984</v>
      </c>
      <c r="U655" s="21" t="n">
        <v>17443.8585685293</v>
      </c>
      <c r="V655" s="21" t="n">
        <v>18053.734636245</v>
      </c>
      <c r="W655" s="21" t="n">
        <v>18687.0691529786</v>
      </c>
      <c r="X655" s="21" t="n">
        <v>19355.4961280095</v>
      </c>
      <c r="Y655" s="0"/>
      <c r="Z655" s="0"/>
      <c r="AA655" s="0"/>
      <c r="AB655" s="0"/>
      <c r="AC655" s="0"/>
      <c r="AD655" s="0"/>
      <c r="AE655" s="0"/>
      <c r="AF655" s="0"/>
      <c r="AG655" s="0"/>
    </row>
    <row r="656" customFormat="false" ht="12.75" hidden="false" customHeight="false" outlineLevel="0" collapsed="false">
      <c r="A656" s="22" t="s">
        <v>10</v>
      </c>
      <c r="B656" s="17" t="n">
        <f aca="false">NPV(0.1,D656:Y656)</f>
        <v>83721.2111700051</v>
      </c>
      <c r="C656" s="17" t="n">
        <f aca="false">B656-B645</f>
        <v>4.33363099736744</v>
      </c>
      <c r="D656" s="23" t="n">
        <v>-5718.33482201104</v>
      </c>
      <c r="E656" s="24" t="n">
        <v>3460.10557013532</v>
      </c>
      <c r="F656" s="24" t="n">
        <v>4742.21540377189</v>
      </c>
      <c r="G656" s="24" t="n">
        <v>3400.5157721374</v>
      </c>
      <c r="H656" s="24" t="n">
        <v>13149.8486931789</v>
      </c>
      <c r="I656" s="24" t="n">
        <v>16704.1973704878</v>
      </c>
      <c r="J656" s="24" t="n">
        <v>12532.7552029978</v>
      </c>
      <c r="K656" s="24" t="n">
        <v>12983.6416246503</v>
      </c>
      <c r="L656" s="24" t="n">
        <v>10328.1447538029</v>
      </c>
      <c r="M656" s="24" t="n">
        <v>8566.64686408485</v>
      </c>
      <c r="N656" s="24" t="n">
        <v>18433.7237279002</v>
      </c>
      <c r="O656" s="25" t="n">
        <v>18419.9066220174</v>
      </c>
      <c r="P656" s="21" t="n">
        <v>18402.0300176754</v>
      </c>
      <c r="Q656" s="21" t="n">
        <v>18793.668666441</v>
      </c>
      <c r="R656" s="21" t="n">
        <v>19182.0227159926</v>
      </c>
      <c r="S656" s="21" t="n">
        <v>17868.8024836704</v>
      </c>
      <c r="T656" s="21" t="n">
        <v>13311.1874762449</v>
      </c>
      <c r="U656" s="21" t="n">
        <v>12542.1299687566</v>
      </c>
      <c r="V656" s="21" t="n">
        <v>11238.7560364723</v>
      </c>
      <c r="W656" s="21" t="n">
        <v>10694.5079067211</v>
      </c>
      <c r="X656" s="21" t="n">
        <v>22218.6467304157</v>
      </c>
      <c r="Y656" s="0"/>
      <c r="Z656" s="0"/>
      <c r="AA656" s="0"/>
      <c r="AB656" s="0"/>
      <c r="AC656" s="0"/>
      <c r="AD656" s="0"/>
      <c r="AE656" s="0"/>
      <c r="AF656" s="0"/>
      <c r="AG656" s="0"/>
    </row>
    <row r="657" customFormat="false" ht="12.75" hidden="false" customHeight="false" outlineLevel="0" collapsed="false">
      <c r="A657" s="5"/>
      <c r="B657" s="5"/>
      <c r="C657" s="5"/>
      <c r="D657" s="0"/>
      <c r="E657" s="0"/>
      <c r="F657" s="0"/>
      <c r="G657" s="0"/>
      <c r="H657" s="0"/>
      <c r="I657" s="0"/>
      <c r="J657" s="0"/>
      <c r="K657" s="0"/>
      <c r="L657" s="0"/>
      <c r="M657" s="0"/>
      <c r="N657" s="0"/>
      <c r="O657" s="0"/>
      <c r="P657" s="0"/>
      <c r="Q657" s="0"/>
      <c r="R657" s="0"/>
      <c r="S657" s="0"/>
      <c r="T657" s="0"/>
      <c r="U657" s="0"/>
      <c r="V657" s="0"/>
      <c r="W657" s="0"/>
      <c r="X657" s="0"/>
      <c r="Y657" s="0"/>
      <c r="Z657" s="0"/>
      <c r="AA657" s="0"/>
      <c r="AB657" s="0"/>
      <c r="AC657" s="0"/>
      <c r="AD657" s="0"/>
      <c r="AE657" s="0"/>
      <c r="AF657" s="0"/>
      <c r="AG657" s="0"/>
    </row>
    <row r="658" customFormat="false" ht="12.75" hidden="false" customHeight="false" outlineLevel="0" collapsed="false">
      <c r="A658" s="5"/>
      <c r="B658" s="5"/>
      <c r="C658" s="5"/>
      <c r="D658" s="0"/>
      <c r="E658" s="0"/>
      <c r="F658" s="0"/>
      <c r="G658" s="0"/>
      <c r="H658" s="0"/>
      <c r="I658" s="0"/>
      <c r="J658" s="0"/>
      <c r="K658" s="0"/>
      <c r="L658" s="0"/>
      <c r="M658" s="0"/>
      <c r="N658" s="0"/>
      <c r="O658" s="0"/>
      <c r="P658" s="0"/>
      <c r="Q658" s="0"/>
      <c r="R658" s="0"/>
      <c r="S658" s="0"/>
      <c r="T658" s="0"/>
      <c r="U658" s="0"/>
      <c r="V658" s="0"/>
      <c r="W658" s="0"/>
      <c r="X658" s="0"/>
      <c r="Y658" s="0"/>
      <c r="Z658" s="0"/>
      <c r="AA658" s="0"/>
      <c r="AB658" s="0"/>
      <c r="AC658" s="0"/>
      <c r="AD658" s="0"/>
      <c r="AE658" s="0"/>
      <c r="AF658" s="0"/>
      <c r="AG658" s="0"/>
    </row>
    <row r="659" customFormat="false" ht="12.75" hidden="false" customHeight="false" outlineLevel="0" collapsed="false">
      <c r="A659" s="26" t="s">
        <v>77</v>
      </c>
      <c r="B659" s="5"/>
      <c r="C659" s="5"/>
      <c r="D659" s="0"/>
      <c r="E659" s="0"/>
      <c r="F659" s="0"/>
      <c r="G659" s="0"/>
      <c r="H659" s="0"/>
      <c r="I659" s="0"/>
      <c r="J659" s="0"/>
      <c r="K659" s="0"/>
      <c r="L659" s="0"/>
      <c r="M659" s="0"/>
      <c r="N659" s="0"/>
      <c r="O659" s="0"/>
      <c r="P659" s="0"/>
      <c r="Q659" s="0"/>
      <c r="R659" s="0"/>
      <c r="S659" s="0"/>
      <c r="T659" s="0"/>
      <c r="U659" s="0"/>
      <c r="V659" s="0"/>
      <c r="W659" s="0"/>
      <c r="X659" s="0"/>
      <c r="Y659" s="0"/>
      <c r="Z659" s="0"/>
      <c r="AA659" s="0"/>
      <c r="AB659" s="0"/>
      <c r="AC659" s="0"/>
      <c r="AD659" s="0"/>
      <c r="AE659" s="0"/>
      <c r="AF659" s="0"/>
      <c r="AG659" s="0"/>
    </row>
    <row r="660" customFormat="false" ht="12.75" hidden="false" customHeight="false" outlineLevel="0" collapsed="false">
      <c r="A660" s="28" t="n">
        <v>36426</v>
      </c>
      <c r="B660" s="5"/>
      <c r="C660" s="5"/>
      <c r="D660" s="0"/>
      <c r="E660" s="0"/>
      <c r="F660" s="0"/>
      <c r="G660" s="0"/>
      <c r="H660" s="0"/>
      <c r="I660" s="0"/>
      <c r="J660" s="0"/>
      <c r="K660" s="0"/>
      <c r="L660" s="0"/>
      <c r="M660" s="0"/>
      <c r="N660" s="0"/>
      <c r="O660" s="0"/>
      <c r="P660" s="0"/>
      <c r="Q660" s="0"/>
      <c r="R660" s="0"/>
      <c r="S660" s="0"/>
      <c r="T660" s="0"/>
      <c r="U660" s="0"/>
      <c r="V660" s="0"/>
      <c r="W660" s="0"/>
      <c r="X660" s="0"/>
      <c r="Y660" s="0"/>
      <c r="Z660" s="0"/>
      <c r="AA660" s="0"/>
      <c r="AB660" s="0"/>
      <c r="AC660" s="0"/>
      <c r="AD660" s="0"/>
      <c r="AE660" s="0"/>
      <c r="AF660" s="0"/>
      <c r="AG660" s="0"/>
    </row>
    <row r="661" customFormat="false" ht="12.75" hidden="false" customHeight="false" outlineLevel="0" collapsed="false">
      <c r="A661" s="7" t="s">
        <v>2</v>
      </c>
      <c r="B661" s="8" t="n">
        <v>36761.2041452235</v>
      </c>
      <c r="C661" s="5"/>
      <c r="D661" s="0"/>
      <c r="E661" s="0"/>
      <c r="F661" s="0"/>
      <c r="G661" s="0"/>
      <c r="H661" s="0"/>
      <c r="I661" s="0"/>
      <c r="J661" s="0"/>
      <c r="K661" s="0"/>
      <c r="L661" s="0"/>
      <c r="M661" s="0"/>
      <c r="N661" s="0"/>
      <c r="O661" s="0"/>
      <c r="P661" s="0"/>
      <c r="Q661" s="0"/>
      <c r="R661" s="0"/>
      <c r="S661" s="0"/>
      <c r="T661" s="0"/>
      <c r="U661" s="0"/>
      <c r="V661" s="0"/>
      <c r="W661" s="0"/>
      <c r="X661" s="0"/>
      <c r="Y661" s="0"/>
      <c r="Z661" s="0"/>
      <c r="AA661" s="0"/>
      <c r="AB661" s="0"/>
      <c r="AC661" s="0"/>
      <c r="AD661" s="0"/>
      <c r="AE661" s="0"/>
      <c r="AF661" s="0"/>
      <c r="AG661" s="0"/>
    </row>
    <row r="662" customFormat="false" ht="12.75" hidden="false" customHeight="false" outlineLevel="0" collapsed="false">
      <c r="A662" s="9" t="s">
        <v>3</v>
      </c>
      <c r="B662" s="31" t="n">
        <v>66623.6306913882</v>
      </c>
      <c r="C662" s="5"/>
      <c r="D662" s="0"/>
      <c r="E662" s="0"/>
      <c r="F662" s="0"/>
      <c r="G662" s="0"/>
      <c r="H662" s="0"/>
      <c r="I662" s="0"/>
      <c r="J662" s="0"/>
      <c r="K662" s="0"/>
      <c r="L662" s="0"/>
      <c r="M662" s="0"/>
      <c r="N662" s="0"/>
      <c r="O662" s="0"/>
      <c r="P662" s="0"/>
      <c r="Q662" s="0"/>
      <c r="R662" s="0"/>
      <c r="S662" s="0"/>
      <c r="T662" s="0"/>
      <c r="U662" s="0"/>
      <c r="V662" s="0"/>
      <c r="W662" s="0"/>
      <c r="X662" s="0"/>
      <c r="Y662" s="0"/>
      <c r="Z662" s="0"/>
      <c r="AA662" s="0"/>
      <c r="AB662" s="0"/>
      <c r="AC662" s="0"/>
      <c r="AD662" s="0"/>
      <c r="AE662" s="0"/>
      <c r="AF662" s="0"/>
      <c r="AG662" s="0"/>
    </row>
    <row r="663" customFormat="false" ht="12.75" hidden="false" customHeight="false" outlineLevel="0" collapsed="false">
      <c r="A663" s="11" t="s">
        <v>4</v>
      </c>
      <c r="B663" s="12" t="s">
        <v>5</v>
      </c>
      <c r="C663" s="12" t="s">
        <v>6</v>
      </c>
      <c r="D663" s="13" t="n">
        <v>1999</v>
      </c>
      <c r="E663" s="14" t="n">
        <v>2000</v>
      </c>
      <c r="F663" s="14" t="n">
        <v>2001</v>
      </c>
      <c r="G663" s="14" t="n">
        <v>2002</v>
      </c>
      <c r="H663" s="14" t="n">
        <v>2003</v>
      </c>
      <c r="I663" s="14" t="n">
        <v>2004</v>
      </c>
      <c r="J663" s="14" t="n">
        <v>2005</v>
      </c>
      <c r="K663" s="14" t="n">
        <v>2006</v>
      </c>
      <c r="L663" s="14" t="n">
        <v>2007</v>
      </c>
      <c r="M663" s="14" t="n">
        <v>2008</v>
      </c>
      <c r="N663" s="14" t="n">
        <v>2009</v>
      </c>
      <c r="O663" s="15" t="n">
        <v>2010</v>
      </c>
      <c r="P663" s="16" t="n">
        <v>2011</v>
      </c>
      <c r="Q663" s="16" t="n">
        <v>2012</v>
      </c>
      <c r="R663" s="16" t="n">
        <v>2013</v>
      </c>
      <c r="S663" s="16" t="n">
        <v>2014</v>
      </c>
      <c r="T663" s="16" t="n">
        <v>2015</v>
      </c>
      <c r="U663" s="16" t="n">
        <v>2016</v>
      </c>
      <c r="V663" s="16" t="n">
        <v>2017</v>
      </c>
      <c r="W663" s="16" t="n">
        <v>2018</v>
      </c>
      <c r="X663" s="16" t="n">
        <v>2019</v>
      </c>
      <c r="Y663" s="0"/>
      <c r="Z663" s="0"/>
      <c r="AA663" s="0"/>
      <c r="AB663" s="0"/>
      <c r="AC663" s="0"/>
      <c r="AD663" s="0"/>
      <c r="AE663" s="0"/>
      <c r="AF663" s="0"/>
      <c r="AG663" s="0"/>
    </row>
    <row r="664" customFormat="false" ht="12.75" hidden="false" customHeight="false" outlineLevel="0" collapsed="false">
      <c r="A664" s="11" t="s">
        <v>7</v>
      </c>
      <c r="B664" s="17" t="n">
        <f aca="false">NPV(0.1,D664:Y664)</f>
        <v>418867.165581224</v>
      </c>
      <c r="C664" s="17" t="n">
        <f aca="false">B664-B653</f>
        <v>0</v>
      </c>
      <c r="D664" s="18" t="n">
        <v>26898.21696</v>
      </c>
      <c r="E664" s="19" t="n">
        <v>40079.9158149774</v>
      </c>
      <c r="F664" s="19" t="n">
        <v>40673.1613422172</v>
      </c>
      <c r="G664" s="19" t="n">
        <v>40731.6409776837</v>
      </c>
      <c r="H664" s="19" t="n">
        <v>47605.8401142549</v>
      </c>
      <c r="I664" s="19" t="n">
        <v>52769.7658852343</v>
      </c>
      <c r="J664" s="19" t="n">
        <v>53213.7751206579</v>
      </c>
      <c r="K664" s="19" t="n">
        <v>53653.2595037859</v>
      </c>
      <c r="L664" s="19" t="n">
        <v>54718.6111930403</v>
      </c>
      <c r="M664" s="19" t="n">
        <v>55165.9282773646</v>
      </c>
      <c r="N664" s="19" t="n">
        <v>56276.6600298264</v>
      </c>
      <c r="O664" s="20" t="n">
        <v>56731.1338742778</v>
      </c>
      <c r="P664" s="21" t="n">
        <v>57888.8217946469</v>
      </c>
      <c r="Q664" s="21" t="n">
        <v>58349.6650785334</v>
      </c>
      <c r="R664" s="21" t="n">
        <v>58802.3864027137</v>
      </c>
      <c r="S664" s="21" t="n">
        <v>59246.0836906499</v>
      </c>
      <c r="T664" s="21" t="n">
        <v>59679.8080509755</v>
      </c>
      <c r="U664" s="21" t="n">
        <v>60102.5617804749</v>
      </c>
      <c r="V664" s="21" t="n">
        <v>60513.2962893742</v>
      </c>
      <c r="W664" s="21" t="n">
        <v>60910.9099460808</v>
      </c>
      <c r="X664" s="21" t="n">
        <v>61294.2458384051</v>
      </c>
      <c r="Y664" s="0"/>
      <c r="Z664" s="0"/>
      <c r="AA664" s="0"/>
      <c r="AB664" s="0"/>
      <c r="AC664" s="0"/>
      <c r="AD664" s="0"/>
      <c r="AE664" s="0"/>
      <c r="AF664" s="0"/>
      <c r="AG664" s="0"/>
    </row>
    <row r="665" customFormat="false" ht="12.75" hidden="false" customHeight="false" outlineLevel="0" collapsed="false">
      <c r="A665" s="22" t="s">
        <v>8</v>
      </c>
      <c r="B665" s="17" t="n">
        <f aca="false">NPV(0.1,D665:Y665)</f>
        <v>196859.286443482</v>
      </c>
      <c r="C665" s="17" t="n">
        <f aca="false">B665-B654</f>
        <v>-1.02079618666903</v>
      </c>
      <c r="D665" s="18" t="n">
        <v>18832.9004385294</v>
      </c>
      <c r="E665" s="19" t="n">
        <v>20833.7465976005</v>
      </c>
      <c r="F665" s="19" t="n">
        <v>21171.6571374941</v>
      </c>
      <c r="G665" s="19" t="n">
        <v>21276.468052825</v>
      </c>
      <c r="H665" s="19" t="n">
        <v>22525.9564221731</v>
      </c>
      <c r="I665" s="19" t="n">
        <v>23310.6896783663</v>
      </c>
      <c r="J665" s="19" t="n">
        <v>23440.3949695167</v>
      </c>
      <c r="K665" s="19" t="n">
        <v>23568.8791223845</v>
      </c>
      <c r="L665" s="19" t="n">
        <v>23701.7072750846</v>
      </c>
      <c r="M665" s="19" t="n">
        <v>23839.0097476121</v>
      </c>
      <c r="N665" s="19" t="n">
        <v>23975.4821557136</v>
      </c>
      <c r="O665" s="20" t="n">
        <v>24899.8617638413</v>
      </c>
      <c r="P665" s="21" t="n">
        <v>24986.1454356009</v>
      </c>
      <c r="Q665" s="21" t="n">
        <v>25061.1491522008</v>
      </c>
      <c r="R665" s="21" t="n">
        <v>25141.3398317765</v>
      </c>
      <c r="S665" s="21" t="n">
        <v>25226.8730832175</v>
      </c>
      <c r="T665" s="21" t="n">
        <v>25285.2775005913</v>
      </c>
      <c r="U665" s="21" t="n">
        <v>25333.0340109128</v>
      </c>
      <c r="V665" s="21" t="n">
        <v>25386.6284937608</v>
      </c>
      <c r="W665" s="21" t="n">
        <v>25544.1311375763</v>
      </c>
      <c r="X665" s="21" t="n">
        <v>25756.7748110779</v>
      </c>
      <c r="Y665" s="0"/>
      <c r="Z665" s="0"/>
      <c r="AA665" s="0"/>
      <c r="AB665" s="0"/>
      <c r="AC665" s="0"/>
      <c r="AD665" s="0"/>
      <c r="AE665" s="0"/>
      <c r="AF665" s="0"/>
      <c r="AG665" s="0"/>
    </row>
    <row r="666" customFormat="false" ht="12.75" hidden="false" customHeight="false" outlineLevel="0" collapsed="false">
      <c r="A666" s="22" t="s">
        <v>9</v>
      </c>
      <c r="B666" s="17" t="n">
        <f aca="false">NPV(0.1,D666:Y666)</f>
        <v>80578.2123600194</v>
      </c>
      <c r="C666" s="17" t="n">
        <f aca="false">B666-B655</f>
        <v>-5.81994307345303</v>
      </c>
      <c r="D666" s="18" t="n">
        <v>-1904.72061722723</v>
      </c>
      <c r="E666" s="19" t="n">
        <v>3433.80955025184</v>
      </c>
      <c r="F666" s="19" t="n">
        <v>3758.26410337169</v>
      </c>
      <c r="G666" s="19" t="n">
        <v>4008.16503138902</v>
      </c>
      <c r="H666" s="19" t="n">
        <v>7885.34281068379</v>
      </c>
      <c r="I666" s="19" t="n">
        <v>10979.8030841295</v>
      </c>
      <c r="J666" s="19" t="n">
        <v>11584.3426155463</v>
      </c>
      <c r="K666" s="19" t="n">
        <v>12038.6969809343</v>
      </c>
      <c r="L666" s="19" t="n">
        <v>12881.6393709793</v>
      </c>
      <c r="M666" s="19" t="n">
        <v>13498.6475720237</v>
      </c>
      <c r="N666" s="19" t="n">
        <v>14644.8027749804</v>
      </c>
      <c r="O666" s="20" t="n">
        <v>14479.863717297</v>
      </c>
      <c r="P666" s="21" t="n">
        <v>15310.7942879823</v>
      </c>
      <c r="Q666" s="21" t="n">
        <v>15713.0969655668</v>
      </c>
      <c r="R666" s="21" t="n">
        <v>16107.0786551481</v>
      </c>
      <c r="S666" s="21" t="n">
        <v>16492.0780719656</v>
      </c>
      <c r="T666" s="21" t="n">
        <v>16887.803683173</v>
      </c>
      <c r="U666" s="21" t="n">
        <v>17444.3960670509</v>
      </c>
      <c r="V666" s="21" t="n">
        <v>18054.2512172137</v>
      </c>
      <c r="W666" s="21" t="n">
        <v>18687.5787614297</v>
      </c>
      <c r="X666" s="21" t="n">
        <v>19356.0057364605</v>
      </c>
      <c r="Y666" s="0"/>
      <c r="Z666" s="0"/>
      <c r="AA666" s="0"/>
      <c r="AB666" s="0"/>
      <c r="AC666" s="0"/>
      <c r="AD666" s="0"/>
      <c r="AE666" s="0"/>
      <c r="AF666" s="0"/>
      <c r="AG666" s="0"/>
    </row>
    <row r="667" customFormat="false" ht="12.75" hidden="false" customHeight="false" outlineLevel="0" collapsed="false">
      <c r="A667" s="22" t="s">
        <v>10</v>
      </c>
      <c r="B667" s="17" t="n">
        <f aca="false">NPV(0.1,D667:Y667)</f>
        <v>83722.4858474123</v>
      </c>
      <c r="C667" s="17" t="n">
        <f aca="false">B667-B656</f>
        <v>1.27467740727298</v>
      </c>
      <c r="D667" s="23" t="n">
        <v>-5718.33482201104</v>
      </c>
      <c r="E667" s="24" t="n">
        <v>3460.10710355251</v>
      </c>
      <c r="F667" s="24" t="n">
        <v>4742.33957958595</v>
      </c>
      <c r="G667" s="24" t="n">
        <v>3400.63743872334</v>
      </c>
      <c r="H667" s="24" t="n">
        <v>13149.9678505367</v>
      </c>
      <c r="I667" s="24" t="n">
        <v>16708.703037175</v>
      </c>
      <c r="J667" s="24" t="n">
        <v>12532.2624442002</v>
      </c>
      <c r="K667" s="24" t="n">
        <v>12983.1468245551</v>
      </c>
      <c r="L667" s="24" t="n">
        <v>10327.6485857851</v>
      </c>
      <c r="M667" s="24" t="n">
        <v>8566.14741564454</v>
      </c>
      <c r="N667" s="24" t="n">
        <v>18433.2233759382</v>
      </c>
      <c r="O667" s="25" t="n">
        <v>18419.3353411911</v>
      </c>
      <c r="P667" s="21" t="n">
        <v>18401.6401366113</v>
      </c>
      <c r="Q667" s="21" t="n">
        <v>18793.2676014666</v>
      </c>
      <c r="R667" s="21" t="n">
        <v>19181.6086622329</v>
      </c>
      <c r="S667" s="21" t="n">
        <v>17868.6565786254</v>
      </c>
      <c r="T667" s="21" t="n">
        <v>13311.3125063195</v>
      </c>
      <c r="U667" s="21" t="n">
        <v>12542.2377986532</v>
      </c>
      <c r="V667" s="21" t="n">
        <v>11238.8429488159</v>
      </c>
      <c r="W667" s="21" t="n">
        <v>10694.5655422971</v>
      </c>
      <c r="X667" s="21" t="n">
        <v>22218.6932138667</v>
      </c>
      <c r="Y667" s="0"/>
      <c r="Z667" s="0"/>
      <c r="AA667" s="0"/>
      <c r="AB667" s="0"/>
      <c r="AC667" s="0"/>
      <c r="AD667" s="0"/>
      <c r="AE667" s="0"/>
      <c r="AF667" s="0"/>
      <c r="AG667" s="0"/>
    </row>
    <row r="668" customFormat="false" ht="12.75" hidden="false" customHeight="false" outlineLevel="0" collapsed="false">
      <c r="A668" s="5"/>
      <c r="B668" s="5"/>
      <c r="C668" s="5"/>
      <c r="D668" s="0"/>
      <c r="E668" s="0"/>
      <c r="F668" s="0"/>
      <c r="G668" s="0"/>
      <c r="H668" s="0"/>
      <c r="I668" s="0"/>
      <c r="J668" s="0"/>
      <c r="K668" s="0"/>
      <c r="L668" s="0"/>
      <c r="M668" s="0"/>
      <c r="N668" s="0"/>
      <c r="O668" s="0"/>
      <c r="P668" s="0"/>
      <c r="Q668" s="0"/>
      <c r="R668" s="0"/>
      <c r="S668" s="0"/>
      <c r="T668" s="0"/>
      <c r="U668" s="0"/>
      <c r="V668" s="0"/>
      <c r="W668" s="0"/>
      <c r="X668" s="0"/>
      <c r="Y668" s="0"/>
      <c r="Z668" s="0"/>
      <c r="AA668" s="0"/>
      <c r="AB668" s="0"/>
      <c r="AC668" s="0"/>
      <c r="AD668" s="0"/>
      <c r="AE668" s="0"/>
      <c r="AF668" s="0"/>
      <c r="AG668" s="0"/>
    </row>
    <row r="669" customFormat="false" ht="12.75" hidden="false" customHeight="false" outlineLevel="0" collapsed="false">
      <c r="A669" s="5"/>
      <c r="B669" s="5"/>
      <c r="C669" s="5"/>
      <c r="D669" s="0"/>
      <c r="E669" s="0"/>
      <c r="F669" s="0"/>
      <c r="G669" s="0"/>
      <c r="H669" s="0"/>
      <c r="I669" s="0"/>
      <c r="J669" s="0"/>
      <c r="K669" s="0"/>
      <c r="L669" s="0"/>
      <c r="M669" s="0"/>
      <c r="N669" s="0"/>
      <c r="O669" s="0"/>
      <c r="P669" s="0"/>
      <c r="Q669" s="0"/>
      <c r="R669" s="0"/>
      <c r="S669" s="0"/>
      <c r="T669" s="0"/>
      <c r="U669" s="0"/>
      <c r="V669" s="0"/>
      <c r="W669" s="0"/>
      <c r="X669" s="0"/>
      <c r="Y669" s="0"/>
      <c r="Z669" s="0"/>
      <c r="AA669" s="0"/>
      <c r="AB669" s="0"/>
      <c r="AC669" s="0"/>
      <c r="AD669" s="0"/>
      <c r="AE669" s="0"/>
      <c r="AF669" s="0"/>
      <c r="AG669" s="0"/>
    </row>
    <row r="670" customFormat="false" ht="12.75" hidden="false" customHeight="false" outlineLevel="0" collapsed="false">
      <c r="A670" s="26" t="s">
        <v>78</v>
      </c>
      <c r="B670" s="5"/>
      <c r="C670" s="5"/>
      <c r="D670" s="0"/>
      <c r="E670" s="0"/>
      <c r="F670" s="0"/>
      <c r="G670" s="0"/>
      <c r="H670" s="0"/>
      <c r="I670" s="0"/>
      <c r="J670" s="0"/>
      <c r="K670" s="0"/>
      <c r="L670" s="0"/>
      <c r="M670" s="0"/>
      <c r="N670" s="0"/>
      <c r="O670" s="0"/>
      <c r="P670" s="0"/>
      <c r="Q670" s="0"/>
      <c r="R670" s="0"/>
      <c r="S670" s="0"/>
      <c r="T670" s="0"/>
      <c r="U670" s="0"/>
      <c r="V670" s="0"/>
      <c r="W670" s="0"/>
      <c r="X670" s="0"/>
      <c r="Y670" s="0"/>
      <c r="Z670" s="0"/>
      <c r="AA670" s="0"/>
      <c r="AB670" s="0"/>
      <c r="AC670" s="0"/>
      <c r="AD670" s="0"/>
      <c r="AE670" s="0"/>
      <c r="AF670" s="0"/>
      <c r="AG670" s="0"/>
    </row>
    <row r="671" customFormat="false" ht="12.75" hidden="false" customHeight="false" outlineLevel="0" collapsed="false">
      <c r="A671" s="28" t="n">
        <v>36433</v>
      </c>
      <c r="B671" s="5"/>
      <c r="C671" s="5"/>
      <c r="D671" s="0"/>
      <c r="E671" s="0"/>
      <c r="F671" s="0"/>
      <c r="G671" s="0"/>
      <c r="H671" s="0"/>
      <c r="I671" s="0"/>
      <c r="J671" s="0"/>
      <c r="K671" s="0"/>
      <c r="L671" s="0"/>
      <c r="M671" s="0"/>
      <c r="N671" s="0"/>
      <c r="O671" s="0"/>
      <c r="P671" s="0"/>
      <c r="Q671" s="0"/>
      <c r="R671" s="0"/>
      <c r="S671" s="0"/>
      <c r="T671" s="0"/>
      <c r="U671" s="0"/>
      <c r="V671" s="0"/>
      <c r="W671" s="0"/>
      <c r="X671" s="0"/>
      <c r="Y671" s="0"/>
      <c r="Z671" s="0"/>
      <c r="AA671" s="0"/>
      <c r="AB671" s="0"/>
      <c r="AC671" s="0"/>
      <c r="AD671" s="0"/>
      <c r="AE671" s="0"/>
      <c r="AF671" s="0"/>
      <c r="AG671" s="0"/>
    </row>
    <row r="672" customFormat="false" ht="12.75" hidden="false" customHeight="false" outlineLevel="0" collapsed="false">
      <c r="A672" s="7" t="s">
        <v>2</v>
      </c>
      <c r="B672" s="8" t="n">
        <v>36761.2041452235</v>
      </c>
      <c r="C672" s="5"/>
      <c r="D672" s="0"/>
      <c r="E672" s="0"/>
      <c r="F672" s="0"/>
      <c r="G672" s="0"/>
      <c r="H672" s="0"/>
      <c r="I672" s="0"/>
      <c r="J672" s="0"/>
      <c r="K672" s="0"/>
      <c r="L672" s="0"/>
      <c r="M672" s="0"/>
      <c r="N672" s="0"/>
      <c r="O672" s="0"/>
      <c r="P672" s="0"/>
      <c r="Q672" s="0"/>
      <c r="R672" s="0"/>
      <c r="S672" s="0"/>
      <c r="T672" s="0"/>
      <c r="U672" s="0"/>
      <c r="V672" s="0"/>
      <c r="W672" s="0"/>
      <c r="X672" s="0"/>
      <c r="Y672" s="0"/>
      <c r="Z672" s="0"/>
      <c r="AA672" s="0"/>
      <c r="AB672" s="0"/>
      <c r="AC672" s="0"/>
      <c r="AD672" s="0"/>
      <c r="AE672" s="0"/>
      <c r="AF672" s="0"/>
      <c r="AG672" s="0"/>
    </row>
    <row r="673" customFormat="false" ht="12.75" hidden="false" customHeight="false" outlineLevel="0" collapsed="false">
      <c r="A673" s="9" t="s">
        <v>3</v>
      </c>
      <c r="B673" s="31" t="n">
        <v>66623.6306913882</v>
      </c>
      <c r="C673" s="5"/>
      <c r="D673" s="0"/>
      <c r="E673" s="0"/>
      <c r="F673" s="0"/>
      <c r="G673" s="0"/>
      <c r="H673" s="0"/>
      <c r="I673" s="0"/>
      <c r="J673" s="0"/>
      <c r="K673" s="0"/>
      <c r="L673" s="0"/>
      <c r="M673" s="0"/>
      <c r="N673" s="0"/>
      <c r="O673" s="0"/>
      <c r="P673" s="0"/>
      <c r="Q673" s="0"/>
      <c r="R673" s="0"/>
      <c r="S673" s="0"/>
      <c r="T673" s="0"/>
      <c r="U673" s="0"/>
      <c r="V673" s="0"/>
      <c r="W673" s="0"/>
      <c r="X673" s="0"/>
      <c r="Y673" s="0"/>
      <c r="Z673" s="0"/>
      <c r="AA673" s="0"/>
      <c r="AB673" s="0"/>
      <c r="AC673" s="0"/>
      <c r="AD673" s="0"/>
      <c r="AE673" s="0"/>
      <c r="AF673" s="0"/>
      <c r="AG673" s="0"/>
    </row>
    <row r="674" customFormat="false" ht="12.75" hidden="false" customHeight="false" outlineLevel="0" collapsed="false">
      <c r="A674" s="11" t="s">
        <v>4</v>
      </c>
      <c r="B674" s="12" t="s">
        <v>5</v>
      </c>
      <c r="C674" s="12" t="s">
        <v>6</v>
      </c>
      <c r="D674" s="13" t="n">
        <v>1999</v>
      </c>
      <c r="E674" s="14" t="n">
        <v>2000</v>
      </c>
      <c r="F674" s="14" t="n">
        <v>2001</v>
      </c>
      <c r="G674" s="14" t="n">
        <v>2002</v>
      </c>
      <c r="H674" s="14" t="n">
        <v>2003</v>
      </c>
      <c r="I674" s="14" t="n">
        <v>2004</v>
      </c>
      <c r="J674" s="14" t="n">
        <v>2005</v>
      </c>
      <c r="K674" s="14" t="n">
        <v>2006</v>
      </c>
      <c r="L674" s="14" t="n">
        <v>2007</v>
      </c>
      <c r="M674" s="14" t="n">
        <v>2008</v>
      </c>
      <c r="N674" s="14" t="n">
        <v>2009</v>
      </c>
      <c r="O674" s="15" t="n">
        <v>2010</v>
      </c>
      <c r="P674" s="16" t="n">
        <v>2011</v>
      </c>
      <c r="Q674" s="16" t="n">
        <v>2012</v>
      </c>
      <c r="R674" s="16" t="n">
        <v>2013</v>
      </c>
      <c r="S674" s="16" t="n">
        <v>2014</v>
      </c>
      <c r="T674" s="16" t="n">
        <v>2015</v>
      </c>
      <c r="U674" s="16" t="n">
        <v>2016</v>
      </c>
      <c r="V674" s="16" t="n">
        <v>2017</v>
      </c>
      <c r="W674" s="16" t="n">
        <v>2018</v>
      </c>
      <c r="X674" s="16" t="n">
        <v>2019</v>
      </c>
      <c r="Y674" s="0"/>
      <c r="Z674" s="0"/>
      <c r="AA674" s="0"/>
      <c r="AB674" s="0"/>
      <c r="AC674" s="0"/>
      <c r="AD674" s="0"/>
      <c r="AE674" s="0"/>
      <c r="AF674" s="0"/>
      <c r="AG674" s="0"/>
    </row>
    <row r="675" customFormat="false" ht="12.75" hidden="false" customHeight="false" outlineLevel="0" collapsed="false">
      <c r="A675" s="11" t="s">
        <v>7</v>
      </c>
      <c r="B675" s="17" t="n">
        <f aca="false">NPV(0.1,D675:Y675)</f>
        <v>418867.165581224</v>
      </c>
      <c r="C675" s="17" t="n">
        <f aca="false">B675-B664</f>
        <v>0</v>
      </c>
      <c r="D675" s="18" t="n">
        <v>26898.21696</v>
      </c>
      <c r="E675" s="19" t="n">
        <v>40079.9158149774</v>
      </c>
      <c r="F675" s="19" t="n">
        <v>40673.1613422172</v>
      </c>
      <c r="G675" s="19" t="n">
        <v>40731.6409776837</v>
      </c>
      <c r="H675" s="19" t="n">
        <v>47605.8401142549</v>
      </c>
      <c r="I675" s="19" t="n">
        <v>52769.7658852343</v>
      </c>
      <c r="J675" s="19" t="n">
        <v>53213.7751206579</v>
      </c>
      <c r="K675" s="19" t="n">
        <v>53653.2595037859</v>
      </c>
      <c r="L675" s="19" t="n">
        <v>54718.6111930403</v>
      </c>
      <c r="M675" s="19" t="n">
        <v>55165.9282773646</v>
      </c>
      <c r="N675" s="19" t="n">
        <v>56276.6600298264</v>
      </c>
      <c r="O675" s="20" t="n">
        <v>56731.1338742778</v>
      </c>
      <c r="P675" s="21" t="n">
        <v>57888.8217946469</v>
      </c>
      <c r="Q675" s="21" t="n">
        <v>58349.6650785334</v>
      </c>
      <c r="R675" s="21" t="n">
        <v>58802.3864027137</v>
      </c>
      <c r="S675" s="21" t="n">
        <v>59246.0836906499</v>
      </c>
      <c r="T675" s="21" t="n">
        <v>59679.8080509755</v>
      </c>
      <c r="U675" s="21" t="n">
        <v>60102.5617804749</v>
      </c>
      <c r="V675" s="21" t="n">
        <v>60513.2962893742</v>
      </c>
      <c r="W675" s="21" t="n">
        <v>60910.9099460808</v>
      </c>
      <c r="X675" s="21" t="n">
        <v>61294.2458384051</v>
      </c>
      <c r="Y675" s="0"/>
      <c r="Z675" s="0"/>
      <c r="AA675" s="0"/>
      <c r="AB675" s="0"/>
      <c r="AC675" s="0"/>
      <c r="AD675" s="0"/>
      <c r="AE675" s="0"/>
      <c r="AF675" s="0"/>
      <c r="AG675" s="0"/>
    </row>
    <row r="676" customFormat="false" ht="12.75" hidden="false" customHeight="false" outlineLevel="0" collapsed="false">
      <c r="A676" s="22" t="s">
        <v>8</v>
      </c>
      <c r="B676" s="17" t="n">
        <f aca="false">NPV(0.1,D676:Y676)</f>
        <v>196859.286443482</v>
      </c>
      <c r="C676" s="17" t="n">
        <f aca="false">B676-B665</f>
        <v>0</v>
      </c>
      <c r="D676" s="18" t="n">
        <v>18832.9004385294</v>
      </c>
      <c r="E676" s="19" t="n">
        <v>20833.7465976005</v>
      </c>
      <c r="F676" s="19" t="n">
        <v>21171.6571374941</v>
      </c>
      <c r="G676" s="19" t="n">
        <v>21276.468052825</v>
      </c>
      <c r="H676" s="19" t="n">
        <v>22525.9564221731</v>
      </c>
      <c r="I676" s="19" t="n">
        <v>23310.6896783663</v>
      </c>
      <c r="J676" s="19" t="n">
        <v>23440.3949695167</v>
      </c>
      <c r="K676" s="19" t="n">
        <v>23568.8791223845</v>
      </c>
      <c r="L676" s="19" t="n">
        <v>23701.7072750846</v>
      </c>
      <c r="M676" s="19" t="n">
        <v>23839.0097476121</v>
      </c>
      <c r="N676" s="19" t="n">
        <v>23975.4821557136</v>
      </c>
      <c r="O676" s="20" t="n">
        <v>24899.8617638413</v>
      </c>
      <c r="P676" s="21" t="n">
        <v>24986.1454356009</v>
      </c>
      <c r="Q676" s="21" t="n">
        <v>25061.1491522008</v>
      </c>
      <c r="R676" s="21" t="n">
        <v>25141.3398317765</v>
      </c>
      <c r="S676" s="21" t="n">
        <v>25226.8730832175</v>
      </c>
      <c r="T676" s="21" t="n">
        <v>25285.2775005913</v>
      </c>
      <c r="U676" s="21" t="n">
        <v>25333.0340109128</v>
      </c>
      <c r="V676" s="21" t="n">
        <v>25386.6284937608</v>
      </c>
      <c r="W676" s="21" t="n">
        <v>25544.1311375763</v>
      </c>
      <c r="X676" s="21" t="n">
        <v>25756.7748110779</v>
      </c>
      <c r="Y676" s="0"/>
      <c r="Z676" s="0"/>
      <c r="AA676" s="0"/>
      <c r="AB676" s="0"/>
      <c r="AC676" s="0"/>
      <c r="AD676" s="0"/>
      <c r="AE676" s="0"/>
      <c r="AF676" s="0"/>
      <c r="AG676" s="0"/>
    </row>
    <row r="677" customFormat="false" ht="12.75" hidden="false" customHeight="false" outlineLevel="0" collapsed="false">
      <c r="A677" s="22" t="s">
        <v>9</v>
      </c>
      <c r="B677" s="17" t="n">
        <f aca="false">NPV(0.1,D677:Y677)</f>
        <v>80566.4360422012</v>
      </c>
      <c r="C677" s="17" t="n">
        <f aca="false">B677-B666</f>
        <v>-11.7763178182213</v>
      </c>
      <c r="D677" s="18" t="n">
        <v>-1906.08750493556</v>
      </c>
      <c r="E677" s="19" t="n">
        <v>3430.52901975184</v>
      </c>
      <c r="F677" s="19" t="n">
        <v>3754.98357287169</v>
      </c>
      <c r="G677" s="19" t="n">
        <v>4004.88450088902</v>
      </c>
      <c r="H677" s="19" t="n">
        <v>7882.06228018379</v>
      </c>
      <c r="I677" s="19" t="n">
        <v>10977.8894413378</v>
      </c>
      <c r="J677" s="19" t="n">
        <v>11584.3426155463</v>
      </c>
      <c r="K677" s="19" t="n">
        <v>12038.6969809343</v>
      </c>
      <c r="L677" s="19" t="n">
        <v>12881.6393709793</v>
      </c>
      <c r="M677" s="19" t="n">
        <v>13498.6475720237</v>
      </c>
      <c r="N677" s="19" t="n">
        <v>14644.8027749804</v>
      </c>
      <c r="O677" s="20" t="n">
        <v>14479.863717297</v>
      </c>
      <c r="P677" s="21" t="n">
        <v>15310.7942879823</v>
      </c>
      <c r="Q677" s="21" t="n">
        <v>15713.0969655668</v>
      </c>
      <c r="R677" s="21" t="n">
        <v>16107.0786551481</v>
      </c>
      <c r="S677" s="21" t="n">
        <v>16492.0780719656</v>
      </c>
      <c r="T677" s="21" t="n">
        <v>16887.803683173</v>
      </c>
      <c r="U677" s="21" t="n">
        <v>17444.3960670509</v>
      </c>
      <c r="V677" s="21" t="n">
        <v>18054.2512172137</v>
      </c>
      <c r="W677" s="21" t="n">
        <v>18687.5787614297</v>
      </c>
      <c r="X677" s="21" t="n">
        <v>19356.0057364605</v>
      </c>
      <c r="Y677" s="0"/>
      <c r="Z677" s="0"/>
      <c r="AA677" s="0"/>
      <c r="AB677" s="0"/>
      <c r="AC677" s="0"/>
      <c r="AD677" s="0"/>
      <c r="AE677" s="0"/>
      <c r="AF677" s="0"/>
      <c r="AG677" s="0"/>
    </row>
    <row r="678" customFormat="false" ht="12.75" hidden="false" customHeight="false" outlineLevel="0" collapsed="false">
      <c r="A678" s="22" t="s">
        <v>10</v>
      </c>
      <c r="B678" s="17" t="n">
        <f aca="false">NPV(0.1,D678:Y678)</f>
        <v>83728.2210986964</v>
      </c>
      <c r="C678" s="17" t="n">
        <f aca="false">B678-B667</f>
        <v>5.73525128404435</v>
      </c>
      <c r="D678" s="23" t="n">
        <v>-5718.33482201104</v>
      </c>
      <c r="E678" s="24" t="n">
        <v>3460.10710355251</v>
      </c>
      <c r="F678" s="24" t="n">
        <v>4742.33957958596</v>
      </c>
      <c r="G678" s="24" t="n">
        <v>3400.63743872334</v>
      </c>
      <c r="H678" s="24" t="n">
        <v>13149.9678505367</v>
      </c>
      <c r="I678" s="24" t="n">
        <v>16718.863384675</v>
      </c>
      <c r="J678" s="24" t="n">
        <v>12532.2624442002</v>
      </c>
      <c r="K678" s="24" t="n">
        <v>12983.1468245551</v>
      </c>
      <c r="L678" s="24" t="n">
        <v>10327.6485857851</v>
      </c>
      <c r="M678" s="24" t="n">
        <v>8566.14741564454</v>
      </c>
      <c r="N678" s="24" t="n">
        <v>18433.2233759382</v>
      </c>
      <c r="O678" s="25" t="n">
        <v>18419.3353411911</v>
      </c>
      <c r="P678" s="21" t="n">
        <v>18401.6401366113</v>
      </c>
      <c r="Q678" s="21" t="n">
        <v>18793.2676014666</v>
      </c>
      <c r="R678" s="21" t="n">
        <v>19181.6086622329</v>
      </c>
      <c r="S678" s="21" t="n">
        <v>17868.6565786254</v>
      </c>
      <c r="T678" s="21" t="n">
        <v>13311.3125063195</v>
      </c>
      <c r="U678" s="21" t="n">
        <v>12542.2377986532</v>
      </c>
      <c r="V678" s="21" t="n">
        <v>11238.8429488159</v>
      </c>
      <c r="W678" s="21" t="n">
        <v>10694.5655422971</v>
      </c>
      <c r="X678" s="21" t="n">
        <v>22218.6932138667</v>
      </c>
      <c r="Y678" s="0"/>
      <c r="Z678" s="0"/>
      <c r="AA678" s="0"/>
      <c r="AB678" s="0"/>
      <c r="AC678" s="0"/>
      <c r="AD678" s="0"/>
      <c r="AE678" s="0"/>
      <c r="AF678" s="0"/>
      <c r="AG678" s="0"/>
    </row>
    <row r="679" customFormat="false" ht="12.75" hidden="false" customHeight="false" outlineLevel="0" collapsed="false">
      <c r="A679" s="5"/>
      <c r="B679" s="5"/>
      <c r="C679" s="5"/>
      <c r="D679" s="0"/>
      <c r="E679" s="0"/>
      <c r="F679" s="0"/>
      <c r="G679" s="0"/>
      <c r="H679" s="0"/>
      <c r="I679" s="0"/>
      <c r="J679" s="0"/>
      <c r="K679" s="0"/>
      <c r="L679" s="0"/>
      <c r="M679" s="0"/>
      <c r="N679" s="0"/>
      <c r="O679" s="0"/>
      <c r="P679" s="0"/>
      <c r="Q679" s="0"/>
      <c r="R679" s="0"/>
      <c r="S679" s="0"/>
      <c r="T679" s="0"/>
      <c r="U679" s="0"/>
      <c r="V679" s="0"/>
      <c r="W679" s="0"/>
      <c r="X679" s="0"/>
      <c r="Y679" s="0"/>
      <c r="Z679" s="0"/>
      <c r="AA679" s="0"/>
      <c r="AB679" s="0"/>
      <c r="AC679" s="0"/>
      <c r="AD679" s="0"/>
      <c r="AE679" s="0"/>
      <c r="AF679" s="0"/>
      <c r="AG679" s="0"/>
    </row>
    <row r="680" customFormat="false" ht="12.75" hidden="false" customHeight="false" outlineLevel="0" collapsed="false">
      <c r="A680" s="5"/>
      <c r="B680" s="5"/>
      <c r="C680" s="5"/>
      <c r="D680" s="0"/>
      <c r="E680" s="0"/>
      <c r="F680" s="0"/>
      <c r="G680" s="0"/>
      <c r="H680" s="0"/>
      <c r="I680" s="0"/>
      <c r="J680" s="0"/>
      <c r="K680" s="0"/>
      <c r="L680" s="0"/>
      <c r="M680" s="0"/>
      <c r="N680" s="0"/>
      <c r="O680" s="0"/>
      <c r="P680" s="0"/>
      <c r="Q680" s="0"/>
      <c r="R680" s="0"/>
      <c r="S680" s="0"/>
      <c r="T680" s="0"/>
      <c r="U680" s="0"/>
      <c r="V680" s="0"/>
      <c r="W680" s="0"/>
      <c r="X680" s="0"/>
      <c r="Y680" s="0"/>
      <c r="Z680" s="0"/>
      <c r="AA680" s="0"/>
      <c r="AB680" s="0"/>
      <c r="AC680" s="0"/>
      <c r="AD680" s="0"/>
      <c r="AE680" s="0"/>
      <c r="AF680" s="0"/>
      <c r="AG680" s="0"/>
    </row>
    <row r="681" customFormat="false" ht="12.75" hidden="false" customHeight="false" outlineLevel="0" collapsed="false">
      <c r="A681" s="26" t="s">
        <v>79</v>
      </c>
      <c r="B681" s="5"/>
      <c r="C681" s="5"/>
      <c r="D681" s="0"/>
      <c r="E681" s="0"/>
      <c r="F681" s="0"/>
      <c r="G681" s="0"/>
      <c r="H681" s="0"/>
      <c r="I681" s="0"/>
      <c r="J681" s="0"/>
      <c r="K681" s="0"/>
      <c r="L681" s="0"/>
      <c r="M681" s="0"/>
      <c r="N681" s="0"/>
      <c r="O681" s="0"/>
      <c r="P681" s="0"/>
      <c r="Q681" s="0"/>
      <c r="R681" s="0"/>
      <c r="S681" s="0"/>
      <c r="T681" s="0"/>
      <c r="U681" s="0"/>
      <c r="V681" s="0"/>
      <c r="W681" s="0"/>
      <c r="X681" s="0"/>
      <c r="Y681" s="0"/>
      <c r="Z681" s="0"/>
      <c r="AA681" s="0"/>
      <c r="AB681" s="0"/>
      <c r="AC681" s="0"/>
      <c r="AD681" s="0"/>
      <c r="AE681" s="0"/>
      <c r="AF681" s="0"/>
      <c r="AG681" s="0"/>
    </row>
    <row r="682" customFormat="false" ht="12.75" hidden="false" customHeight="false" outlineLevel="0" collapsed="false">
      <c r="A682" s="28" t="n">
        <v>36438</v>
      </c>
      <c r="B682" s="5"/>
      <c r="C682" s="5"/>
      <c r="D682" s="0"/>
      <c r="E682" s="0"/>
      <c r="F682" s="0"/>
      <c r="G682" s="0"/>
      <c r="H682" s="0"/>
      <c r="I682" s="0"/>
      <c r="J682" s="0"/>
      <c r="K682" s="0"/>
      <c r="L682" s="0"/>
      <c r="M682" s="0"/>
      <c r="N682" s="0"/>
      <c r="O682" s="0"/>
      <c r="P682" s="0"/>
      <c r="Q682" s="0"/>
      <c r="R682" s="0"/>
      <c r="S682" s="0"/>
      <c r="T682" s="0"/>
      <c r="U682" s="0"/>
      <c r="V682" s="0"/>
      <c r="W682" s="0"/>
      <c r="X682" s="0"/>
      <c r="Y682" s="0"/>
      <c r="Z682" s="0"/>
      <c r="AA682" s="0"/>
      <c r="AB682" s="0"/>
      <c r="AC682" s="0"/>
      <c r="AD682" s="0"/>
      <c r="AE682" s="0"/>
      <c r="AF682" s="0"/>
      <c r="AG682" s="0"/>
    </row>
    <row r="683" customFormat="false" ht="12.75" hidden="false" customHeight="false" outlineLevel="0" collapsed="false">
      <c r="A683" s="7" t="s">
        <v>2</v>
      </c>
      <c r="B683" s="8" t="n">
        <v>37033.7833815264</v>
      </c>
      <c r="C683" s="5"/>
      <c r="D683" s="0"/>
      <c r="E683" s="0"/>
      <c r="F683" s="0"/>
      <c r="G683" s="0"/>
      <c r="H683" s="0"/>
      <c r="I683" s="0"/>
      <c r="J683" s="0"/>
      <c r="K683" s="0"/>
      <c r="L683" s="0"/>
      <c r="M683" s="0"/>
      <c r="N683" s="0"/>
      <c r="O683" s="0"/>
      <c r="P683" s="0"/>
      <c r="Q683" s="0"/>
      <c r="R683" s="0"/>
      <c r="S683" s="0"/>
      <c r="T683" s="0"/>
      <c r="U683" s="0"/>
      <c r="V683" s="0"/>
      <c r="W683" s="0"/>
      <c r="X683" s="0"/>
      <c r="Y683" s="0"/>
      <c r="Z683" s="0"/>
      <c r="AA683" s="0"/>
      <c r="AB683" s="0"/>
      <c r="AC683" s="0"/>
      <c r="AD683" s="0"/>
      <c r="AE683" s="0"/>
      <c r="AF683" s="0"/>
      <c r="AG683" s="0"/>
    </row>
    <row r="684" customFormat="false" ht="12.75" hidden="false" customHeight="false" outlineLevel="0" collapsed="false">
      <c r="A684" s="9" t="s">
        <v>3</v>
      </c>
      <c r="B684" s="31" t="n">
        <v>66947.1286913882</v>
      </c>
      <c r="C684" s="5"/>
      <c r="D684" s="0"/>
      <c r="E684" s="0"/>
      <c r="F684" s="0"/>
      <c r="G684" s="0"/>
      <c r="H684" s="0"/>
      <c r="I684" s="0"/>
      <c r="J684" s="0"/>
      <c r="K684" s="0"/>
      <c r="L684" s="0"/>
      <c r="M684" s="0"/>
      <c r="N684" s="0"/>
      <c r="O684" s="0"/>
      <c r="P684" s="0"/>
      <c r="Q684" s="0"/>
      <c r="R684" s="0"/>
      <c r="S684" s="0"/>
      <c r="T684" s="0"/>
      <c r="U684" s="0"/>
      <c r="V684" s="0"/>
      <c r="W684" s="0"/>
      <c r="X684" s="0"/>
      <c r="Y684" s="0"/>
      <c r="Z684" s="0"/>
      <c r="AA684" s="0"/>
      <c r="AB684" s="0"/>
      <c r="AC684" s="0"/>
      <c r="AD684" s="0"/>
      <c r="AE684" s="0"/>
      <c r="AF684" s="0"/>
      <c r="AG684" s="0"/>
    </row>
    <row r="685" customFormat="false" ht="12.75" hidden="false" customHeight="false" outlineLevel="0" collapsed="false">
      <c r="A685" s="11" t="s">
        <v>4</v>
      </c>
      <c r="B685" s="12" t="s">
        <v>5</v>
      </c>
      <c r="C685" s="12" t="s">
        <v>6</v>
      </c>
      <c r="D685" s="13" t="n">
        <v>1999</v>
      </c>
      <c r="E685" s="14" t="n">
        <v>2000</v>
      </c>
      <c r="F685" s="14" t="n">
        <v>2001</v>
      </c>
      <c r="G685" s="14" t="n">
        <v>2002</v>
      </c>
      <c r="H685" s="14" t="n">
        <v>2003</v>
      </c>
      <c r="I685" s="14" t="n">
        <v>2004</v>
      </c>
      <c r="J685" s="14" t="n">
        <v>2005</v>
      </c>
      <c r="K685" s="14" t="n">
        <v>2006</v>
      </c>
      <c r="L685" s="14" t="n">
        <v>2007</v>
      </c>
      <c r="M685" s="14" t="n">
        <v>2008</v>
      </c>
      <c r="N685" s="14" t="n">
        <v>2009</v>
      </c>
      <c r="O685" s="15" t="n">
        <v>2010</v>
      </c>
      <c r="P685" s="16" t="n">
        <v>2011</v>
      </c>
      <c r="Q685" s="16" t="n">
        <v>2012</v>
      </c>
      <c r="R685" s="16" t="n">
        <v>2013</v>
      </c>
      <c r="S685" s="16" t="n">
        <v>2014</v>
      </c>
      <c r="T685" s="16" t="n">
        <v>2015</v>
      </c>
      <c r="U685" s="16" t="n">
        <v>2016</v>
      </c>
      <c r="V685" s="16" t="n">
        <v>2017</v>
      </c>
      <c r="W685" s="16" t="n">
        <v>2018</v>
      </c>
      <c r="X685" s="16" t="n">
        <v>2019</v>
      </c>
      <c r="Y685" s="0"/>
      <c r="Z685" s="0"/>
      <c r="AA685" s="0"/>
      <c r="AB685" s="0"/>
      <c r="AC685" s="0"/>
      <c r="AD685" s="0"/>
      <c r="AE685" s="0"/>
      <c r="AF685" s="0"/>
      <c r="AG685" s="0"/>
    </row>
    <row r="686" customFormat="false" ht="12.75" hidden="false" customHeight="false" outlineLevel="0" collapsed="false">
      <c r="A686" s="11" t="s">
        <v>7</v>
      </c>
      <c r="B686" s="17" t="n">
        <f aca="false">NPV(0.1,D686:Y686)</f>
        <v>418867.165581224</v>
      </c>
      <c r="C686" s="17" t="n">
        <f aca="false">B686-B675</f>
        <v>0</v>
      </c>
      <c r="D686" s="18" t="n">
        <v>26898.21696</v>
      </c>
      <c r="E686" s="19" t="n">
        <v>40079.9158149774</v>
      </c>
      <c r="F686" s="19" t="n">
        <v>40673.1613422172</v>
      </c>
      <c r="G686" s="19" t="n">
        <v>40731.6409776837</v>
      </c>
      <c r="H686" s="19" t="n">
        <v>47605.8401142549</v>
      </c>
      <c r="I686" s="19" t="n">
        <v>52769.7658852343</v>
      </c>
      <c r="J686" s="19" t="n">
        <v>53213.7751206579</v>
      </c>
      <c r="K686" s="19" t="n">
        <v>53653.2595037859</v>
      </c>
      <c r="L686" s="19" t="n">
        <v>54718.6111930403</v>
      </c>
      <c r="M686" s="19" t="n">
        <v>55165.9282773646</v>
      </c>
      <c r="N686" s="19" t="n">
        <v>56276.6600298264</v>
      </c>
      <c r="O686" s="20" t="n">
        <v>56731.1338742778</v>
      </c>
      <c r="P686" s="21" t="n">
        <v>57888.8217946469</v>
      </c>
      <c r="Q686" s="21" t="n">
        <v>58349.6650785334</v>
      </c>
      <c r="R686" s="21" t="n">
        <v>58802.3864027137</v>
      </c>
      <c r="S686" s="21" t="n">
        <v>59246.0836906499</v>
      </c>
      <c r="T686" s="21" t="n">
        <v>59679.8080509755</v>
      </c>
      <c r="U686" s="21" t="n">
        <v>60102.5617804749</v>
      </c>
      <c r="V686" s="21" t="n">
        <v>60513.2962893742</v>
      </c>
      <c r="W686" s="21" t="n">
        <v>60910.9099460808</v>
      </c>
      <c r="X686" s="21" t="n">
        <v>61294.2458384051</v>
      </c>
      <c r="Y686" s="0"/>
      <c r="Z686" s="0"/>
      <c r="AA686" s="0"/>
      <c r="AB686" s="0"/>
      <c r="AC686" s="0"/>
      <c r="AD686" s="0"/>
      <c r="AE686" s="0"/>
      <c r="AF686" s="0"/>
      <c r="AG686" s="0"/>
    </row>
    <row r="687" customFormat="false" ht="12.75" hidden="false" customHeight="false" outlineLevel="0" collapsed="false">
      <c r="A687" s="22" t="s">
        <v>8</v>
      </c>
      <c r="B687" s="17" t="n">
        <f aca="false">NPV(0.1,D687:Y687)</f>
        <v>196859.286443482</v>
      </c>
      <c r="C687" s="17" t="n">
        <f aca="false">B687-B676</f>
        <v>0</v>
      </c>
      <c r="D687" s="18" t="n">
        <v>18832.9004385294</v>
      </c>
      <c r="E687" s="19" t="n">
        <v>20833.7465976005</v>
      </c>
      <c r="F687" s="19" t="n">
        <v>21171.6571374941</v>
      </c>
      <c r="G687" s="19" t="n">
        <v>21276.468052825</v>
      </c>
      <c r="H687" s="19" t="n">
        <v>22525.9564221731</v>
      </c>
      <c r="I687" s="19" t="n">
        <v>23310.6896783663</v>
      </c>
      <c r="J687" s="19" t="n">
        <v>23440.3949695167</v>
      </c>
      <c r="K687" s="19" t="n">
        <v>23568.8791223845</v>
      </c>
      <c r="L687" s="19" t="n">
        <v>23701.7072750846</v>
      </c>
      <c r="M687" s="19" t="n">
        <v>23839.0097476121</v>
      </c>
      <c r="N687" s="19" t="n">
        <v>23975.4821557136</v>
      </c>
      <c r="O687" s="20" t="n">
        <v>24899.8617638413</v>
      </c>
      <c r="P687" s="21" t="n">
        <v>24986.1454356009</v>
      </c>
      <c r="Q687" s="21" t="n">
        <v>25061.1491522008</v>
      </c>
      <c r="R687" s="21" t="n">
        <v>25141.3398317765</v>
      </c>
      <c r="S687" s="21" t="n">
        <v>25226.8730832175</v>
      </c>
      <c r="T687" s="21" t="n">
        <v>25285.2775005913</v>
      </c>
      <c r="U687" s="21" t="n">
        <v>25333.0340109128</v>
      </c>
      <c r="V687" s="21" t="n">
        <v>25386.6284937608</v>
      </c>
      <c r="W687" s="21" t="n">
        <v>25544.1311375763</v>
      </c>
      <c r="X687" s="21" t="n">
        <v>25756.7748110779</v>
      </c>
      <c r="Y687" s="0"/>
      <c r="Z687" s="0"/>
      <c r="AA687" s="0"/>
      <c r="AB687" s="0"/>
      <c r="AC687" s="0"/>
      <c r="AD687" s="0"/>
      <c r="AE687" s="0"/>
      <c r="AF687" s="0"/>
      <c r="AG687" s="0"/>
    </row>
    <row r="688" customFormat="false" ht="12.75" hidden="false" customHeight="false" outlineLevel="0" collapsed="false">
      <c r="A688" s="22" t="s">
        <v>9</v>
      </c>
      <c r="B688" s="17" t="n">
        <f aca="false">NPV(0.1,D688:Y688)</f>
        <v>80614.129727108</v>
      </c>
      <c r="C688" s="17" t="n">
        <f aca="false">B688-B677</f>
        <v>47.6936849068297</v>
      </c>
      <c r="D688" s="18" t="n">
        <v>-1903.73357692515</v>
      </c>
      <c r="E688" s="19" t="n">
        <v>3436.17844697684</v>
      </c>
      <c r="F688" s="19" t="n">
        <v>3760.63300009669</v>
      </c>
      <c r="G688" s="19" t="n">
        <v>4010.53392811402</v>
      </c>
      <c r="H688" s="19" t="n">
        <v>7887.71170740879</v>
      </c>
      <c r="I688" s="19" t="n">
        <v>10983.7071887711</v>
      </c>
      <c r="J688" s="19" t="n">
        <v>11590.3960112713</v>
      </c>
      <c r="K688" s="19" t="n">
        <v>12044.7503766593</v>
      </c>
      <c r="L688" s="19" t="n">
        <v>12887.6927667043</v>
      </c>
      <c r="M688" s="19" t="n">
        <v>13504.7009677487</v>
      </c>
      <c r="N688" s="19" t="n">
        <v>14650.8561707054</v>
      </c>
      <c r="O688" s="20" t="n">
        <v>14485.917113022</v>
      </c>
      <c r="P688" s="21" t="n">
        <v>15316.8476837073</v>
      </c>
      <c r="Q688" s="21" t="n">
        <v>15719.1503612918</v>
      </c>
      <c r="R688" s="21" t="n">
        <v>16113.1320508731</v>
      </c>
      <c r="S688" s="21" t="n">
        <v>16498.1314676906</v>
      </c>
      <c r="T688" s="21" t="n">
        <v>16893.857078898</v>
      </c>
      <c r="U688" s="21" t="n">
        <v>17450.4494627759</v>
      </c>
      <c r="V688" s="21" t="n">
        <v>18060.3046129387</v>
      </c>
      <c r="W688" s="21" t="n">
        <v>18693.6321571547</v>
      </c>
      <c r="X688" s="21" t="n">
        <v>19362.0591321855</v>
      </c>
      <c r="Y688" s="0"/>
      <c r="Z688" s="0"/>
      <c r="AA688" s="0"/>
      <c r="AB688" s="0"/>
      <c r="AC688" s="0"/>
      <c r="AD688" s="0"/>
      <c r="AE688" s="0"/>
      <c r="AF688" s="0"/>
      <c r="AG688" s="0"/>
    </row>
    <row r="689" customFormat="false" ht="12.75" hidden="false" customHeight="false" outlineLevel="0" collapsed="false">
      <c r="A689" s="22" t="s">
        <v>10</v>
      </c>
      <c r="B689" s="17" t="n">
        <f aca="false">NPV(0.1,D689:Y689)</f>
        <v>83673.154405212</v>
      </c>
      <c r="C689" s="17" t="n">
        <f aca="false">B689-B678</f>
        <v>-55.0666934843321</v>
      </c>
      <c r="D689" s="23" t="n">
        <v>-5718.33482201104</v>
      </c>
      <c r="E689" s="24" t="n">
        <v>3460.10710355251</v>
      </c>
      <c r="F689" s="24" t="n">
        <v>4742.33957958596</v>
      </c>
      <c r="G689" s="24" t="n">
        <v>3400.63743872334</v>
      </c>
      <c r="H689" s="24" t="n">
        <v>13149.9678505367</v>
      </c>
      <c r="I689" s="24" t="n">
        <v>16665.2318097032</v>
      </c>
      <c r="J689" s="24" t="n">
        <v>12524.8880847927</v>
      </c>
      <c r="K689" s="24" t="n">
        <v>12975.7599662334</v>
      </c>
      <c r="L689" s="24" t="n">
        <v>10320.2742263776</v>
      </c>
      <c r="M689" s="24" t="n">
        <v>8558.76055732278</v>
      </c>
      <c r="N689" s="24" t="n">
        <v>18425.8490165307</v>
      </c>
      <c r="O689" s="25" t="n">
        <v>18411.9484828693</v>
      </c>
      <c r="P689" s="21" t="n">
        <v>18394.2657772038</v>
      </c>
      <c r="Q689" s="21" t="n">
        <v>18785.8807431449</v>
      </c>
      <c r="R689" s="21" t="n">
        <v>19174.2343028254</v>
      </c>
      <c r="S689" s="21" t="n">
        <v>17864.9693989217</v>
      </c>
      <c r="T689" s="21" t="n">
        <v>13311.3125063195</v>
      </c>
      <c r="U689" s="21" t="n">
        <v>12542.2377986532</v>
      </c>
      <c r="V689" s="21" t="n">
        <v>11238.8429488159</v>
      </c>
      <c r="W689" s="21" t="n">
        <v>10694.5655422971</v>
      </c>
      <c r="X689" s="21" t="n">
        <v>22218.6932138667</v>
      </c>
      <c r="Y689" s="0"/>
      <c r="Z689" s="0"/>
      <c r="AA689" s="0"/>
      <c r="AB689" s="0"/>
      <c r="AC689" s="0"/>
      <c r="AD689" s="0"/>
      <c r="AE689" s="0"/>
      <c r="AF689" s="0"/>
      <c r="AG689" s="0"/>
    </row>
    <row r="690" customFormat="false" ht="12.75" hidden="false" customHeight="false" outlineLevel="0" collapsed="false">
      <c r="A690" s="5"/>
      <c r="B690" s="5"/>
      <c r="C690" s="5"/>
      <c r="D690" s="0"/>
      <c r="E690" s="0"/>
      <c r="F690" s="0"/>
      <c r="G690" s="0"/>
      <c r="H690" s="0"/>
      <c r="I690" s="0"/>
      <c r="J690" s="0"/>
      <c r="K690" s="0"/>
      <c r="L690" s="0"/>
      <c r="M690" s="0"/>
      <c r="N690" s="0"/>
      <c r="O690" s="0"/>
      <c r="P690" s="0"/>
      <c r="Q690" s="0"/>
      <c r="R690" s="0"/>
      <c r="S690" s="0"/>
      <c r="T690" s="0"/>
      <c r="U690" s="0"/>
      <c r="V690" s="0"/>
      <c r="W690" s="0"/>
      <c r="X690" s="0"/>
      <c r="Y690" s="0"/>
      <c r="Z690" s="0"/>
      <c r="AA690" s="0"/>
      <c r="AB690" s="0"/>
      <c r="AC690" s="0"/>
      <c r="AD690" s="0"/>
      <c r="AE690" s="0"/>
      <c r="AF690" s="0"/>
      <c r="AG690" s="0"/>
    </row>
    <row r="691" customFormat="false" ht="12.75" hidden="false" customHeight="false" outlineLevel="0" collapsed="false">
      <c r="A691" s="5"/>
      <c r="B691" s="5"/>
      <c r="C691" s="5"/>
      <c r="D691" s="0"/>
      <c r="E691" s="0"/>
      <c r="F691" s="0"/>
      <c r="G691" s="0"/>
      <c r="H691" s="0"/>
      <c r="I691" s="0"/>
      <c r="J691" s="0"/>
      <c r="K691" s="0"/>
      <c r="L691" s="0"/>
      <c r="M691" s="0"/>
      <c r="N691" s="0"/>
      <c r="O691" s="0"/>
      <c r="P691" s="0"/>
      <c r="Q691" s="0"/>
      <c r="R691" s="0"/>
      <c r="S691" s="0"/>
      <c r="T691" s="0"/>
      <c r="U691" s="0"/>
      <c r="V691" s="0"/>
      <c r="W691" s="0"/>
      <c r="X691" s="0"/>
      <c r="Y691" s="0"/>
      <c r="Z691" s="0"/>
      <c r="AA691" s="0"/>
      <c r="AB691" s="0"/>
      <c r="AC691" s="0"/>
      <c r="AD691" s="0"/>
      <c r="AE691" s="0"/>
      <c r="AF691" s="0"/>
      <c r="AG691" s="0"/>
    </row>
    <row r="692" customFormat="false" ht="12.75" hidden="false" customHeight="false" outlineLevel="0" collapsed="false">
      <c r="A692" s="26" t="s">
        <v>80</v>
      </c>
      <c r="B692" s="5"/>
      <c r="C692" s="5"/>
      <c r="D692" s="0"/>
      <c r="E692" s="0"/>
      <c r="F692" s="0"/>
      <c r="G692" s="0"/>
      <c r="H692" s="0"/>
      <c r="I692" s="0"/>
      <c r="J692" s="0"/>
      <c r="K692" s="0"/>
      <c r="L692" s="0"/>
      <c r="M692" s="0"/>
      <c r="N692" s="0"/>
      <c r="O692" s="0"/>
      <c r="P692" s="0"/>
      <c r="Q692" s="0"/>
      <c r="R692" s="0"/>
      <c r="S692" s="0"/>
      <c r="T692" s="0"/>
      <c r="U692" s="0"/>
      <c r="V692" s="0"/>
      <c r="W692" s="0"/>
      <c r="X692" s="0"/>
      <c r="Y692" s="0"/>
      <c r="Z692" s="0"/>
      <c r="AA692" s="0"/>
      <c r="AB692" s="0"/>
      <c r="AC692" s="0"/>
      <c r="AD692" s="0"/>
      <c r="AE692" s="0"/>
      <c r="AF692" s="0"/>
      <c r="AG692" s="0"/>
    </row>
    <row r="693" customFormat="false" ht="12.75" hidden="false" customHeight="false" outlineLevel="0" collapsed="false">
      <c r="A693" s="28" t="n">
        <v>36452</v>
      </c>
      <c r="B693" s="5"/>
      <c r="C693" s="5"/>
      <c r="D693" s="0"/>
      <c r="E693" s="0"/>
      <c r="F693" s="0"/>
      <c r="G693" s="0"/>
      <c r="H693" s="0"/>
      <c r="I693" s="0"/>
      <c r="J693" s="0"/>
      <c r="K693" s="0"/>
      <c r="L693" s="0"/>
      <c r="M693" s="0"/>
      <c r="N693" s="0"/>
      <c r="O693" s="0"/>
      <c r="P693" s="0"/>
      <c r="Q693" s="0"/>
      <c r="R693" s="0"/>
      <c r="S693" s="0"/>
      <c r="T693" s="0"/>
      <c r="U693" s="0"/>
      <c r="V693" s="0"/>
      <c r="W693" s="0"/>
      <c r="X693" s="0"/>
      <c r="Y693" s="0"/>
      <c r="Z693" s="0"/>
      <c r="AA693" s="0"/>
      <c r="AB693" s="0"/>
      <c r="AC693" s="0"/>
      <c r="AD693" s="0"/>
      <c r="AE693" s="0"/>
      <c r="AF693" s="0"/>
      <c r="AG693" s="0"/>
    </row>
    <row r="694" customFormat="false" ht="12.75" hidden="false" customHeight="false" outlineLevel="0" collapsed="false">
      <c r="A694" s="7" t="s">
        <v>2</v>
      </c>
      <c r="B694" s="8" t="n">
        <v>36920.0859683464</v>
      </c>
      <c r="C694" s="5"/>
      <c r="D694" s="0"/>
      <c r="E694" s="0"/>
      <c r="F694" s="0"/>
      <c r="G694" s="0"/>
      <c r="H694" s="0"/>
      <c r="I694" s="0"/>
      <c r="J694" s="0"/>
      <c r="K694" s="0"/>
      <c r="L694" s="0"/>
      <c r="M694" s="0"/>
      <c r="N694" s="0"/>
      <c r="O694" s="0"/>
      <c r="P694" s="0"/>
      <c r="Q694" s="0"/>
      <c r="R694" s="0"/>
      <c r="S694" s="0"/>
      <c r="T694" s="0"/>
      <c r="U694" s="0"/>
      <c r="V694" s="0"/>
      <c r="W694" s="0"/>
      <c r="X694" s="0"/>
      <c r="Y694" s="0"/>
      <c r="Z694" s="0"/>
      <c r="AA694" s="0"/>
      <c r="AB694" s="0"/>
      <c r="AC694" s="0"/>
      <c r="AD694" s="0"/>
      <c r="AE694" s="0"/>
      <c r="AF694" s="0"/>
      <c r="AG694" s="0"/>
    </row>
    <row r="695" customFormat="false" ht="12.75" hidden="false" customHeight="false" outlineLevel="0" collapsed="false">
      <c r="A695" s="9" t="s">
        <v>3</v>
      </c>
      <c r="B695" s="31" t="n">
        <v>66812.0836913882</v>
      </c>
      <c r="C695" s="5"/>
      <c r="D695" s="0"/>
      <c r="E695" s="0"/>
      <c r="F695" s="0"/>
      <c r="G695" s="0"/>
      <c r="H695" s="0"/>
      <c r="I695" s="0"/>
      <c r="J695" s="0"/>
      <c r="K695" s="0"/>
      <c r="L695" s="0"/>
      <c r="M695" s="0"/>
      <c r="N695" s="0"/>
      <c r="O695" s="0"/>
      <c r="P695" s="0"/>
      <c r="Q695" s="0"/>
      <c r="R695" s="0"/>
      <c r="S695" s="0"/>
      <c r="T695" s="0"/>
      <c r="U695" s="0"/>
      <c r="V695" s="0"/>
      <c r="W695" s="0"/>
      <c r="X695" s="0"/>
      <c r="Y695" s="0"/>
      <c r="Z695" s="0"/>
      <c r="AA695" s="0"/>
      <c r="AB695" s="0"/>
      <c r="AC695" s="0"/>
      <c r="AD695" s="0"/>
      <c r="AE695" s="0"/>
      <c r="AF695" s="0"/>
      <c r="AG695" s="0"/>
    </row>
    <row r="696" customFormat="false" ht="12.75" hidden="false" customHeight="false" outlineLevel="0" collapsed="false">
      <c r="A696" s="11" t="s">
        <v>4</v>
      </c>
      <c r="B696" s="12" t="s">
        <v>5</v>
      </c>
      <c r="C696" s="12" t="s">
        <v>6</v>
      </c>
      <c r="D696" s="13" t="n">
        <v>1999</v>
      </c>
      <c r="E696" s="14" t="n">
        <v>2000</v>
      </c>
      <c r="F696" s="14" t="n">
        <v>2001</v>
      </c>
      <c r="G696" s="14" t="n">
        <v>2002</v>
      </c>
      <c r="H696" s="14" t="n">
        <v>2003</v>
      </c>
      <c r="I696" s="14" t="n">
        <v>2004</v>
      </c>
      <c r="J696" s="14" t="n">
        <v>2005</v>
      </c>
      <c r="K696" s="14" t="n">
        <v>2006</v>
      </c>
      <c r="L696" s="14" t="n">
        <v>2007</v>
      </c>
      <c r="M696" s="14" t="n">
        <v>2008</v>
      </c>
      <c r="N696" s="14" t="n">
        <v>2009</v>
      </c>
      <c r="O696" s="15" t="n">
        <v>2010</v>
      </c>
      <c r="P696" s="16" t="n">
        <v>2011</v>
      </c>
      <c r="Q696" s="16" t="n">
        <v>2012</v>
      </c>
      <c r="R696" s="16" t="n">
        <v>2013</v>
      </c>
      <c r="S696" s="16" t="n">
        <v>2014</v>
      </c>
      <c r="T696" s="16" t="n">
        <v>2015</v>
      </c>
      <c r="U696" s="16" t="n">
        <v>2016</v>
      </c>
      <c r="V696" s="16" t="n">
        <v>2017</v>
      </c>
      <c r="W696" s="16" t="n">
        <v>2018</v>
      </c>
      <c r="X696" s="16" t="n">
        <v>2019</v>
      </c>
      <c r="Y696" s="0"/>
      <c r="Z696" s="0"/>
      <c r="AA696" s="0"/>
      <c r="AB696" s="0"/>
      <c r="AC696" s="0"/>
      <c r="AD696" s="0"/>
      <c r="AE696" s="0"/>
      <c r="AF696" s="0"/>
      <c r="AG696" s="0"/>
    </row>
    <row r="697" customFormat="false" ht="12.75" hidden="false" customHeight="false" outlineLevel="0" collapsed="false">
      <c r="A697" s="11" t="s">
        <v>7</v>
      </c>
      <c r="B697" s="17" t="n">
        <f aca="false">NPV(0.1,D697:Y697)</f>
        <v>418867.165581224</v>
      </c>
      <c r="C697" s="17" t="n">
        <f aca="false">B697-B686</f>
        <v>0</v>
      </c>
      <c r="D697" s="18" t="n">
        <v>26898.21696</v>
      </c>
      <c r="E697" s="19" t="n">
        <v>40079.9158149774</v>
      </c>
      <c r="F697" s="19" t="n">
        <v>40673.1613422172</v>
      </c>
      <c r="G697" s="19" t="n">
        <v>40731.6409776837</v>
      </c>
      <c r="H697" s="19" t="n">
        <v>47605.8401142549</v>
      </c>
      <c r="I697" s="19" t="n">
        <v>52769.7658852343</v>
      </c>
      <c r="J697" s="19" t="n">
        <v>53213.7751206579</v>
      </c>
      <c r="K697" s="19" t="n">
        <v>53653.2595037859</v>
      </c>
      <c r="L697" s="19" t="n">
        <v>54718.6111930403</v>
      </c>
      <c r="M697" s="19" t="n">
        <v>55165.9282773646</v>
      </c>
      <c r="N697" s="19" t="n">
        <v>56276.6600298264</v>
      </c>
      <c r="O697" s="20" t="n">
        <v>56731.1338742778</v>
      </c>
      <c r="P697" s="21" t="n">
        <v>57888.8217946469</v>
      </c>
      <c r="Q697" s="21" t="n">
        <v>58349.6650785334</v>
      </c>
      <c r="R697" s="21" t="n">
        <v>58802.3864027137</v>
      </c>
      <c r="S697" s="21" t="n">
        <v>59246.0836906499</v>
      </c>
      <c r="T697" s="21" t="n">
        <v>59679.8080509755</v>
      </c>
      <c r="U697" s="21" t="n">
        <v>60102.5617804749</v>
      </c>
      <c r="V697" s="21" t="n">
        <v>60513.2962893742</v>
      </c>
      <c r="W697" s="21" t="n">
        <v>60910.9099460808</v>
      </c>
      <c r="X697" s="21" t="n">
        <v>61294.2458384051</v>
      </c>
      <c r="Y697" s="0"/>
      <c r="Z697" s="0"/>
      <c r="AA697" s="0"/>
      <c r="AB697" s="0"/>
      <c r="AC697" s="0"/>
      <c r="AD697" s="0"/>
      <c r="AE697" s="0"/>
      <c r="AF697" s="0"/>
      <c r="AG697" s="0"/>
    </row>
    <row r="698" customFormat="false" ht="12.75" hidden="false" customHeight="false" outlineLevel="0" collapsed="false">
      <c r="A698" s="22" t="s">
        <v>8</v>
      </c>
      <c r="B698" s="17" t="n">
        <f aca="false">NPV(0.1,D698:Y698)</f>
        <v>196859.286443482</v>
      </c>
      <c r="C698" s="17" t="n">
        <f aca="false">B698-B687</f>
        <v>0</v>
      </c>
      <c r="D698" s="18" t="n">
        <v>18832.9004385294</v>
      </c>
      <c r="E698" s="19" t="n">
        <v>20833.7465976005</v>
      </c>
      <c r="F698" s="19" t="n">
        <v>21171.6571374941</v>
      </c>
      <c r="G698" s="19" t="n">
        <v>21276.468052825</v>
      </c>
      <c r="H698" s="19" t="n">
        <v>22525.9564221731</v>
      </c>
      <c r="I698" s="19" t="n">
        <v>23310.6896783663</v>
      </c>
      <c r="J698" s="19" t="n">
        <v>23440.3949695167</v>
      </c>
      <c r="K698" s="19" t="n">
        <v>23568.8791223845</v>
      </c>
      <c r="L698" s="19" t="n">
        <v>23701.7072750846</v>
      </c>
      <c r="M698" s="19" t="n">
        <v>23839.0097476121</v>
      </c>
      <c r="N698" s="19" t="n">
        <v>23975.4821557136</v>
      </c>
      <c r="O698" s="20" t="n">
        <v>24899.8617638413</v>
      </c>
      <c r="P698" s="21" t="n">
        <v>24986.1454356009</v>
      </c>
      <c r="Q698" s="21" t="n">
        <v>25061.1491522008</v>
      </c>
      <c r="R698" s="21" t="n">
        <v>25141.3398317765</v>
      </c>
      <c r="S698" s="21" t="n">
        <v>25226.8730832175</v>
      </c>
      <c r="T698" s="21" t="n">
        <v>25285.2775005913</v>
      </c>
      <c r="U698" s="21" t="n">
        <v>25333.0340109128</v>
      </c>
      <c r="V698" s="21" t="n">
        <v>25386.6284937608</v>
      </c>
      <c r="W698" s="21" t="n">
        <v>25544.1311375763</v>
      </c>
      <c r="X698" s="21" t="n">
        <v>25756.7748110779</v>
      </c>
      <c r="Y698" s="0"/>
      <c r="Z698" s="0"/>
      <c r="AA698" s="0"/>
      <c r="AB698" s="0"/>
      <c r="AC698" s="0"/>
      <c r="AD698" s="0"/>
      <c r="AE698" s="0"/>
      <c r="AF698" s="0"/>
      <c r="AG698" s="0"/>
    </row>
    <row r="699" customFormat="false" ht="12.75" hidden="false" customHeight="false" outlineLevel="0" collapsed="false">
      <c r="A699" s="22" t="s">
        <v>9</v>
      </c>
      <c r="B699" s="17" t="n">
        <f aca="false">NPV(0.1,D699:Y699)</f>
        <v>80593.6734065776</v>
      </c>
      <c r="C699" s="17" t="n">
        <f aca="false">B699-B688</f>
        <v>-20.4563205304294</v>
      </c>
      <c r="D699" s="18" t="n">
        <v>-1904.79782531056</v>
      </c>
      <c r="E699" s="19" t="n">
        <v>3433.62425085184</v>
      </c>
      <c r="F699" s="19" t="n">
        <v>3758.07880397169</v>
      </c>
      <c r="G699" s="19" t="n">
        <v>4007.97973198902</v>
      </c>
      <c r="H699" s="19" t="n">
        <v>7885.15751128379</v>
      </c>
      <c r="I699" s="19" t="n">
        <v>10981.1787218128</v>
      </c>
      <c r="J699" s="19" t="n">
        <v>11587.9035651463</v>
      </c>
      <c r="K699" s="19" t="n">
        <v>12042.2579305343</v>
      </c>
      <c r="L699" s="19" t="n">
        <v>12885.2003205793</v>
      </c>
      <c r="M699" s="19" t="n">
        <v>13502.2085216237</v>
      </c>
      <c r="N699" s="19" t="n">
        <v>14648.3637245804</v>
      </c>
      <c r="O699" s="20" t="n">
        <v>14483.424666897</v>
      </c>
      <c r="P699" s="21" t="n">
        <v>15314.3552375823</v>
      </c>
      <c r="Q699" s="21" t="n">
        <v>15716.6579151668</v>
      </c>
      <c r="R699" s="21" t="n">
        <v>16110.6396047481</v>
      </c>
      <c r="S699" s="21" t="n">
        <v>16495.6390215656</v>
      </c>
      <c r="T699" s="21" t="n">
        <v>16891.364632773</v>
      </c>
      <c r="U699" s="21" t="n">
        <v>17447.9570166509</v>
      </c>
      <c r="V699" s="21" t="n">
        <v>18057.8121668137</v>
      </c>
      <c r="W699" s="21" t="n">
        <v>18691.1397110297</v>
      </c>
      <c r="X699" s="21" t="n">
        <v>19359.5666860605</v>
      </c>
      <c r="Y699" s="0"/>
      <c r="Z699" s="0"/>
      <c r="AA699" s="0"/>
      <c r="AB699" s="0"/>
      <c r="AC699" s="0"/>
      <c r="AD699" s="0"/>
      <c r="AE699" s="0"/>
      <c r="AF699" s="0"/>
      <c r="AG699" s="0"/>
    </row>
    <row r="700" customFormat="false" ht="12.75" hidden="false" customHeight="false" outlineLevel="0" collapsed="false">
      <c r="A700" s="22" t="s">
        <v>10</v>
      </c>
      <c r="B700" s="17" t="n">
        <f aca="false">NPV(0.1,D700:Y700)</f>
        <v>83696.226504068</v>
      </c>
      <c r="C700" s="17" t="n">
        <f aca="false">B700-B689</f>
        <v>23.0720988559478</v>
      </c>
      <c r="D700" s="23" t="n">
        <v>-5718.33482201104</v>
      </c>
      <c r="E700" s="24" t="n">
        <v>3460.10710355251</v>
      </c>
      <c r="F700" s="24" t="n">
        <v>4742.33957958596</v>
      </c>
      <c r="G700" s="24" t="n">
        <v>3400.63743872334</v>
      </c>
      <c r="H700" s="24" t="n">
        <v>13149.9678505367</v>
      </c>
      <c r="I700" s="24" t="n">
        <v>16688.020666087</v>
      </c>
      <c r="J700" s="24" t="n">
        <v>12527.9244290802</v>
      </c>
      <c r="K700" s="24" t="n">
        <v>12978.8014568671</v>
      </c>
      <c r="L700" s="24" t="n">
        <v>10323.3105706651</v>
      </c>
      <c r="M700" s="24" t="n">
        <v>8561.80204795654</v>
      </c>
      <c r="N700" s="24" t="n">
        <v>18428.8853608182</v>
      </c>
      <c r="O700" s="25" t="n">
        <v>18414.9899735031</v>
      </c>
      <c r="P700" s="21" t="n">
        <v>18397.3021214913</v>
      </c>
      <c r="Q700" s="21" t="n">
        <v>18788.9222337786</v>
      </c>
      <c r="R700" s="21" t="n">
        <v>19177.2706471129</v>
      </c>
      <c r="S700" s="21" t="n">
        <v>17866.4875710654</v>
      </c>
      <c r="T700" s="21" t="n">
        <v>13311.3125063195</v>
      </c>
      <c r="U700" s="21" t="n">
        <v>12542.2377986532</v>
      </c>
      <c r="V700" s="21" t="n">
        <v>11238.8429488159</v>
      </c>
      <c r="W700" s="21" t="n">
        <v>10694.5655422971</v>
      </c>
      <c r="X700" s="21" t="n">
        <v>22218.6932138667</v>
      </c>
      <c r="Y700" s="0"/>
      <c r="Z700" s="0"/>
      <c r="AA700" s="0"/>
      <c r="AB700" s="0"/>
      <c r="AC700" s="0"/>
      <c r="AD700" s="0"/>
      <c r="AE700" s="0"/>
      <c r="AF700" s="0"/>
      <c r="AG700" s="0"/>
    </row>
    <row r="701" customFormat="false" ht="12.75" hidden="false" customHeight="false" outlineLevel="0" collapsed="false">
      <c r="A701" s="5"/>
      <c r="B701" s="5"/>
      <c r="C701" s="5"/>
      <c r="D701" s="0"/>
      <c r="E701" s="0"/>
      <c r="F701" s="0"/>
      <c r="G701" s="0"/>
      <c r="H701" s="0"/>
      <c r="I701" s="0"/>
      <c r="J701" s="0"/>
      <c r="K701" s="0"/>
      <c r="L701" s="0"/>
      <c r="M701" s="0"/>
      <c r="N701" s="0"/>
      <c r="O701" s="0"/>
      <c r="P701" s="0"/>
      <c r="Q701" s="0"/>
      <c r="R701" s="0"/>
      <c r="S701" s="0"/>
      <c r="T701" s="0"/>
      <c r="U701" s="0"/>
      <c r="V701" s="0"/>
      <c r="W701" s="0"/>
      <c r="X701" s="0"/>
      <c r="Y701" s="0"/>
      <c r="Z701" s="0"/>
      <c r="AA701" s="0"/>
      <c r="AB701" s="0"/>
      <c r="AC701" s="0"/>
      <c r="AD701" s="0"/>
      <c r="AE701" s="0"/>
      <c r="AF701" s="0"/>
      <c r="AG701" s="0"/>
    </row>
    <row r="702" customFormat="false" ht="12.75" hidden="false" customHeight="false" outlineLevel="0" collapsed="false">
      <c r="A702" s="5"/>
      <c r="B702" s="5"/>
      <c r="C702" s="5"/>
      <c r="D702" s="0"/>
      <c r="E702" s="0"/>
      <c r="F702" s="0"/>
      <c r="G702" s="0"/>
      <c r="H702" s="0"/>
      <c r="I702" s="0"/>
      <c r="J702" s="0"/>
      <c r="K702" s="0"/>
      <c r="L702" s="0"/>
      <c r="M702" s="0"/>
      <c r="N702" s="0"/>
      <c r="O702" s="0"/>
      <c r="P702" s="0"/>
      <c r="Q702" s="0"/>
      <c r="R702" s="0"/>
      <c r="S702" s="0"/>
      <c r="T702" s="0"/>
      <c r="U702" s="0"/>
      <c r="V702" s="0"/>
      <c r="W702" s="0"/>
      <c r="X702" s="0"/>
      <c r="Y702" s="0"/>
      <c r="Z702" s="0"/>
      <c r="AA702" s="0"/>
      <c r="AB702" s="0"/>
      <c r="AC702" s="0"/>
      <c r="AD702" s="0"/>
      <c r="AE702" s="0"/>
      <c r="AF702" s="0"/>
      <c r="AG702" s="0"/>
    </row>
    <row r="703" customFormat="false" ht="12.75" hidden="false" customHeight="false" outlineLevel="0" collapsed="false">
      <c r="A703" s="26" t="s">
        <v>81</v>
      </c>
      <c r="B703" s="5"/>
      <c r="C703" s="5"/>
      <c r="D703" s="0"/>
      <c r="E703" s="0"/>
      <c r="F703" s="0"/>
      <c r="G703" s="0"/>
      <c r="H703" s="0"/>
      <c r="I703" s="0"/>
      <c r="J703" s="0"/>
      <c r="K703" s="0"/>
      <c r="L703" s="0"/>
      <c r="M703" s="0"/>
      <c r="N703" s="0"/>
      <c r="O703" s="0"/>
      <c r="P703" s="0"/>
      <c r="Q703" s="0"/>
      <c r="R703" s="0"/>
      <c r="S703" s="0"/>
      <c r="T703" s="0"/>
      <c r="U703" s="0"/>
      <c r="V703" s="0"/>
      <c r="W703" s="0"/>
      <c r="X703" s="0"/>
      <c r="Y703" s="0"/>
      <c r="Z703" s="0"/>
      <c r="AA703" s="0"/>
      <c r="AB703" s="0"/>
      <c r="AC703" s="0"/>
      <c r="AD703" s="0"/>
      <c r="AE703" s="0"/>
      <c r="AF703" s="0"/>
      <c r="AG703" s="0"/>
    </row>
    <row r="704" customFormat="false" ht="12.75" hidden="false" customHeight="false" outlineLevel="0" collapsed="false">
      <c r="A704" s="28" t="n">
        <v>36465</v>
      </c>
      <c r="B704" s="5"/>
      <c r="C704" s="5"/>
      <c r="D704" s="0"/>
      <c r="E704" s="0"/>
      <c r="F704" s="0"/>
      <c r="G704" s="0"/>
      <c r="H704" s="0"/>
      <c r="I704" s="0"/>
      <c r="J704" s="0"/>
      <c r="K704" s="0"/>
      <c r="L704" s="0"/>
      <c r="M704" s="0"/>
      <c r="N704" s="0"/>
      <c r="O704" s="0"/>
      <c r="P704" s="0"/>
      <c r="Q704" s="0"/>
      <c r="R704" s="0"/>
      <c r="S704" s="0"/>
      <c r="T704" s="0"/>
      <c r="U704" s="0"/>
      <c r="V704" s="0"/>
      <c r="W704" s="0"/>
      <c r="X704" s="0"/>
      <c r="Y704" s="0"/>
      <c r="Z704" s="0"/>
      <c r="AA704" s="0"/>
      <c r="AB704" s="0"/>
      <c r="AC704" s="0"/>
      <c r="AD704" s="0"/>
      <c r="AE704" s="0"/>
      <c r="AF704" s="0"/>
      <c r="AG704" s="0"/>
    </row>
    <row r="705" customFormat="false" ht="12.75" hidden="false" customHeight="false" outlineLevel="0" collapsed="false">
      <c r="A705" s="7" t="s">
        <v>2</v>
      </c>
      <c r="B705" s="8" t="n">
        <v>36757.3780557264</v>
      </c>
      <c r="C705" s="5"/>
      <c r="D705" s="0"/>
      <c r="E705" s="0"/>
      <c r="F705" s="0"/>
      <c r="G705" s="0"/>
      <c r="H705" s="0"/>
      <c r="I705" s="0"/>
      <c r="J705" s="0"/>
      <c r="K705" s="0"/>
      <c r="L705" s="0"/>
      <c r="M705" s="0"/>
      <c r="N705" s="0"/>
      <c r="O705" s="0"/>
      <c r="P705" s="0"/>
      <c r="Q705" s="0"/>
      <c r="R705" s="0"/>
      <c r="S705" s="0"/>
      <c r="T705" s="0"/>
      <c r="U705" s="0"/>
      <c r="V705" s="0"/>
      <c r="W705" s="0"/>
      <c r="X705" s="0"/>
      <c r="Y705" s="0"/>
      <c r="Z705" s="0"/>
      <c r="AA705" s="0"/>
      <c r="AB705" s="0"/>
      <c r="AC705" s="0"/>
      <c r="AD705" s="0"/>
      <c r="AE705" s="0"/>
      <c r="AF705" s="0"/>
      <c r="AG705" s="0"/>
    </row>
    <row r="706" customFormat="false" ht="12.75" hidden="false" customHeight="false" outlineLevel="0" collapsed="false">
      <c r="A706" s="9" t="s">
        <v>3</v>
      </c>
      <c r="B706" s="31" t="n">
        <v>66618.1236913882</v>
      </c>
      <c r="C706" s="5"/>
      <c r="D706" s="0"/>
      <c r="E706" s="0"/>
      <c r="F706" s="0"/>
      <c r="G706" s="0"/>
      <c r="H706" s="0"/>
      <c r="I706" s="0"/>
      <c r="J706" s="0"/>
      <c r="K706" s="0"/>
      <c r="L706" s="0"/>
      <c r="M706" s="0"/>
      <c r="N706" s="0"/>
      <c r="O706" s="0"/>
      <c r="P706" s="0"/>
      <c r="Q706" s="0"/>
      <c r="R706" s="0"/>
      <c r="S706" s="0"/>
      <c r="T706" s="0"/>
      <c r="U706" s="0"/>
      <c r="V706" s="0"/>
      <c r="W706" s="0"/>
      <c r="X706" s="0"/>
      <c r="Y706" s="0"/>
      <c r="Z706" s="0"/>
      <c r="AA706" s="0"/>
      <c r="AB706" s="0"/>
      <c r="AC706" s="0"/>
      <c r="AD706" s="0"/>
      <c r="AE706" s="0"/>
      <c r="AF706" s="0"/>
      <c r="AG706" s="0"/>
    </row>
    <row r="707" customFormat="false" ht="12.75" hidden="false" customHeight="false" outlineLevel="0" collapsed="false">
      <c r="A707" s="11" t="s">
        <v>4</v>
      </c>
      <c r="B707" s="12" t="s">
        <v>5</v>
      </c>
      <c r="C707" s="12" t="s">
        <v>6</v>
      </c>
      <c r="D707" s="13" t="n">
        <v>1999</v>
      </c>
      <c r="E707" s="14" t="n">
        <v>2000</v>
      </c>
      <c r="F707" s="14" t="n">
        <v>2001</v>
      </c>
      <c r="G707" s="14" t="n">
        <v>2002</v>
      </c>
      <c r="H707" s="14" t="n">
        <v>2003</v>
      </c>
      <c r="I707" s="14" t="n">
        <v>2004</v>
      </c>
      <c r="J707" s="14" t="n">
        <v>2005</v>
      </c>
      <c r="K707" s="14" t="n">
        <v>2006</v>
      </c>
      <c r="L707" s="14" t="n">
        <v>2007</v>
      </c>
      <c r="M707" s="14" t="n">
        <v>2008</v>
      </c>
      <c r="N707" s="14" t="n">
        <v>2009</v>
      </c>
      <c r="O707" s="15" t="n">
        <v>2010</v>
      </c>
      <c r="P707" s="16" t="n">
        <v>2011</v>
      </c>
      <c r="Q707" s="16" t="n">
        <v>2012</v>
      </c>
      <c r="R707" s="16" t="n">
        <v>2013</v>
      </c>
      <c r="S707" s="16" t="n">
        <v>2014</v>
      </c>
      <c r="T707" s="16" t="n">
        <v>2015</v>
      </c>
      <c r="U707" s="16" t="n">
        <v>2016</v>
      </c>
      <c r="V707" s="16" t="n">
        <v>2017</v>
      </c>
      <c r="W707" s="16" t="n">
        <v>2018</v>
      </c>
      <c r="X707" s="16" t="n">
        <v>2019</v>
      </c>
      <c r="Y707" s="0"/>
      <c r="Z707" s="0"/>
      <c r="AA707" s="0"/>
      <c r="AB707" s="0"/>
      <c r="AC707" s="0"/>
      <c r="AD707" s="0"/>
      <c r="AE707" s="0"/>
      <c r="AF707" s="0"/>
      <c r="AG707" s="0"/>
    </row>
    <row r="708" customFormat="false" ht="12.75" hidden="false" customHeight="false" outlineLevel="0" collapsed="false">
      <c r="A708" s="11" t="s">
        <v>7</v>
      </c>
      <c r="B708" s="17" t="n">
        <f aca="false">NPV(0.1,D708:Y708)</f>
        <v>418867.165581224</v>
      </c>
      <c r="C708" s="17" t="n">
        <f aca="false">B708-B697</f>
        <v>0</v>
      </c>
      <c r="D708" s="18" t="n">
        <v>26898.21696</v>
      </c>
      <c r="E708" s="19" t="n">
        <v>40079.9158149774</v>
      </c>
      <c r="F708" s="19" t="n">
        <v>40673.1613422172</v>
      </c>
      <c r="G708" s="19" t="n">
        <v>40731.6409776837</v>
      </c>
      <c r="H708" s="19" t="n">
        <v>47605.8401142549</v>
      </c>
      <c r="I708" s="19" t="n">
        <v>52769.7658852343</v>
      </c>
      <c r="J708" s="19" t="n">
        <v>53213.7751206579</v>
      </c>
      <c r="K708" s="19" t="n">
        <v>53653.2595037859</v>
      </c>
      <c r="L708" s="19" t="n">
        <v>54718.6111930403</v>
      </c>
      <c r="M708" s="19" t="n">
        <v>55165.9282773646</v>
      </c>
      <c r="N708" s="19" t="n">
        <v>56276.6600298264</v>
      </c>
      <c r="O708" s="20" t="n">
        <v>56731.1338742778</v>
      </c>
      <c r="P708" s="21" t="n">
        <v>57888.8217946469</v>
      </c>
      <c r="Q708" s="21" t="n">
        <v>58349.6650785334</v>
      </c>
      <c r="R708" s="21" t="n">
        <v>58802.3864027137</v>
      </c>
      <c r="S708" s="21" t="n">
        <v>59246.0836906499</v>
      </c>
      <c r="T708" s="21" t="n">
        <v>59679.8080509755</v>
      </c>
      <c r="U708" s="21" t="n">
        <v>60102.5617804749</v>
      </c>
      <c r="V708" s="21" t="n">
        <v>60513.2962893742</v>
      </c>
      <c r="W708" s="21" t="n">
        <v>60910.9099460808</v>
      </c>
      <c r="X708" s="21" t="n">
        <v>61294.2458384051</v>
      </c>
      <c r="Y708" s="0"/>
      <c r="Z708" s="0"/>
      <c r="AA708" s="0"/>
      <c r="AB708" s="0"/>
      <c r="AC708" s="0"/>
      <c r="AD708" s="0"/>
      <c r="AE708" s="0"/>
      <c r="AF708" s="0"/>
      <c r="AG708" s="0"/>
    </row>
    <row r="709" customFormat="false" ht="12.75" hidden="false" customHeight="false" outlineLevel="0" collapsed="false">
      <c r="A709" s="22" t="s">
        <v>8</v>
      </c>
      <c r="B709" s="17" t="n">
        <f aca="false">NPV(0.1,D709:Y709)</f>
        <v>196859.286443482</v>
      </c>
      <c r="C709" s="17" t="n">
        <f aca="false">B709-B698</f>
        <v>0</v>
      </c>
      <c r="D709" s="18" t="n">
        <v>18832.9004385294</v>
      </c>
      <c r="E709" s="19" t="n">
        <v>20833.7465976005</v>
      </c>
      <c r="F709" s="19" t="n">
        <v>21171.6571374941</v>
      </c>
      <c r="G709" s="19" t="n">
        <v>21276.468052825</v>
      </c>
      <c r="H709" s="19" t="n">
        <v>22525.9564221731</v>
      </c>
      <c r="I709" s="19" t="n">
        <v>23310.6896783663</v>
      </c>
      <c r="J709" s="19" t="n">
        <v>23440.3949695167</v>
      </c>
      <c r="K709" s="19" t="n">
        <v>23568.8791223845</v>
      </c>
      <c r="L709" s="19" t="n">
        <v>23701.7072750846</v>
      </c>
      <c r="M709" s="19" t="n">
        <v>23839.0097476121</v>
      </c>
      <c r="N709" s="19" t="n">
        <v>23975.4821557136</v>
      </c>
      <c r="O709" s="20" t="n">
        <v>24899.8617638413</v>
      </c>
      <c r="P709" s="21" t="n">
        <v>24986.1454356009</v>
      </c>
      <c r="Q709" s="21" t="n">
        <v>25061.1491522008</v>
      </c>
      <c r="R709" s="21" t="n">
        <v>25141.3398317765</v>
      </c>
      <c r="S709" s="21" t="n">
        <v>25226.8730832175</v>
      </c>
      <c r="T709" s="21" t="n">
        <v>25285.2775005913</v>
      </c>
      <c r="U709" s="21" t="n">
        <v>25333.0340109128</v>
      </c>
      <c r="V709" s="21" t="n">
        <v>25386.6284937608</v>
      </c>
      <c r="W709" s="21" t="n">
        <v>25544.1311375763</v>
      </c>
      <c r="X709" s="21" t="n">
        <v>25756.7748110779</v>
      </c>
      <c r="Y709" s="0"/>
      <c r="Z709" s="0"/>
      <c r="AA709" s="0"/>
      <c r="AB709" s="0"/>
      <c r="AC709" s="0"/>
      <c r="AD709" s="0"/>
      <c r="AE709" s="0"/>
      <c r="AF709" s="0"/>
      <c r="AG709" s="0"/>
    </row>
    <row r="710" customFormat="false" ht="12.75" hidden="false" customHeight="false" outlineLevel="0" collapsed="false">
      <c r="A710" s="22" t="s">
        <v>9</v>
      </c>
      <c r="B710" s="17" t="n">
        <f aca="false">NPV(0.1,D710:Y710)</f>
        <v>80560.7581689636</v>
      </c>
      <c r="C710" s="17" t="n">
        <f aca="false">B710-B699</f>
        <v>-32.9152376140555</v>
      </c>
      <c r="D710" s="18" t="n">
        <v>-1906.8541208939</v>
      </c>
      <c r="E710" s="19" t="n">
        <v>3428.68914145184</v>
      </c>
      <c r="F710" s="19" t="n">
        <v>3753.14369457169</v>
      </c>
      <c r="G710" s="19" t="n">
        <v>4003.04462258902</v>
      </c>
      <c r="H710" s="19" t="n">
        <v>7880.22240188379</v>
      </c>
      <c r="I710" s="19" t="n">
        <v>10976.9014557461</v>
      </c>
      <c r="J710" s="19" t="n">
        <v>11584.5472797463</v>
      </c>
      <c r="K710" s="19" t="n">
        <v>12038.9016451343</v>
      </c>
      <c r="L710" s="19" t="n">
        <v>12881.8440351793</v>
      </c>
      <c r="M710" s="19" t="n">
        <v>13498.8522362237</v>
      </c>
      <c r="N710" s="19" t="n">
        <v>14645.0074391804</v>
      </c>
      <c r="O710" s="20" t="n">
        <v>14480.068381497</v>
      </c>
      <c r="P710" s="21" t="n">
        <v>15310.9989521823</v>
      </c>
      <c r="Q710" s="21" t="n">
        <v>15713.3016297668</v>
      </c>
      <c r="R710" s="21" t="n">
        <v>16107.2833193481</v>
      </c>
      <c r="S710" s="21" t="n">
        <v>16492.2827361656</v>
      </c>
      <c r="T710" s="21" t="n">
        <v>16888.008347373</v>
      </c>
      <c r="U710" s="21" t="n">
        <v>17444.6007312509</v>
      </c>
      <c r="V710" s="21" t="n">
        <v>18054.4558814137</v>
      </c>
      <c r="W710" s="21" t="n">
        <v>18687.7834256297</v>
      </c>
      <c r="X710" s="21" t="n">
        <v>19356.2104006605</v>
      </c>
      <c r="Y710" s="0"/>
      <c r="Z710" s="0"/>
      <c r="AA710" s="0"/>
      <c r="AB710" s="0"/>
      <c r="AC710" s="0"/>
      <c r="AD710" s="0"/>
      <c r="AE710" s="0"/>
      <c r="AF710" s="0"/>
      <c r="AG710" s="0"/>
    </row>
    <row r="711" customFormat="false" ht="12.75" hidden="false" customHeight="false" outlineLevel="0" collapsed="false">
      <c r="A711" s="22" t="s">
        <v>10</v>
      </c>
      <c r="B711" s="17" t="n">
        <f aca="false">NPV(0.1,D711:Y711)</f>
        <v>83729.9098370529</v>
      </c>
      <c r="C711" s="17" t="n">
        <f aca="false">B711-B700</f>
        <v>33.6833329848596</v>
      </c>
      <c r="D711" s="23" t="n">
        <v>-5718.33482201104</v>
      </c>
      <c r="E711" s="24" t="n">
        <v>3460.10710355251</v>
      </c>
      <c r="F711" s="24" t="n">
        <v>4742.33957958595</v>
      </c>
      <c r="G711" s="24" t="n">
        <v>3400.63743872334</v>
      </c>
      <c r="H711" s="24" t="n">
        <v>13149.9678505367</v>
      </c>
      <c r="I711" s="24" t="n">
        <v>16723.340097049</v>
      </c>
      <c r="J711" s="24" t="n">
        <v>12532.0131184602</v>
      </c>
      <c r="K711" s="24" t="n">
        <v>12982.8970762291</v>
      </c>
      <c r="L711" s="24" t="n">
        <v>10327.3992600451</v>
      </c>
      <c r="M711" s="24" t="n">
        <v>8565.89766731853</v>
      </c>
      <c r="N711" s="24" t="n">
        <v>18432.9740501982</v>
      </c>
      <c r="O711" s="25" t="n">
        <v>18419.0855928651</v>
      </c>
      <c r="P711" s="21" t="n">
        <v>18401.3908108713</v>
      </c>
      <c r="Q711" s="21" t="n">
        <v>18793.0178531406</v>
      </c>
      <c r="R711" s="21" t="n">
        <v>19181.3593364929</v>
      </c>
      <c r="S711" s="21" t="n">
        <v>17868.5319157554</v>
      </c>
      <c r="T711" s="21" t="n">
        <v>13311.3125063195</v>
      </c>
      <c r="U711" s="21" t="n">
        <v>12542.2377986532</v>
      </c>
      <c r="V711" s="21" t="n">
        <v>11238.8429488159</v>
      </c>
      <c r="W711" s="21" t="n">
        <v>10694.5655422971</v>
      </c>
      <c r="X711" s="21" t="n">
        <v>22218.6932138667</v>
      </c>
      <c r="Y711" s="0"/>
      <c r="Z711" s="0"/>
      <c r="AA711" s="0"/>
      <c r="AB711" s="0"/>
      <c r="AC711" s="0"/>
      <c r="AD711" s="0"/>
      <c r="AE711" s="0"/>
      <c r="AF711" s="0"/>
      <c r="AG711" s="0"/>
    </row>
    <row r="712" customFormat="false" ht="12.75" hidden="false" customHeight="false" outlineLevel="0" collapsed="false">
      <c r="A712" s="5"/>
      <c r="B712" s="5"/>
      <c r="C712" s="5"/>
      <c r="D712" s="0"/>
      <c r="E712" s="0"/>
      <c r="F712" s="0"/>
      <c r="G712" s="0"/>
      <c r="H712" s="0"/>
      <c r="I712" s="0"/>
      <c r="J712" s="0"/>
      <c r="K712" s="0"/>
      <c r="L712" s="0"/>
      <c r="M712" s="0"/>
      <c r="N712" s="0"/>
      <c r="O712" s="0"/>
      <c r="P712" s="0"/>
      <c r="Q712" s="0"/>
      <c r="R712" s="0"/>
      <c r="S712" s="0"/>
      <c r="T712" s="0"/>
      <c r="U712" s="0"/>
      <c r="V712" s="0"/>
      <c r="W712" s="0"/>
      <c r="X712" s="0"/>
      <c r="Y712" s="0"/>
      <c r="Z712" s="0"/>
      <c r="AA712" s="0"/>
      <c r="AB712" s="0"/>
      <c r="AC712" s="0"/>
      <c r="AD712" s="0"/>
      <c r="AE712" s="0"/>
      <c r="AF712" s="0"/>
      <c r="AG712" s="0"/>
    </row>
    <row r="713" customFormat="false" ht="12.75" hidden="false" customHeight="false" outlineLevel="0" collapsed="false">
      <c r="A713" s="5"/>
      <c r="B713" s="5"/>
      <c r="C713" s="5"/>
      <c r="D713" s="0"/>
      <c r="E713" s="0"/>
      <c r="F713" s="0"/>
      <c r="G713" s="0"/>
      <c r="H713" s="0"/>
      <c r="I713" s="0"/>
      <c r="J713" s="0"/>
      <c r="K713" s="0"/>
      <c r="L713" s="0"/>
      <c r="M713" s="0"/>
      <c r="N713" s="0"/>
      <c r="O713" s="0"/>
      <c r="P713" s="0"/>
      <c r="Q713" s="0"/>
      <c r="R713" s="0"/>
      <c r="S713" s="0"/>
      <c r="T713" s="0"/>
      <c r="U713" s="0"/>
      <c r="V713" s="0"/>
      <c r="W713" s="0"/>
      <c r="X713" s="0"/>
      <c r="Y713" s="0"/>
      <c r="Z713" s="0"/>
      <c r="AA713" s="0"/>
      <c r="AB713" s="0"/>
      <c r="AC713" s="0"/>
      <c r="AD713" s="0"/>
      <c r="AE713" s="0"/>
      <c r="AF713" s="0"/>
      <c r="AG713" s="0"/>
    </row>
    <row r="714" customFormat="false" ht="12.75" hidden="false" customHeight="false" outlineLevel="0" collapsed="false">
      <c r="A714" s="26" t="s">
        <v>82</v>
      </c>
      <c r="B714" s="5"/>
      <c r="C714" s="5"/>
      <c r="D714" s="0"/>
      <c r="E714" s="0"/>
      <c r="F714" s="0"/>
      <c r="G714" s="0"/>
      <c r="H714" s="0"/>
      <c r="I714" s="0"/>
      <c r="J714" s="0"/>
      <c r="K714" s="0"/>
      <c r="L714" s="0"/>
      <c r="M714" s="0"/>
      <c r="N714" s="0"/>
      <c r="O714" s="0"/>
      <c r="P714" s="0"/>
      <c r="Q714" s="0"/>
      <c r="R714" s="0"/>
      <c r="S714" s="0"/>
      <c r="T714" s="0"/>
      <c r="U714" s="0"/>
      <c r="V714" s="0"/>
      <c r="W714" s="0"/>
      <c r="X714" s="0"/>
      <c r="Y714" s="0"/>
      <c r="Z714" s="0"/>
      <c r="AA714" s="0"/>
      <c r="AB714" s="0"/>
      <c r="AC714" s="0"/>
      <c r="AD714" s="0"/>
      <c r="AE714" s="0"/>
      <c r="AF714" s="0"/>
      <c r="AG714" s="0"/>
    </row>
    <row r="715" customFormat="false" ht="12.75" hidden="false" customHeight="false" outlineLevel="0" collapsed="false">
      <c r="A715" s="28" t="n">
        <v>36466</v>
      </c>
      <c r="B715" s="5"/>
      <c r="C715" s="5"/>
      <c r="D715" s="0"/>
      <c r="E715" s="0"/>
      <c r="F715" s="0"/>
      <c r="G715" s="0"/>
      <c r="H715" s="0"/>
      <c r="I715" s="0"/>
      <c r="J715" s="0"/>
      <c r="K715" s="0"/>
      <c r="L715" s="0"/>
      <c r="M715" s="0"/>
      <c r="N715" s="0"/>
      <c r="O715" s="0"/>
      <c r="P715" s="0"/>
      <c r="Q715" s="0"/>
      <c r="R715" s="0"/>
      <c r="S715" s="0"/>
      <c r="T715" s="0"/>
      <c r="U715" s="0"/>
      <c r="V715" s="0"/>
      <c r="W715" s="0"/>
      <c r="X715" s="0"/>
      <c r="Y715" s="0"/>
      <c r="Z715" s="0"/>
      <c r="AA715" s="0"/>
      <c r="AB715" s="0"/>
      <c r="AC715" s="0"/>
      <c r="AD715" s="0"/>
      <c r="AE715" s="0"/>
      <c r="AF715" s="0"/>
      <c r="AG715" s="0"/>
    </row>
    <row r="716" customFormat="false" ht="12.75" hidden="false" customHeight="false" outlineLevel="0" collapsed="false">
      <c r="A716" s="7" t="s">
        <v>2</v>
      </c>
      <c r="B716" s="8" t="n">
        <v>36758.2560095814</v>
      </c>
      <c r="C716" s="5"/>
      <c r="D716" s="0"/>
      <c r="E716" s="0"/>
      <c r="F716" s="0"/>
      <c r="G716" s="0"/>
      <c r="H716" s="0"/>
      <c r="I716" s="0"/>
      <c r="J716" s="0"/>
      <c r="K716" s="0"/>
      <c r="L716" s="0"/>
      <c r="M716" s="0"/>
      <c r="N716" s="0"/>
      <c r="O716" s="0"/>
      <c r="P716" s="0"/>
      <c r="Q716" s="0"/>
      <c r="R716" s="0"/>
      <c r="S716" s="0"/>
      <c r="T716" s="0"/>
      <c r="U716" s="0"/>
      <c r="V716" s="0"/>
      <c r="W716" s="0"/>
      <c r="X716" s="0"/>
      <c r="Y716" s="0"/>
      <c r="Z716" s="0"/>
      <c r="AA716" s="0"/>
      <c r="AB716" s="0"/>
      <c r="AC716" s="0"/>
      <c r="AD716" s="0"/>
      <c r="AE716" s="0"/>
      <c r="AF716" s="0"/>
      <c r="AG716" s="0"/>
    </row>
    <row r="717" customFormat="false" ht="12.75" hidden="false" customHeight="false" outlineLevel="0" collapsed="false">
      <c r="A717" s="9" t="s">
        <v>3</v>
      </c>
      <c r="B717" s="31" t="n">
        <v>66619.2306913882</v>
      </c>
      <c r="C717" s="5"/>
      <c r="D717" s="0"/>
      <c r="E717" s="0"/>
      <c r="F717" s="0"/>
      <c r="G717" s="0"/>
      <c r="H717" s="0"/>
      <c r="I717" s="0"/>
      <c r="J717" s="0"/>
      <c r="K717" s="0"/>
      <c r="L717" s="0"/>
      <c r="M717" s="0"/>
      <c r="N717" s="0"/>
      <c r="O717" s="0"/>
      <c r="P717" s="0"/>
      <c r="Q717" s="0"/>
      <c r="R717" s="0"/>
      <c r="S717" s="0"/>
      <c r="T717" s="0"/>
      <c r="U717" s="0"/>
      <c r="V717" s="0"/>
      <c r="W717" s="0"/>
      <c r="X717" s="0"/>
      <c r="Y717" s="0"/>
      <c r="Z717" s="0"/>
      <c r="AA717" s="0"/>
      <c r="AB717" s="0"/>
      <c r="AC717" s="0"/>
      <c r="AD717" s="0"/>
      <c r="AE717" s="0"/>
      <c r="AF717" s="0"/>
      <c r="AG717" s="0"/>
    </row>
    <row r="718" customFormat="false" ht="12.75" hidden="false" customHeight="false" outlineLevel="0" collapsed="false">
      <c r="A718" s="11" t="s">
        <v>4</v>
      </c>
      <c r="B718" s="12" t="s">
        <v>5</v>
      </c>
      <c r="C718" s="12" t="s">
        <v>6</v>
      </c>
      <c r="D718" s="13" t="n">
        <v>1999</v>
      </c>
      <c r="E718" s="14" t="n">
        <v>2000</v>
      </c>
      <c r="F718" s="14" t="n">
        <v>2001</v>
      </c>
      <c r="G718" s="14" t="n">
        <v>2002</v>
      </c>
      <c r="H718" s="14" t="n">
        <v>2003</v>
      </c>
      <c r="I718" s="14" t="n">
        <v>2004</v>
      </c>
      <c r="J718" s="14" t="n">
        <v>2005</v>
      </c>
      <c r="K718" s="14" t="n">
        <v>2006</v>
      </c>
      <c r="L718" s="14" t="n">
        <v>2007</v>
      </c>
      <c r="M718" s="14" t="n">
        <v>2008</v>
      </c>
      <c r="N718" s="14" t="n">
        <v>2009</v>
      </c>
      <c r="O718" s="15" t="n">
        <v>2010</v>
      </c>
      <c r="P718" s="16" t="n">
        <v>2011</v>
      </c>
      <c r="Q718" s="16" t="n">
        <v>2012</v>
      </c>
      <c r="R718" s="16" t="n">
        <v>2013</v>
      </c>
      <c r="S718" s="16" t="n">
        <v>2014</v>
      </c>
      <c r="T718" s="16" t="n">
        <v>2015</v>
      </c>
      <c r="U718" s="16" t="n">
        <v>2016</v>
      </c>
      <c r="V718" s="16" t="n">
        <v>2017</v>
      </c>
      <c r="W718" s="16" t="n">
        <v>2018</v>
      </c>
      <c r="X718" s="16" t="n">
        <v>2019</v>
      </c>
      <c r="Y718" s="0"/>
      <c r="Z718" s="0"/>
      <c r="AA718" s="0"/>
      <c r="AB718" s="0"/>
      <c r="AC718" s="0"/>
      <c r="AD718" s="0"/>
      <c r="AE718" s="0"/>
      <c r="AF718" s="0"/>
      <c r="AG718" s="0"/>
    </row>
    <row r="719" customFormat="false" ht="12.75" hidden="false" customHeight="false" outlineLevel="0" collapsed="false">
      <c r="A719" s="11" t="s">
        <v>7</v>
      </c>
      <c r="B719" s="17" t="n">
        <f aca="false">NPV(0.1,D719:Y719)</f>
        <v>418867.165581224</v>
      </c>
      <c r="C719" s="17" t="n">
        <f aca="false">B719-B708</f>
        <v>0</v>
      </c>
      <c r="D719" s="18" t="n">
        <v>26898.21696</v>
      </c>
      <c r="E719" s="19" t="n">
        <v>40079.9158149774</v>
      </c>
      <c r="F719" s="19" t="n">
        <v>40673.1613422172</v>
      </c>
      <c r="G719" s="19" t="n">
        <v>40731.6409776837</v>
      </c>
      <c r="H719" s="19" t="n">
        <v>47605.8401142549</v>
      </c>
      <c r="I719" s="19" t="n">
        <v>52769.7658852343</v>
      </c>
      <c r="J719" s="19" t="n">
        <v>53213.7751206579</v>
      </c>
      <c r="K719" s="19" t="n">
        <v>53653.2595037859</v>
      </c>
      <c r="L719" s="19" t="n">
        <v>54718.6111930403</v>
      </c>
      <c r="M719" s="19" t="n">
        <v>55165.9282773646</v>
      </c>
      <c r="N719" s="19" t="n">
        <v>56276.6600298264</v>
      </c>
      <c r="O719" s="20" t="n">
        <v>56731.1338742778</v>
      </c>
      <c r="P719" s="21" t="n">
        <v>57888.8217946469</v>
      </c>
      <c r="Q719" s="21" t="n">
        <v>58349.6650785334</v>
      </c>
      <c r="R719" s="21" t="n">
        <v>58802.3864027137</v>
      </c>
      <c r="S719" s="21" t="n">
        <v>59246.0836906499</v>
      </c>
      <c r="T719" s="21" t="n">
        <v>59679.8080509755</v>
      </c>
      <c r="U719" s="21" t="n">
        <v>60102.5617804749</v>
      </c>
      <c r="V719" s="21" t="n">
        <v>60513.2962893742</v>
      </c>
      <c r="W719" s="21" t="n">
        <v>60910.9099460808</v>
      </c>
      <c r="X719" s="21" t="n">
        <v>61294.2458384051</v>
      </c>
      <c r="Y719" s="0"/>
      <c r="Z719" s="0"/>
      <c r="AA719" s="0"/>
      <c r="AB719" s="0"/>
      <c r="AC719" s="0"/>
      <c r="AD719" s="0"/>
      <c r="AE719" s="0"/>
      <c r="AF719" s="0"/>
      <c r="AG719" s="0"/>
    </row>
    <row r="720" customFormat="false" ht="12.75" hidden="false" customHeight="false" outlineLevel="0" collapsed="false">
      <c r="A720" s="22" t="s">
        <v>8</v>
      </c>
      <c r="B720" s="17" t="n">
        <f aca="false">NPV(0.1,D720:Y720)</f>
        <v>196859.286443482</v>
      </c>
      <c r="C720" s="17" t="n">
        <f aca="false">B720-B709</f>
        <v>0</v>
      </c>
      <c r="D720" s="18" t="n">
        <v>18832.9004385294</v>
      </c>
      <c r="E720" s="19" t="n">
        <v>20833.7465976005</v>
      </c>
      <c r="F720" s="19" t="n">
        <v>21171.6571374941</v>
      </c>
      <c r="G720" s="19" t="n">
        <v>21276.468052825</v>
      </c>
      <c r="H720" s="19" t="n">
        <v>22525.9564221731</v>
      </c>
      <c r="I720" s="19" t="n">
        <v>23310.6896783663</v>
      </c>
      <c r="J720" s="19" t="n">
        <v>23440.3949695167</v>
      </c>
      <c r="K720" s="19" t="n">
        <v>23568.8791223845</v>
      </c>
      <c r="L720" s="19" t="n">
        <v>23701.7072750846</v>
      </c>
      <c r="M720" s="19" t="n">
        <v>23839.0097476121</v>
      </c>
      <c r="N720" s="19" t="n">
        <v>23975.4821557136</v>
      </c>
      <c r="O720" s="20" t="n">
        <v>24899.8617638413</v>
      </c>
      <c r="P720" s="21" t="n">
        <v>24986.1454356009</v>
      </c>
      <c r="Q720" s="21" t="n">
        <v>25061.1491522008</v>
      </c>
      <c r="R720" s="21" t="n">
        <v>25141.3398317765</v>
      </c>
      <c r="S720" s="21" t="n">
        <v>25226.8730832175</v>
      </c>
      <c r="T720" s="21" t="n">
        <v>25285.2775005913</v>
      </c>
      <c r="U720" s="21" t="n">
        <v>25333.0340109128</v>
      </c>
      <c r="V720" s="21" t="n">
        <v>25386.6284937608</v>
      </c>
      <c r="W720" s="21" t="n">
        <v>25544.1311375763</v>
      </c>
      <c r="X720" s="21" t="n">
        <v>25756.7748110779</v>
      </c>
      <c r="Y720" s="0"/>
      <c r="Z720" s="0"/>
      <c r="AA720" s="0"/>
      <c r="AB720" s="0"/>
      <c r="AC720" s="0"/>
      <c r="AD720" s="0"/>
      <c r="AE720" s="0"/>
      <c r="AF720" s="0"/>
      <c r="AG720" s="0"/>
    </row>
    <row r="721" customFormat="false" ht="12.75" hidden="false" customHeight="false" outlineLevel="0" collapsed="false">
      <c r="A721" s="22" t="s">
        <v>9</v>
      </c>
      <c r="B721" s="17" t="n">
        <f aca="false">NPV(0.1,D721:Y721)</f>
        <v>80561.2489412342</v>
      </c>
      <c r="C721" s="17" t="n">
        <f aca="false">B721-B710</f>
        <v>0.490772270641173</v>
      </c>
      <c r="D721" s="18" t="n">
        <v>-1906.7971565189</v>
      </c>
      <c r="E721" s="19" t="n">
        <v>3428.82585595184</v>
      </c>
      <c r="F721" s="19" t="n">
        <v>3753.28040907169</v>
      </c>
      <c r="G721" s="19" t="n">
        <v>4003.18133708902</v>
      </c>
      <c r="H721" s="19" t="n">
        <v>7880.35911638379</v>
      </c>
      <c r="I721" s="19" t="n">
        <v>10976.9812058711</v>
      </c>
      <c r="J721" s="19" t="n">
        <v>11584.5472797463</v>
      </c>
      <c r="K721" s="19" t="n">
        <v>12038.9016451343</v>
      </c>
      <c r="L721" s="19" t="n">
        <v>12881.8440351793</v>
      </c>
      <c r="M721" s="19" t="n">
        <v>13498.8522362237</v>
      </c>
      <c r="N721" s="19" t="n">
        <v>14645.0074391804</v>
      </c>
      <c r="O721" s="20" t="n">
        <v>14480.068381497</v>
      </c>
      <c r="P721" s="21" t="n">
        <v>15310.9989521823</v>
      </c>
      <c r="Q721" s="21" t="n">
        <v>15713.3016297668</v>
      </c>
      <c r="R721" s="21" t="n">
        <v>16107.2833193481</v>
      </c>
      <c r="S721" s="21" t="n">
        <v>16492.2827361656</v>
      </c>
      <c r="T721" s="21" t="n">
        <v>16888.008347373</v>
      </c>
      <c r="U721" s="21" t="n">
        <v>17444.6007312509</v>
      </c>
      <c r="V721" s="21" t="n">
        <v>18054.4558814137</v>
      </c>
      <c r="W721" s="21" t="n">
        <v>18687.7834256297</v>
      </c>
      <c r="X721" s="21" t="n">
        <v>19356.2104006605</v>
      </c>
      <c r="Y721" s="0"/>
      <c r="Z721" s="0"/>
      <c r="AA721" s="0"/>
      <c r="AB721" s="0"/>
      <c r="AC721" s="0"/>
      <c r="AD721" s="0"/>
      <c r="AE721" s="0"/>
      <c r="AF721" s="0"/>
      <c r="AG721" s="0"/>
    </row>
    <row r="722" customFormat="false" ht="12.75" hidden="false" customHeight="false" outlineLevel="0" collapsed="false">
      <c r="A722" s="22" t="s">
        <v>10</v>
      </c>
      <c r="B722" s="17" t="n">
        <f aca="false">NPV(0.1,D722:Y722)</f>
        <v>83729.6708232678</v>
      </c>
      <c r="C722" s="17" t="n">
        <f aca="false">B722-B711</f>
        <v>-0.239013785016141</v>
      </c>
      <c r="D722" s="23" t="n">
        <v>-5718.33482201104</v>
      </c>
      <c r="E722" s="24" t="n">
        <v>3460.10710355251</v>
      </c>
      <c r="F722" s="24" t="n">
        <v>4742.33957958596</v>
      </c>
      <c r="G722" s="24" t="n">
        <v>3400.63743872334</v>
      </c>
      <c r="H722" s="24" t="n">
        <v>13149.9678505367</v>
      </c>
      <c r="I722" s="24" t="n">
        <v>16722.916669549</v>
      </c>
      <c r="J722" s="24" t="n">
        <v>12532.0131184602</v>
      </c>
      <c r="K722" s="24" t="n">
        <v>12982.8970762291</v>
      </c>
      <c r="L722" s="24" t="n">
        <v>10327.3992600451</v>
      </c>
      <c r="M722" s="24" t="n">
        <v>8565.89766731853</v>
      </c>
      <c r="N722" s="24" t="n">
        <v>18432.9740501982</v>
      </c>
      <c r="O722" s="25" t="n">
        <v>18419.0855928651</v>
      </c>
      <c r="P722" s="21" t="n">
        <v>18401.3908108713</v>
      </c>
      <c r="Q722" s="21" t="n">
        <v>18793.0178531406</v>
      </c>
      <c r="R722" s="21" t="n">
        <v>19181.3593364929</v>
      </c>
      <c r="S722" s="21" t="n">
        <v>17868.5319157554</v>
      </c>
      <c r="T722" s="21" t="n">
        <v>13311.3125063195</v>
      </c>
      <c r="U722" s="21" t="n">
        <v>12542.2377986532</v>
      </c>
      <c r="V722" s="21" t="n">
        <v>11238.8429488159</v>
      </c>
      <c r="W722" s="21" t="n">
        <v>10694.5655422971</v>
      </c>
      <c r="X722" s="21" t="n">
        <v>22218.6932138667</v>
      </c>
      <c r="Y722" s="0"/>
      <c r="Z722" s="0"/>
      <c r="AA722" s="0"/>
      <c r="AB722" s="0"/>
      <c r="AC722" s="0"/>
      <c r="AD722" s="0"/>
      <c r="AE722" s="0"/>
      <c r="AF722" s="0"/>
      <c r="AG722" s="0"/>
    </row>
    <row r="723" customFormat="false" ht="12.75" hidden="false" customHeight="false" outlineLevel="0" collapsed="false">
      <c r="A723" s="5"/>
      <c r="B723" s="5"/>
      <c r="C723" s="5"/>
      <c r="D723" s="0"/>
      <c r="E723" s="0"/>
      <c r="F723" s="0"/>
      <c r="G723" s="0"/>
      <c r="H723" s="0"/>
      <c r="I723" s="0"/>
      <c r="J723" s="0"/>
      <c r="K723" s="0"/>
      <c r="L723" s="0"/>
      <c r="M723" s="0"/>
      <c r="N723" s="0"/>
      <c r="O723" s="0"/>
      <c r="P723" s="0"/>
      <c r="Q723" s="0"/>
      <c r="R723" s="0"/>
      <c r="S723" s="0"/>
      <c r="T723" s="0"/>
      <c r="U723" s="0"/>
      <c r="V723" s="0"/>
      <c r="W723" s="0"/>
      <c r="X723" s="0"/>
      <c r="Y723" s="0"/>
      <c r="Z723" s="0"/>
      <c r="AA723" s="0"/>
      <c r="AB723" s="0"/>
      <c r="AC723" s="0"/>
      <c r="AD723" s="0"/>
      <c r="AE723" s="0"/>
      <c r="AF723" s="0"/>
      <c r="AG723" s="0"/>
    </row>
    <row r="724" customFormat="false" ht="12.75" hidden="false" customHeight="false" outlineLevel="0" collapsed="false">
      <c r="A724" s="5"/>
      <c r="B724" s="5"/>
      <c r="C724" s="5"/>
      <c r="D724" s="0"/>
      <c r="E724" s="0"/>
      <c r="F724" s="0"/>
      <c r="G724" s="0"/>
      <c r="H724" s="0"/>
      <c r="I724" s="0"/>
      <c r="J724" s="0"/>
      <c r="K724" s="0"/>
      <c r="L724" s="0"/>
      <c r="M724" s="0"/>
      <c r="N724" s="0"/>
      <c r="O724" s="0"/>
      <c r="P724" s="0"/>
      <c r="Q724" s="0"/>
      <c r="R724" s="0"/>
      <c r="S724" s="0"/>
      <c r="T724" s="0"/>
      <c r="U724" s="0"/>
      <c r="V724" s="0"/>
      <c r="W724" s="0"/>
      <c r="X724" s="0"/>
      <c r="Y724" s="0"/>
      <c r="Z724" s="0"/>
      <c r="AA724" s="0"/>
      <c r="AB724" s="0"/>
      <c r="AC724" s="0"/>
      <c r="AD724" s="0"/>
      <c r="AE724" s="0"/>
      <c r="AF724" s="0"/>
      <c r="AG724" s="0"/>
    </row>
    <row r="725" customFormat="false" ht="12.75" hidden="false" customHeight="false" outlineLevel="0" collapsed="false">
      <c r="A725" s="26" t="s">
        <v>83</v>
      </c>
      <c r="B725" s="5"/>
      <c r="C725" s="5"/>
      <c r="D725" s="0"/>
      <c r="E725" s="0"/>
      <c r="F725" s="0"/>
      <c r="G725" s="0"/>
      <c r="H725" s="0"/>
      <c r="I725" s="0"/>
      <c r="J725" s="0"/>
      <c r="K725" s="0"/>
      <c r="L725" s="0"/>
      <c r="M725" s="0"/>
      <c r="N725" s="0"/>
      <c r="O725" s="0"/>
      <c r="P725" s="0"/>
      <c r="Q725" s="0"/>
      <c r="R725" s="0"/>
      <c r="S725" s="0"/>
      <c r="T725" s="0"/>
      <c r="U725" s="0"/>
      <c r="V725" s="0"/>
      <c r="W725" s="0"/>
      <c r="X725" s="0"/>
      <c r="Y725" s="0"/>
      <c r="Z725" s="0"/>
      <c r="AA725" s="0"/>
      <c r="AB725" s="0"/>
      <c r="AC725" s="0"/>
      <c r="AD725" s="0"/>
      <c r="AE725" s="0"/>
      <c r="AF725" s="0"/>
      <c r="AG725" s="0"/>
    </row>
    <row r="726" customFormat="false" ht="12.75" hidden="false" customHeight="false" outlineLevel="0" collapsed="false">
      <c r="A726" s="28" t="n">
        <v>36481</v>
      </c>
      <c r="B726" s="5"/>
      <c r="C726" s="5"/>
      <c r="D726" s="0"/>
      <c r="E726" s="0"/>
      <c r="F726" s="0"/>
      <c r="G726" s="0"/>
      <c r="H726" s="0"/>
      <c r="I726" s="0"/>
      <c r="J726" s="0"/>
      <c r="K726" s="0"/>
      <c r="L726" s="0"/>
      <c r="M726" s="0"/>
      <c r="N726" s="0"/>
      <c r="O726" s="0"/>
      <c r="P726" s="0"/>
      <c r="Q726" s="0"/>
      <c r="R726" s="0"/>
      <c r="S726" s="0"/>
      <c r="T726" s="0"/>
      <c r="U726" s="0"/>
      <c r="V726" s="0"/>
      <c r="W726" s="0"/>
      <c r="X726" s="0"/>
      <c r="Y726" s="0"/>
      <c r="Z726" s="0"/>
      <c r="AA726" s="0"/>
      <c r="AB726" s="0"/>
      <c r="AC726" s="0"/>
      <c r="AD726" s="0"/>
      <c r="AE726" s="0"/>
      <c r="AF726" s="0"/>
      <c r="AG726" s="0"/>
    </row>
    <row r="727" customFormat="false" ht="12.75" hidden="false" customHeight="false" outlineLevel="0" collapsed="false">
      <c r="A727" s="7" t="s">
        <v>2</v>
      </c>
      <c r="B727" s="8" t="n">
        <v>36749.8801553245</v>
      </c>
      <c r="C727" s="5"/>
      <c r="D727" s="0"/>
      <c r="E727" s="0"/>
      <c r="F727" s="0"/>
      <c r="G727" s="0"/>
      <c r="H727" s="0"/>
      <c r="I727" s="0"/>
      <c r="J727" s="0"/>
      <c r="K727" s="0"/>
      <c r="L727" s="0"/>
      <c r="M727" s="0"/>
      <c r="N727" s="0"/>
      <c r="O727" s="0"/>
      <c r="P727" s="0"/>
      <c r="Q727" s="0"/>
      <c r="R727" s="0"/>
      <c r="S727" s="0"/>
      <c r="T727" s="0"/>
      <c r="U727" s="0"/>
      <c r="V727" s="0"/>
      <c r="W727" s="0"/>
      <c r="X727" s="0"/>
      <c r="Y727" s="0"/>
      <c r="Z727" s="0"/>
      <c r="AA727" s="0"/>
      <c r="AB727" s="0"/>
      <c r="AC727" s="0"/>
      <c r="AD727" s="0"/>
      <c r="AE727" s="0"/>
      <c r="AF727" s="0"/>
      <c r="AG727" s="0"/>
    </row>
    <row r="728" customFormat="false" ht="12.75" hidden="false" customHeight="false" outlineLevel="0" collapsed="false">
      <c r="A728" s="9" t="s">
        <v>3</v>
      </c>
      <c r="B728" s="31" t="n">
        <v>66608.6696913882</v>
      </c>
      <c r="C728" s="5"/>
      <c r="D728" s="0"/>
      <c r="E728" s="0"/>
      <c r="F728" s="0"/>
      <c r="G728" s="0"/>
      <c r="H728" s="0"/>
      <c r="I728" s="0"/>
      <c r="J728" s="0"/>
      <c r="K728" s="0"/>
      <c r="L728" s="0"/>
      <c r="M728" s="0"/>
      <c r="N728" s="0"/>
      <c r="O728" s="0"/>
      <c r="P728" s="0"/>
      <c r="Q728" s="0"/>
      <c r="R728" s="0"/>
      <c r="S728" s="0"/>
      <c r="T728" s="0"/>
      <c r="U728" s="0"/>
      <c r="V728" s="0"/>
      <c r="W728" s="0"/>
      <c r="X728" s="0"/>
      <c r="Y728" s="0"/>
      <c r="Z728" s="0"/>
      <c r="AA728" s="0"/>
      <c r="AB728" s="0"/>
      <c r="AC728" s="0"/>
      <c r="AD728" s="0"/>
      <c r="AE728" s="0"/>
      <c r="AF728" s="0"/>
      <c r="AG728" s="0"/>
    </row>
    <row r="729" customFormat="false" ht="12.75" hidden="false" customHeight="false" outlineLevel="0" collapsed="false">
      <c r="A729" s="11" t="s">
        <v>4</v>
      </c>
      <c r="B729" s="12" t="s">
        <v>5</v>
      </c>
      <c r="C729" s="12" t="s">
        <v>6</v>
      </c>
      <c r="D729" s="13" t="n">
        <v>1999</v>
      </c>
      <c r="E729" s="14" t="n">
        <v>2000</v>
      </c>
      <c r="F729" s="14" t="n">
        <v>2001</v>
      </c>
      <c r="G729" s="14" t="n">
        <v>2002</v>
      </c>
      <c r="H729" s="14" t="n">
        <v>2003</v>
      </c>
      <c r="I729" s="14" t="n">
        <v>2004</v>
      </c>
      <c r="J729" s="14" t="n">
        <v>2005</v>
      </c>
      <c r="K729" s="14" t="n">
        <v>2006</v>
      </c>
      <c r="L729" s="14" t="n">
        <v>2007</v>
      </c>
      <c r="M729" s="14" t="n">
        <v>2008</v>
      </c>
      <c r="N729" s="14" t="n">
        <v>2009</v>
      </c>
      <c r="O729" s="15" t="n">
        <v>2010</v>
      </c>
      <c r="P729" s="16" t="n">
        <v>2011</v>
      </c>
      <c r="Q729" s="16" t="n">
        <v>2012</v>
      </c>
      <c r="R729" s="16" t="n">
        <v>2013</v>
      </c>
      <c r="S729" s="16" t="n">
        <v>2014</v>
      </c>
      <c r="T729" s="16" t="n">
        <v>2015</v>
      </c>
      <c r="U729" s="16" t="n">
        <v>2016</v>
      </c>
      <c r="V729" s="16" t="n">
        <v>2017</v>
      </c>
      <c r="W729" s="16" t="n">
        <v>2018</v>
      </c>
      <c r="X729" s="16" t="n">
        <v>2019</v>
      </c>
      <c r="Y729" s="0"/>
      <c r="Z729" s="0"/>
      <c r="AA729" s="0"/>
      <c r="AB729" s="0"/>
      <c r="AC729" s="0"/>
      <c r="AD729" s="0"/>
      <c r="AE729" s="0"/>
      <c r="AF729" s="0"/>
      <c r="AG729" s="0"/>
    </row>
    <row r="730" customFormat="false" ht="12.75" hidden="false" customHeight="false" outlineLevel="0" collapsed="false">
      <c r="A730" s="11" t="s">
        <v>7</v>
      </c>
      <c r="B730" s="17" t="n">
        <f aca="false">NPV(0.1,D730:Y730)</f>
        <v>418867.165581224</v>
      </c>
      <c r="C730" s="17" t="n">
        <f aca="false">B730-B719</f>
        <v>0</v>
      </c>
      <c r="D730" s="18" t="n">
        <v>26898.21696</v>
      </c>
      <c r="E730" s="19" t="n">
        <v>40079.9158149774</v>
      </c>
      <c r="F730" s="19" t="n">
        <v>40673.1613422172</v>
      </c>
      <c r="G730" s="19" t="n">
        <v>40731.6409776837</v>
      </c>
      <c r="H730" s="19" t="n">
        <v>47605.8401142549</v>
      </c>
      <c r="I730" s="19" t="n">
        <v>52769.7658852343</v>
      </c>
      <c r="J730" s="19" t="n">
        <v>53213.7751206579</v>
      </c>
      <c r="K730" s="19" t="n">
        <v>53653.2595037859</v>
      </c>
      <c r="L730" s="19" t="n">
        <v>54718.6111930403</v>
      </c>
      <c r="M730" s="19" t="n">
        <v>55165.9282773646</v>
      </c>
      <c r="N730" s="19" t="n">
        <v>56276.6600298264</v>
      </c>
      <c r="O730" s="20" t="n">
        <v>56731.1338742778</v>
      </c>
      <c r="P730" s="21" t="n">
        <v>57888.8217946469</v>
      </c>
      <c r="Q730" s="21" t="n">
        <v>58349.6650785334</v>
      </c>
      <c r="R730" s="21" t="n">
        <v>58802.3864027137</v>
      </c>
      <c r="S730" s="21" t="n">
        <v>59246.0836906499</v>
      </c>
      <c r="T730" s="21" t="n">
        <v>59679.8080509755</v>
      </c>
      <c r="U730" s="21" t="n">
        <v>60102.5617804749</v>
      </c>
      <c r="V730" s="21" t="n">
        <v>60513.2962893742</v>
      </c>
      <c r="W730" s="21" t="n">
        <v>60910.9099460808</v>
      </c>
      <c r="X730" s="21" t="n">
        <v>61294.2458384051</v>
      </c>
      <c r="Y730" s="0"/>
      <c r="Z730" s="0"/>
      <c r="AA730" s="0"/>
      <c r="AB730" s="0"/>
      <c r="AC730" s="0"/>
      <c r="AD730" s="0"/>
      <c r="AE730" s="0"/>
      <c r="AF730" s="0"/>
      <c r="AG730" s="0"/>
    </row>
    <row r="731" customFormat="false" ht="12.75" hidden="false" customHeight="false" outlineLevel="0" collapsed="false">
      <c r="A731" s="22" t="s">
        <v>8</v>
      </c>
      <c r="B731" s="17" t="n">
        <f aca="false">NPV(0.1,D731:Y731)</f>
        <v>196859.286443482</v>
      </c>
      <c r="C731" s="17" t="n">
        <f aca="false">B731-B720</f>
        <v>0</v>
      </c>
      <c r="D731" s="18" t="n">
        <v>18832.9004385294</v>
      </c>
      <c r="E731" s="19" t="n">
        <v>20833.7465976005</v>
      </c>
      <c r="F731" s="19" t="n">
        <v>21171.6571374941</v>
      </c>
      <c r="G731" s="19" t="n">
        <v>21276.468052825</v>
      </c>
      <c r="H731" s="19" t="n">
        <v>22525.9564221731</v>
      </c>
      <c r="I731" s="19" t="n">
        <v>23310.6896783663</v>
      </c>
      <c r="J731" s="19" t="n">
        <v>23440.3949695167</v>
      </c>
      <c r="K731" s="19" t="n">
        <v>23568.8791223845</v>
      </c>
      <c r="L731" s="19" t="n">
        <v>23701.7072750846</v>
      </c>
      <c r="M731" s="19" t="n">
        <v>23839.0097476121</v>
      </c>
      <c r="N731" s="19" t="n">
        <v>23975.4821557136</v>
      </c>
      <c r="O731" s="20" t="n">
        <v>24899.8617638413</v>
      </c>
      <c r="P731" s="21" t="n">
        <v>24986.1454356009</v>
      </c>
      <c r="Q731" s="21" t="n">
        <v>25061.1491522008</v>
      </c>
      <c r="R731" s="21" t="n">
        <v>25141.3398317765</v>
      </c>
      <c r="S731" s="21" t="n">
        <v>25226.8730832175</v>
      </c>
      <c r="T731" s="21" t="n">
        <v>25285.2775005913</v>
      </c>
      <c r="U731" s="21" t="n">
        <v>25333.0340109128</v>
      </c>
      <c r="V731" s="21" t="n">
        <v>25386.6284937608</v>
      </c>
      <c r="W731" s="21" t="n">
        <v>25544.1311375763</v>
      </c>
      <c r="X731" s="21" t="n">
        <v>25756.7748110779</v>
      </c>
      <c r="Y731" s="0"/>
      <c r="Z731" s="0"/>
      <c r="AA731" s="0"/>
      <c r="AB731" s="0"/>
      <c r="AC731" s="0"/>
      <c r="AD731" s="0"/>
      <c r="AE731" s="0"/>
      <c r="AF731" s="0"/>
      <c r="AG731" s="0"/>
    </row>
    <row r="732" customFormat="false" ht="12.75" hidden="false" customHeight="false" outlineLevel="0" collapsed="false">
      <c r="A732" s="22" t="s">
        <v>9</v>
      </c>
      <c r="B732" s="17" t="n">
        <f aca="false">NPV(0.1,D732:Y732)</f>
        <v>80556.5668762386</v>
      </c>
      <c r="C732" s="17" t="n">
        <f aca="false">B732-B721</f>
        <v>-4.6820649956062</v>
      </c>
      <c r="D732" s="18" t="n">
        <v>-1907.34060797723</v>
      </c>
      <c r="E732" s="19" t="n">
        <v>3427.52157245184</v>
      </c>
      <c r="F732" s="19" t="n">
        <v>3751.97612557169</v>
      </c>
      <c r="G732" s="19" t="n">
        <v>4001.87705358902</v>
      </c>
      <c r="H732" s="19" t="n">
        <v>7879.05483288379</v>
      </c>
      <c r="I732" s="19" t="n">
        <v>10976.2203738295</v>
      </c>
      <c r="J732" s="19" t="n">
        <v>11584.5472797463</v>
      </c>
      <c r="K732" s="19" t="n">
        <v>12038.9016451343</v>
      </c>
      <c r="L732" s="19" t="n">
        <v>12881.8440351793</v>
      </c>
      <c r="M732" s="19" t="n">
        <v>13498.8522362237</v>
      </c>
      <c r="N732" s="19" t="n">
        <v>14645.0074391804</v>
      </c>
      <c r="O732" s="20" t="n">
        <v>14480.068381497</v>
      </c>
      <c r="P732" s="21" t="n">
        <v>15310.9989521823</v>
      </c>
      <c r="Q732" s="21" t="n">
        <v>15713.3016297668</v>
      </c>
      <c r="R732" s="21" t="n">
        <v>16107.2833193481</v>
      </c>
      <c r="S732" s="21" t="n">
        <v>16492.2827361656</v>
      </c>
      <c r="T732" s="21" t="n">
        <v>16888.008347373</v>
      </c>
      <c r="U732" s="21" t="n">
        <v>17444.6007312509</v>
      </c>
      <c r="V732" s="21" t="n">
        <v>18054.4558814137</v>
      </c>
      <c r="W732" s="21" t="n">
        <v>18687.7834256297</v>
      </c>
      <c r="X732" s="21" t="n">
        <v>19356.2104006605</v>
      </c>
      <c r="Y732" s="0"/>
      <c r="Z732" s="0"/>
      <c r="AA732" s="0"/>
      <c r="AB732" s="0"/>
      <c r="AC732" s="0"/>
      <c r="AD732" s="0"/>
      <c r="AE732" s="0"/>
      <c r="AF732" s="0"/>
      <c r="AG732" s="0"/>
    </row>
    <row r="733" customFormat="false" ht="12.75" hidden="false" customHeight="false" outlineLevel="0" collapsed="false">
      <c r="A733" s="22" t="s">
        <v>10</v>
      </c>
      <c r="B733" s="17" t="n">
        <f aca="false">NPV(0.1,D733:Y733)</f>
        <v>83731.9510622774</v>
      </c>
      <c r="C733" s="17" t="n">
        <f aca="false">B733-B722</f>
        <v>2.28023900956032</v>
      </c>
      <c r="D733" s="23" t="n">
        <v>-5718.33482201104</v>
      </c>
      <c r="E733" s="24" t="n">
        <v>3460.10710355251</v>
      </c>
      <c r="F733" s="24" t="n">
        <v>4742.33957958596</v>
      </c>
      <c r="G733" s="24" t="n">
        <v>3400.63743872334</v>
      </c>
      <c r="H733" s="24" t="n">
        <v>13149.9678505367</v>
      </c>
      <c r="I733" s="24" t="n">
        <v>16726.956252049</v>
      </c>
      <c r="J733" s="24" t="n">
        <v>12532.0131184602</v>
      </c>
      <c r="K733" s="24" t="n">
        <v>12982.8970762291</v>
      </c>
      <c r="L733" s="24" t="n">
        <v>10327.3992600451</v>
      </c>
      <c r="M733" s="24" t="n">
        <v>8565.89766731853</v>
      </c>
      <c r="N733" s="24" t="n">
        <v>18432.9740501982</v>
      </c>
      <c r="O733" s="25" t="n">
        <v>18419.0855928651</v>
      </c>
      <c r="P733" s="21" t="n">
        <v>18401.3908108713</v>
      </c>
      <c r="Q733" s="21" t="n">
        <v>18793.0178531406</v>
      </c>
      <c r="R733" s="21" t="n">
        <v>19181.3593364929</v>
      </c>
      <c r="S733" s="21" t="n">
        <v>17868.5319157554</v>
      </c>
      <c r="T733" s="21" t="n">
        <v>13311.3125063195</v>
      </c>
      <c r="U733" s="21" t="n">
        <v>12542.2377986532</v>
      </c>
      <c r="V733" s="21" t="n">
        <v>11238.8429488159</v>
      </c>
      <c r="W733" s="21" t="n">
        <v>10694.5655422971</v>
      </c>
      <c r="X733" s="21" t="n">
        <v>22218.6932138667</v>
      </c>
      <c r="Y733" s="0"/>
      <c r="Z733" s="0"/>
      <c r="AA733" s="0"/>
      <c r="AB733" s="0"/>
      <c r="AC733" s="0"/>
      <c r="AD733" s="0"/>
      <c r="AE733" s="0"/>
      <c r="AF733" s="0"/>
      <c r="AG733" s="0"/>
    </row>
    <row r="734" customFormat="false" ht="12.75" hidden="false" customHeight="false" outlineLevel="0" collapsed="false">
      <c r="A734" s="5"/>
      <c r="B734" s="5"/>
      <c r="C734" s="5"/>
      <c r="D734" s="0"/>
      <c r="E734" s="0"/>
      <c r="F734" s="0"/>
      <c r="G734" s="0"/>
      <c r="H734" s="0"/>
      <c r="I734" s="0"/>
      <c r="J734" s="0"/>
      <c r="K734" s="0"/>
      <c r="L734" s="0"/>
      <c r="M734" s="0"/>
      <c r="N734" s="0"/>
      <c r="O734" s="0"/>
      <c r="P734" s="0"/>
      <c r="Q734" s="0"/>
      <c r="R734" s="0"/>
      <c r="S734" s="0"/>
      <c r="T734" s="0"/>
      <c r="U734" s="0"/>
      <c r="V734" s="0"/>
      <c r="W734" s="0"/>
      <c r="X734" s="0"/>
      <c r="Y734" s="0"/>
      <c r="Z734" s="0"/>
      <c r="AA734" s="0"/>
      <c r="AB734" s="0"/>
      <c r="AC734" s="0"/>
      <c r="AD734" s="0"/>
      <c r="AE734" s="0"/>
      <c r="AF734" s="0"/>
      <c r="AG734" s="0"/>
    </row>
    <row r="735" customFormat="false" ht="12.75" hidden="false" customHeight="false" outlineLevel="0" collapsed="false">
      <c r="A735" s="5"/>
      <c r="B735" s="5"/>
      <c r="C735" s="5"/>
      <c r="D735" s="0"/>
      <c r="E735" s="0"/>
      <c r="F735" s="0"/>
      <c r="G735" s="0"/>
      <c r="H735" s="0"/>
      <c r="I735" s="0"/>
      <c r="J735" s="0"/>
      <c r="K735" s="0"/>
      <c r="L735" s="0"/>
      <c r="M735" s="0"/>
      <c r="N735" s="0"/>
      <c r="O735" s="0"/>
      <c r="P735" s="0"/>
      <c r="Q735" s="0"/>
      <c r="R735" s="0"/>
      <c r="S735" s="0"/>
      <c r="T735" s="0"/>
      <c r="U735" s="0"/>
      <c r="V735" s="0"/>
      <c r="W735" s="0"/>
      <c r="X735" s="0"/>
      <c r="Y735" s="0"/>
      <c r="Z735" s="0"/>
      <c r="AA735" s="0"/>
      <c r="AB735" s="0"/>
      <c r="AC735" s="0"/>
      <c r="AD735" s="0"/>
      <c r="AE735" s="0"/>
      <c r="AF735" s="0"/>
      <c r="AG735" s="0"/>
    </row>
    <row r="736" customFormat="false" ht="12.75" hidden="false" customHeight="false" outlineLevel="0" collapsed="false">
      <c r="A736" s="26" t="s">
        <v>84</v>
      </c>
      <c r="B736" s="5"/>
      <c r="C736" s="5"/>
      <c r="D736" s="0"/>
      <c r="E736" s="0"/>
      <c r="F736" s="0"/>
      <c r="G736" s="0"/>
      <c r="H736" s="0"/>
      <c r="I736" s="0"/>
      <c r="J736" s="0"/>
      <c r="K736" s="0"/>
      <c r="L736" s="0"/>
      <c r="M736" s="0"/>
      <c r="N736" s="0"/>
      <c r="O736" s="0"/>
      <c r="P736" s="0"/>
      <c r="Q736" s="0"/>
      <c r="R736" s="0"/>
      <c r="S736" s="0"/>
      <c r="T736" s="0"/>
      <c r="U736" s="0"/>
      <c r="V736" s="0"/>
      <c r="W736" s="0"/>
      <c r="X736" s="0"/>
      <c r="Y736" s="0"/>
      <c r="Z736" s="0"/>
      <c r="AA736" s="0"/>
      <c r="AB736" s="0"/>
      <c r="AC736" s="0"/>
      <c r="AD736" s="0"/>
      <c r="AE736" s="0"/>
      <c r="AF736" s="0"/>
      <c r="AG736" s="0"/>
    </row>
    <row r="737" customFormat="false" ht="12.75" hidden="false" customHeight="false" outlineLevel="0" collapsed="false">
      <c r="A737" s="28" t="n">
        <v>36494</v>
      </c>
      <c r="B737" s="5"/>
      <c r="C737" s="5"/>
      <c r="D737" s="0"/>
      <c r="E737" s="0"/>
      <c r="F737" s="0"/>
      <c r="G737" s="0"/>
      <c r="H737" s="0"/>
      <c r="I737" s="0"/>
      <c r="J737" s="0"/>
      <c r="K737" s="0"/>
      <c r="L737" s="0"/>
      <c r="M737" s="0"/>
      <c r="N737" s="0"/>
      <c r="O737" s="0"/>
      <c r="P737" s="0"/>
      <c r="Q737" s="0"/>
      <c r="R737" s="0"/>
      <c r="S737" s="0"/>
      <c r="T737" s="0"/>
      <c r="U737" s="0"/>
      <c r="V737" s="0"/>
      <c r="W737" s="0"/>
      <c r="X737" s="0"/>
      <c r="Y737" s="0"/>
      <c r="Z737" s="0"/>
      <c r="AA737" s="0"/>
      <c r="AB737" s="0"/>
      <c r="AC737" s="0"/>
      <c r="AD737" s="0"/>
      <c r="AE737" s="0"/>
      <c r="AF737" s="0"/>
      <c r="AG737" s="0"/>
    </row>
    <row r="738" customFormat="false" ht="12.75" hidden="false" customHeight="false" outlineLevel="0" collapsed="false">
      <c r="A738" s="7" t="s">
        <v>2</v>
      </c>
      <c r="B738" s="8" t="n">
        <v>37012.8903834065</v>
      </c>
      <c r="C738" s="5"/>
      <c r="D738" s="0"/>
      <c r="E738" s="0"/>
      <c r="F738" s="0"/>
      <c r="G738" s="0"/>
      <c r="H738" s="0"/>
      <c r="I738" s="0"/>
      <c r="J738" s="0"/>
      <c r="K738" s="0"/>
      <c r="L738" s="0"/>
      <c r="M738" s="0"/>
      <c r="N738" s="0"/>
      <c r="O738" s="0"/>
      <c r="P738" s="0"/>
      <c r="Q738" s="0"/>
      <c r="R738" s="0"/>
      <c r="S738" s="0"/>
      <c r="T738" s="0"/>
      <c r="U738" s="0"/>
      <c r="V738" s="0"/>
      <c r="W738" s="0"/>
      <c r="X738" s="0"/>
      <c r="Y738" s="0"/>
      <c r="Z738" s="0"/>
      <c r="AA738" s="0"/>
      <c r="AB738" s="0"/>
      <c r="AC738" s="0"/>
      <c r="AD738" s="0"/>
      <c r="AE738" s="0"/>
      <c r="AF738" s="0"/>
      <c r="AG738" s="0"/>
    </row>
    <row r="739" customFormat="false" ht="12.75" hidden="false" customHeight="false" outlineLevel="0" collapsed="false">
      <c r="A739" s="9" t="s">
        <v>3</v>
      </c>
      <c r="B739" s="31" t="n">
        <v>66900.8485460921</v>
      </c>
      <c r="C739" s="5"/>
      <c r="D739" s="0"/>
      <c r="E739" s="0"/>
      <c r="F739" s="0"/>
      <c r="G739" s="0"/>
      <c r="H739" s="0"/>
      <c r="I739" s="0"/>
      <c r="J739" s="0"/>
      <c r="K739" s="0"/>
      <c r="L739" s="0"/>
      <c r="M739" s="0"/>
      <c r="N739" s="0"/>
      <c r="O739" s="0"/>
      <c r="P739" s="0"/>
      <c r="Q739" s="0"/>
      <c r="R739" s="0"/>
      <c r="S739" s="0"/>
      <c r="T739" s="0"/>
      <c r="U739" s="0"/>
      <c r="V739" s="0"/>
      <c r="W739" s="0"/>
      <c r="X739" s="0"/>
      <c r="Y739" s="0"/>
      <c r="Z739" s="0"/>
      <c r="AA739" s="0"/>
      <c r="AB739" s="0"/>
      <c r="AC739" s="0"/>
      <c r="AD739" s="0"/>
      <c r="AE739" s="0"/>
      <c r="AF739" s="0"/>
      <c r="AG739" s="0"/>
    </row>
    <row r="740" customFormat="false" ht="12.75" hidden="false" customHeight="false" outlineLevel="0" collapsed="false">
      <c r="A740" s="11" t="s">
        <v>4</v>
      </c>
      <c r="B740" s="12" t="s">
        <v>5</v>
      </c>
      <c r="C740" s="12" t="s">
        <v>6</v>
      </c>
      <c r="D740" s="13" t="n">
        <v>1999</v>
      </c>
      <c r="E740" s="14" t="n">
        <v>2000</v>
      </c>
      <c r="F740" s="14" t="n">
        <v>2001</v>
      </c>
      <c r="G740" s="14" t="n">
        <v>2002</v>
      </c>
      <c r="H740" s="14" t="n">
        <v>2003</v>
      </c>
      <c r="I740" s="14" t="n">
        <v>2004</v>
      </c>
      <c r="J740" s="14" t="n">
        <v>2005</v>
      </c>
      <c r="K740" s="14" t="n">
        <v>2006</v>
      </c>
      <c r="L740" s="14" t="n">
        <v>2007</v>
      </c>
      <c r="M740" s="14" t="n">
        <v>2008</v>
      </c>
      <c r="N740" s="14" t="n">
        <v>2009</v>
      </c>
      <c r="O740" s="15" t="n">
        <v>2010</v>
      </c>
      <c r="P740" s="16" t="n">
        <v>2011</v>
      </c>
      <c r="Q740" s="16" t="n">
        <v>2012</v>
      </c>
      <c r="R740" s="16" t="n">
        <v>2013</v>
      </c>
      <c r="S740" s="16" t="n">
        <v>2014</v>
      </c>
      <c r="T740" s="16" t="n">
        <v>2015</v>
      </c>
      <c r="U740" s="16" t="n">
        <v>2016</v>
      </c>
      <c r="V740" s="16" t="n">
        <v>2017</v>
      </c>
      <c r="W740" s="16" t="n">
        <v>2018</v>
      </c>
      <c r="X740" s="16" t="n">
        <v>2019</v>
      </c>
      <c r="Y740" s="0"/>
      <c r="Z740" s="0"/>
      <c r="AA740" s="0"/>
      <c r="AB740" s="0"/>
      <c r="AC740" s="0"/>
      <c r="AD740" s="0"/>
      <c r="AE740" s="0"/>
      <c r="AF740" s="0"/>
      <c r="AG740" s="0"/>
    </row>
    <row r="741" customFormat="false" ht="12.75" hidden="false" customHeight="false" outlineLevel="0" collapsed="false">
      <c r="A741" s="11" t="s">
        <v>7</v>
      </c>
      <c r="B741" s="17" t="n">
        <f aca="false">NPV(0.1,D741:Y741)</f>
        <v>418867.165581224</v>
      </c>
      <c r="C741" s="17" t="n">
        <f aca="false">B741-B730</f>
        <v>0</v>
      </c>
      <c r="D741" s="18" t="n">
        <v>26898.21696</v>
      </c>
      <c r="E741" s="19" t="n">
        <v>40079.9158149774</v>
      </c>
      <c r="F741" s="19" t="n">
        <v>40673.1613422172</v>
      </c>
      <c r="G741" s="19" t="n">
        <v>40731.6409776837</v>
      </c>
      <c r="H741" s="19" t="n">
        <v>47605.8401142549</v>
      </c>
      <c r="I741" s="19" t="n">
        <v>52769.7658852343</v>
      </c>
      <c r="J741" s="19" t="n">
        <v>53213.7751206579</v>
      </c>
      <c r="K741" s="19" t="n">
        <v>53653.2595037859</v>
      </c>
      <c r="L741" s="19" t="n">
        <v>54718.6111930403</v>
      </c>
      <c r="M741" s="19" t="n">
        <v>55165.9282773646</v>
      </c>
      <c r="N741" s="19" t="n">
        <v>56276.6600298264</v>
      </c>
      <c r="O741" s="20" t="n">
        <v>56731.1338742778</v>
      </c>
      <c r="P741" s="21" t="n">
        <v>57888.8217946469</v>
      </c>
      <c r="Q741" s="21" t="n">
        <v>58349.6650785334</v>
      </c>
      <c r="R741" s="21" t="n">
        <v>58802.3864027137</v>
      </c>
      <c r="S741" s="21" t="n">
        <v>59246.0836906499</v>
      </c>
      <c r="T741" s="21" t="n">
        <v>59679.8080509755</v>
      </c>
      <c r="U741" s="21" t="n">
        <v>60102.5617804749</v>
      </c>
      <c r="V741" s="21" t="n">
        <v>60513.2962893742</v>
      </c>
      <c r="W741" s="21" t="n">
        <v>60910.9099460808</v>
      </c>
      <c r="X741" s="21" t="n">
        <v>61294.2458384051</v>
      </c>
      <c r="Y741" s="0"/>
      <c r="Z741" s="0"/>
      <c r="AA741" s="0"/>
      <c r="AB741" s="0"/>
      <c r="AC741" s="0"/>
      <c r="AD741" s="0"/>
      <c r="AE741" s="0"/>
      <c r="AF741" s="0"/>
      <c r="AG741" s="0"/>
    </row>
    <row r="742" customFormat="false" ht="12.75" hidden="false" customHeight="false" outlineLevel="0" collapsed="false">
      <c r="A742" s="22" t="s">
        <v>8</v>
      </c>
      <c r="B742" s="17" t="n">
        <f aca="false">NPV(0.1,D742:Y742)</f>
        <v>196948.664417693</v>
      </c>
      <c r="C742" s="17" t="n">
        <f aca="false">B742-B731</f>
        <v>89.3779742107145</v>
      </c>
      <c r="D742" s="18" t="n">
        <v>18832.9004385294</v>
      </c>
      <c r="E742" s="19" t="n">
        <v>20844.4875250162</v>
      </c>
      <c r="F742" s="19" t="n">
        <v>21182.1810764772</v>
      </c>
      <c r="G742" s="19" t="n">
        <v>21286.7750033754</v>
      </c>
      <c r="H742" s="19" t="n">
        <v>22536.0463842908</v>
      </c>
      <c r="I742" s="19" t="n">
        <v>23320.5626520514</v>
      </c>
      <c r="J742" s="19" t="n">
        <v>23450.0509547692</v>
      </c>
      <c r="K742" s="19" t="n">
        <v>23578.209624988</v>
      </c>
      <c r="L742" s="19" t="n">
        <v>23710.7122950392</v>
      </c>
      <c r="M742" s="19" t="n">
        <v>23847.6892849177</v>
      </c>
      <c r="N742" s="19" t="n">
        <v>23983.7277161539</v>
      </c>
      <c r="O742" s="20" t="n">
        <v>24923.2965145665</v>
      </c>
      <c r="P742" s="21" t="n">
        <v>25007.9527730813</v>
      </c>
      <c r="Q742" s="21" t="n">
        <v>25081.0035937873</v>
      </c>
      <c r="R742" s="21" t="n">
        <v>25159.2413774693</v>
      </c>
      <c r="S742" s="21" t="n">
        <v>25242.8217330166</v>
      </c>
      <c r="T742" s="21" t="n">
        <v>25298.6222891987</v>
      </c>
      <c r="U742" s="21" t="n">
        <v>25343.4494556795</v>
      </c>
      <c r="V742" s="21" t="n">
        <v>25394.1145946868</v>
      </c>
      <c r="W742" s="21" t="n">
        <v>25550.6407905555</v>
      </c>
      <c r="X742" s="21" t="n">
        <v>25763.2844640571</v>
      </c>
      <c r="Y742" s="0"/>
      <c r="Z742" s="0"/>
      <c r="AA742" s="0"/>
      <c r="AB742" s="0"/>
      <c r="AC742" s="0"/>
      <c r="AD742" s="0"/>
      <c r="AE742" s="0"/>
      <c r="AF742" s="0"/>
      <c r="AG742" s="0"/>
    </row>
    <row r="743" customFormat="false" ht="12.75" hidden="false" customHeight="false" outlineLevel="0" collapsed="false">
      <c r="A743" s="22" t="s">
        <v>9</v>
      </c>
      <c r="B743" s="17" t="n">
        <f aca="false">NPV(0.1,D743:Y743)</f>
        <v>80555.8163966667</v>
      </c>
      <c r="C743" s="17" t="n">
        <f aca="false">B743-B732</f>
        <v>-0.750479571899632</v>
      </c>
      <c r="D743" s="18" t="n">
        <v>-1904.49265423765</v>
      </c>
      <c r="E743" s="19" t="n">
        <v>3427.64123221417</v>
      </c>
      <c r="F743" s="19" t="n">
        <v>3752.23145057064</v>
      </c>
      <c r="G743" s="19" t="n">
        <v>4002.26804382459</v>
      </c>
      <c r="H743" s="19" t="n">
        <v>7879.58148835598</v>
      </c>
      <c r="I743" s="19" t="n">
        <v>10976.8496068299</v>
      </c>
      <c r="J743" s="19" t="n">
        <v>11585.2658551917</v>
      </c>
      <c r="K743" s="19" t="n">
        <v>12039.8237184347</v>
      </c>
      <c r="L743" s="19" t="n">
        <v>12882.9696063346</v>
      </c>
      <c r="M743" s="19" t="n">
        <v>13500.1813052339</v>
      </c>
      <c r="N743" s="19" t="n">
        <v>14646.6078386639</v>
      </c>
      <c r="O743" s="20" t="n">
        <v>14472.172214417</v>
      </c>
      <c r="P743" s="21" t="n">
        <v>15304.120274377</v>
      </c>
      <c r="Q743" s="21" t="n">
        <v>15707.6439390911</v>
      </c>
      <c r="R743" s="21" t="n">
        <v>16102.846615802</v>
      </c>
      <c r="S743" s="21" t="n">
        <v>16489.067019749</v>
      </c>
      <c r="T743" s="21" t="n">
        <v>16886.4206137959</v>
      </c>
      <c r="U743" s="21" t="n">
        <v>17444.8444783682</v>
      </c>
      <c r="V743" s="21" t="n">
        <v>18056.5311092253</v>
      </c>
      <c r="W743" s="21" t="n">
        <v>18690.4691470061</v>
      </c>
      <c r="X743" s="21" t="n">
        <v>19358.8961220369</v>
      </c>
      <c r="Y743" s="0"/>
      <c r="Z743" s="0"/>
      <c r="AA743" s="0"/>
      <c r="AB743" s="0"/>
      <c r="AC743" s="0"/>
      <c r="AD743" s="0"/>
      <c r="AE743" s="0"/>
      <c r="AF743" s="0"/>
      <c r="AG743" s="0"/>
    </row>
    <row r="744" customFormat="false" ht="12.75" hidden="false" customHeight="false" outlineLevel="0" collapsed="false">
      <c r="A744" s="22" t="s">
        <v>10</v>
      </c>
      <c r="B744" s="17" t="n">
        <f aca="false">NPV(0.1,D744:Y744)</f>
        <v>83620.0679786042</v>
      </c>
      <c r="C744" s="17" t="n">
        <f aca="false">B744-B733</f>
        <v>-111.883083673223</v>
      </c>
      <c r="D744" s="23" t="n">
        <v>-5718.33482201104</v>
      </c>
      <c r="E744" s="24" t="n">
        <v>3459.97284195981</v>
      </c>
      <c r="F744" s="24" t="n">
        <v>4731.46710293299</v>
      </c>
      <c r="G744" s="24" t="n">
        <v>3389.98466285842</v>
      </c>
      <c r="H744" s="24" t="n">
        <v>13139.5347754599</v>
      </c>
      <c r="I744" s="24" t="n">
        <v>16675.2054387702</v>
      </c>
      <c r="J744" s="24" t="n">
        <v>12517.5291336655</v>
      </c>
      <c r="K744" s="24" t="n">
        <v>12968.4941461013</v>
      </c>
      <c r="L744" s="24" t="n">
        <v>10313.213776744</v>
      </c>
      <c r="M744" s="24" t="n">
        <v>8551.90173290053</v>
      </c>
      <c r="N744" s="24" t="n">
        <v>18419.1549010088</v>
      </c>
      <c r="O744" s="25" t="n">
        <v>18411.3790952907</v>
      </c>
      <c r="P744" s="21" t="n">
        <v>18377.8991480137</v>
      </c>
      <c r="Q744" s="21" t="n">
        <v>18770.4077457919</v>
      </c>
      <c r="R744" s="21" t="n">
        <v>19159.9841652456</v>
      </c>
      <c r="S744" s="21" t="n">
        <v>17852.4926783038</v>
      </c>
      <c r="T744" s="21" t="n">
        <v>13300.3652330757</v>
      </c>
      <c r="U744" s="21" t="n">
        <v>12532.7965234548</v>
      </c>
      <c r="V744" s="21" t="n">
        <v>11231.2331543119</v>
      </c>
      <c r="W744" s="21" t="n">
        <v>10689.5191372516</v>
      </c>
      <c r="X744" s="21" t="n">
        <v>22214.6232567681</v>
      </c>
      <c r="Y744" s="0"/>
      <c r="Z744" s="0"/>
      <c r="AA744" s="0"/>
      <c r="AB744" s="0"/>
      <c r="AC744" s="0"/>
      <c r="AD744" s="0"/>
      <c r="AE744" s="0"/>
      <c r="AF744" s="0"/>
      <c r="AG744" s="0"/>
    </row>
    <row r="747" customFormat="false" ht="12.75" hidden="false" customHeight="false" outlineLevel="0" collapsed="false">
      <c r="A747" s="26" t="s">
        <v>85</v>
      </c>
      <c r="B747" s="5"/>
      <c r="C747" s="5"/>
      <c r="D747" s="0"/>
      <c r="E747" s="0"/>
      <c r="F747" s="0"/>
      <c r="G747" s="0"/>
      <c r="H747" s="0"/>
      <c r="I747" s="0"/>
      <c r="J747" s="0"/>
      <c r="K747" s="0"/>
      <c r="L747" s="0"/>
      <c r="M747" s="0"/>
      <c r="N747" s="0"/>
      <c r="O747" s="0"/>
      <c r="P747" s="0"/>
      <c r="Q747" s="0"/>
      <c r="R747" s="0"/>
      <c r="S747" s="0"/>
      <c r="T747" s="0"/>
      <c r="U747" s="0"/>
      <c r="V747" s="0"/>
      <c r="W747" s="0"/>
      <c r="X747" s="0"/>
      <c r="Y747" s="0"/>
      <c r="Z747" s="0"/>
      <c r="AA747" s="0"/>
      <c r="AB747" s="0"/>
      <c r="AC747" s="0"/>
      <c r="AD747" s="0"/>
      <c r="AE747" s="0"/>
      <c r="AF747" s="0"/>
      <c r="AG747" s="0"/>
    </row>
    <row r="748" customFormat="false" ht="12.75" hidden="false" customHeight="false" outlineLevel="0" collapsed="false">
      <c r="A748" s="28" t="n">
        <v>36509</v>
      </c>
      <c r="B748" s="5"/>
      <c r="C748" s="5"/>
      <c r="D748" s="0"/>
      <c r="E748" s="0"/>
      <c r="F748" s="0"/>
      <c r="G748" s="0"/>
      <c r="H748" s="0"/>
      <c r="I748" s="0"/>
      <c r="J748" s="0"/>
      <c r="K748" s="0"/>
      <c r="L748" s="0"/>
      <c r="M748" s="0"/>
      <c r="N748" s="0"/>
      <c r="O748" s="0"/>
      <c r="P748" s="0"/>
      <c r="Q748" s="0"/>
      <c r="R748" s="0"/>
      <c r="S748" s="0"/>
      <c r="T748" s="0"/>
      <c r="U748" s="0"/>
      <c r="V748" s="0"/>
      <c r="W748" s="0"/>
      <c r="X748" s="0"/>
      <c r="Y748" s="0"/>
      <c r="Z748" s="0"/>
      <c r="AA748" s="0"/>
      <c r="AB748" s="0"/>
      <c r="AC748" s="0"/>
      <c r="AD748" s="0"/>
      <c r="AE748" s="0"/>
      <c r="AF748" s="0"/>
      <c r="AG748" s="0"/>
    </row>
    <row r="749" customFormat="false" ht="12.75" hidden="false" customHeight="false" outlineLevel="0" collapsed="false">
      <c r="A749" s="7" t="s">
        <v>2</v>
      </c>
      <c r="B749" s="8" t="n">
        <v>36723.0349217924</v>
      </c>
      <c r="C749" s="5"/>
      <c r="D749" s="0"/>
      <c r="E749" s="0"/>
      <c r="F749" s="0"/>
      <c r="G749" s="0"/>
      <c r="H749" s="0"/>
      <c r="I749" s="0"/>
      <c r="J749" s="0"/>
      <c r="K749" s="0"/>
      <c r="L749" s="0"/>
      <c r="M749" s="0"/>
      <c r="N749" s="0"/>
      <c r="O749" s="0"/>
      <c r="P749" s="0"/>
      <c r="Q749" s="0"/>
      <c r="R749" s="0"/>
      <c r="S749" s="0"/>
      <c r="T749" s="0"/>
      <c r="U749" s="0"/>
      <c r="V749" s="0"/>
      <c r="W749" s="0"/>
      <c r="X749" s="0"/>
      <c r="Y749" s="0"/>
      <c r="Z749" s="0"/>
      <c r="AA749" s="0"/>
      <c r="AB749" s="0"/>
      <c r="AC749" s="0"/>
      <c r="AD749" s="0"/>
      <c r="AE749" s="0"/>
      <c r="AF749" s="0"/>
      <c r="AG749" s="0"/>
    </row>
    <row r="750" customFormat="false" ht="12.75" hidden="false" customHeight="false" outlineLevel="0" collapsed="false">
      <c r="A750" s="9" t="s">
        <v>3</v>
      </c>
      <c r="B750" s="31" t="n">
        <v>66554.6925460921</v>
      </c>
      <c r="C750" s="5"/>
      <c r="D750" s="0"/>
      <c r="E750" s="0"/>
      <c r="F750" s="0"/>
      <c r="G750" s="0"/>
      <c r="H750" s="0"/>
      <c r="I750" s="0"/>
      <c r="J750" s="0"/>
      <c r="K750" s="0"/>
      <c r="L750" s="0"/>
      <c r="M750" s="0"/>
      <c r="N750" s="0"/>
      <c r="O750" s="0"/>
      <c r="P750" s="0"/>
      <c r="Q750" s="0"/>
      <c r="R750" s="0"/>
      <c r="S750" s="0"/>
      <c r="T750" s="0"/>
      <c r="U750" s="0"/>
      <c r="V750" s="0"/>
      <c r="W750" s="0"/>
      <c r="X750" s="0"/>
      <c r="Y750" s="0"/>
      <c r="Z750" s="0"/>
      <c r="AA750" s="0"/>
      <c r="AB750" s="0"/>
      <c r="AC750" s="0"/>
      <c r="AD750" s="0"/>
      <c r="AE750" s="0"/>
      <c r="AF750" s="0"/>
      <c r="AG750" s="0"/>
    </row>
    <row r="751" customFormat="false" ht="12.75" hidden="false" customHeight="false" outlineLevel="0" collapsed="false">
      <c r="A751" s="11" t="s">
        <v>4</v>
      </c>
      <c r="B751" s="12" t="s">
        <v>5</v>
      </c>
      <c r="C751" s="12" t="s">
        <v>6</v>
      </c>
      <c r="D751" s="13" t="n">
        <v>1999</v>
      </c>
      <c r="E751" s="14" t="n">
        <v>2000</v>
      </c>
      <c r="F751" s="14" t="n">
        <v>2001</v>
      </c>
      <c r="G751" s="14" t="n">
        <v>2002</v>
      </c>
      <c r="H751" s="14" t="n">
        <v>2003</v>
      </c>
      <c r="I751" s="14" t="n">
        <v>2004</v>
      </c>
      <c r="J751" s="14" t="n">
        <v>2005</v>
      </c>
      <c r="K751" s="14" t="n">
        <v>2006</v>
      </c>
      <c r="L751" s="14" t="n">
        <v>2007</v>
      </c>
      <c r="M751" s="14" t="n">
        <v>2008</v>
      </c>
      <c r="N751" s="14" t="n">
        <v>2009</v>
      </c>
      <c r="O751" s="15" t="n">
        <v>2010</v>
      </c>
      <c r="P751" s="16" t="n">
        <v>2011</v>
      </c>
      <c r="Q751" s="16" t="n">
        <v>2012</v>
      </c>
      <c r="R751" s="16" t="n">
        <v>2013</v>
      </c>
      <c r="S751" s="16" t="n">
        <v>2014</v>
      </c>
      <c r="T751" s="16" t="n">
        <v>2015</v>
      </c>
      <c r="U751" s="16" t="n">
        <v>2016</v>
      </c>
      <c r="V751" s="16" t="n">
        <v>2017</v>
      </c>
      <c r="W751" s="16" t="n">
        <v>2018</v>
      </c>
      <c r="X751" s="16" t="n">
        <v>2019</v>
      </c>
      <c r="Y751" s="0"/>
      <c r="Z751" s="0"/>
      <c r="AA751" s="0"/>
      <c r="AB751" s="0"/>
      <c r="AC751" s="0"/>
      <c r="AD751" s="0"/>
      <c r="AE751" s="0"/>
      <c r="AF751" s="0"/>
      <c r="AG751" s="0"/>
    </row>
    <row r="752" customFormat="false" ht="12.75" hidden="false" customHeight="false" outlineLevel="0" collapsed="false">
      <c r="A752" s="11" t="s">
        <v>7</v>
      </c>
      <c r="B752" s="17" t="n">
        <f aca="false">NPV(0.1,D752:Y752)</f>
        <v>418867.165581224</v>
      </c>
      <c r="C752" s="17" t="n">
        <f aca="false">B752-B741</f>
        <v>0</v>
      </c>
      <c r="D752" s="18" t="n">
        <v>26898.21696</v>
      </c>
      <c r="E752" s="19" t="n">
        <v>40079.9158149774</v>
      </c>
      <c r="F752" s="19" t="n">
        <v>40673.1613422172</v>
      </c>
      <c r="G752" s="19" t="n">
        <v>40731.6409776837</v>
      </c>
      <c r="H752" s="19" t="n">
        <v>47605.8401142549</v>
      </c>
      <c r="I752" s="19" t="n">
        <v>52769.7658852343</v>
      </c>
      <c r="J752" s="19" t="n">
        <v>53213.7751206579</v>
      </c>
      <c r="K752" s="19" t="n">
        <v>53653.2595037859</v>
      </c>
      <c r="L752" s="19" t="n">
        <v>54718.6111930403</v>
      </c>
      <c r="M752" s="19" t="n">
        <v>55165.9282773646</v>
      </c>
      <c r="N752" s="19" t="n">
        <v>56276.6600298264</v>
      </c>
      <c r="O752" s="20" t="n">
        <v>56731.1338742778</v>
      </c>
      <c r="P752" s="21" t="n">
        <v>57888.8217946469</v>
      </c>
      <c r="Q752" s="21" t="n">
        <v>58349.6650785334</v>
      </c>
      <c r="R752" s="21" t="n">
        <v>58802.3864027137</v>
      </c>
      <c r="S752" s="21" t="n">
        <v>59246.0836906499</v>
      </c>
      <c r="T752" s="21" t="n">
        <v>59679.8080509755</v>
      </c>
      <c r="U752" s="21" t="n">
        <v>60102.5617804749</v>
      </c>
      <c r="V752" s="21" t="n">
        <v>60513.2962893742</v>
      </c>
      <c r="W752" s="21" t="n">
        <v>60910.9099460808</v>
      </c>
      <c r="X752" s="21" t="n">
        <v>61294.2458384051</v>
      </c>
      <c r="Y752" s="0"/>
      <c r="Z752" s="0"/>
      <c r="AA752" s="0"/>
      <c r="AB752" s="0"/>
      <c r="AC752" s="0"/>
      <c r="AD752" s="0"/>
      <c r="AE752" s="0"/>
      <c r="AF752" s="0"/>
      <c r="AG752" s="0"/>
    </row>
    <row r="753" customFormat="false" ht="12.75" hidden="false" customHeight="false" outlineLevel="0" collapsed="false">
      <c r="A753" s="22" t="s">
        <v>8</v>
      </c>
      <c r="B753" s="17" t="n">
        <f aca="false">NPV(0.1,D753:Y753)</f>
        <v>196948.664417693</v>
      </c>
      <c r="C753" s="17" t="n">
        <f aca="false">B753-B742</f>
        <v>0</v>
      </c>
      <c r="D753" s="18" t="n">
        <v>18832.9004385294</v>
      </c>
      <c r="E753" s="19" t="n">
        <v>20844.4875250162</v>
      </c>
      <c r="F753" s="19" t="n">
        <v>21182.1810764772</v>
      </c>
      <c r="G753" s="19" t="n">
        <v>21286.7750033754</v>
      </c>
      <c r="H753" s="19" t="n">
        <v>22536.0463842908</v>
      </c>
      <c r="I753" s="19" t="n">
        <v>23320.5626520514</v>
      </c>
      <c r="J753" s="19" t="n">
        <v>23450.0509547692</v>
      </c>
      <c r="K753" s="19" t="n">
        <v>23578.209624988</v>
      </c>
      <c r="L753" s="19" t="n">
        <v>23710.7122950392</v>
      </c>
      <c r="M753" s="19" t="n">
        <v>23847.6892849177</v>
      </c>
      <c r="N753" s="19" t="n">
        <v>23983.7277161539</v>
      </c>
      <c r="O753" s="20" t="n">
        <v>24923.2965145665</v>
      </c>
      <c r="P753" s="21" t="n">
        <v>25007.9527730813</v>
      </c>
      <c r="Q753" s="21" t="n">
        <v>25081.0035937873</v>
      </c>
      <c r="R753" s="21" t="n">
        <v>25159.2413774693</v>
      </c>
      <c r="S753" s="21" t="n">
        <v>25242.8217330166</v>
      </c>
      <c r="T753" s="21" t="n">
        <v>25298.6222891987</v>
      </c>
      <c r="U753" s="21" t="n">
        <v>25343.4494556795</v>
      </c>
      <c r="V753" s="21" t="n">
        <v>25394.1145946868</v>
      </c>
      <c r="W753" s="21" t="n">
        <v>25550.6407905555</v>
      </c>
      <c r="X753" s="21" t="n">
        <v>25763.2844640571</v>
      </c>
      <c r="Y753" s="0"/>
      <c r="Z753" s="0"/>
      <c r="AA753" s="0"/>
      <c r="AB753" s="0"/>
      <c r="AC753" s="0"/>
      <c r="AD753" s="0"/>
      <c r="AE753" s="0"/>
      <c r="AF753" s="0"/>
      <c r="AG753" s="0"/>
    </row>
    <row r="754" customFormat="false" ht="12.75" hidden="false" customHeight="false" outlineLevel="0" collapsed="false">
      <c r="A754" s="22" t="s">
        <v>9</v>
      </c>
      <c r="B754" s="17" t="n">
        <f aca="false">NPV(0.1,D754:Y754)</f>
        <v>80437.0816604687</v>
      </c>
      <c r="C754" s="17" t="n">
        <f aca="false">B754-B743</f>
        <v>-118.734736197948</v>
      </c>
      <c r="D754" s="18" t="n">
        <v>-1915.29289647723</v>
      </c>
      <c r="E754" s="19" t="n">
        <v>3401.72065083917</v>
      </c>
      <c r="F754" s="19" t="n">
        <v>3726.31086919564</v>
      </c>
      <c r="G754" s="19" t="n">
        <v>3976.34746244959</v>
      </c>
      <c r="H754" s="19" t="n">
        <v>7853.66090698098</v>
      </c>
      <c r="I754" s="19" t="n">
        <v>10959.3354131633</v>
      </c>
      <c r="J754" s="19" t="n">
        <v>11579.5206043167</v>
      </c>
      <c r="K754" s="19" t="n">
        <v>12034.0784675597</v>
      </c>
      <c r="L754" s="19" t="n">
        <v>12877.2243554596</v>
      </c>
      <c r="M754" s="19" t="n">
        <v>13494.4360543589</v>
      </c>
      <c r="N754" s="19" t="n">
        <v>14640.8625877889</v>
      </c>
      <c r="O754" s="20" t="n">
        <v>14466.426963542</v>
      </c>
      <c r="P754" s="21" t="n">
        <v>15298.375023502</v>
      </c>
      <c r="Q754" s="21" t="n">
        <v>15701.8986882161</v>
      </c>
      <c r="R754" s="21" t="n">
        <v>16097.101364927</v>
      </c>
      <c r="S754" s="21" t="n">
        <v>16483.321768874</v>
      </c>
      <c r="T754" s="21" t="n">
        <v>16880.6753629209</v>
      </c>
      <c r="U754" s="21" t="n">
        <v>17439.0992274932</v>
      </c>
      <c r="V754" s="21" t="n">
        <v>18050.7858583503</v>
      </c>
      <c r="W754" s="21" t="n">
        <v>18684.7238961311</v>
      </c>
      <c r="X754" s="21" t="n">
        <v>19355.6081738181</v>
      </c>
      <c r="Y754" s="0"/>
      <c r="Z754" s="0"/>
      <c r="AA754" s="0"/>
      <c r="AB754" s="0"/>
      <c r="AC754" s="0"/>
      <c r="AD754" s="0"/>
      <c r="AE754" s="0"/>
      <c r="AF754" s="0"/>
      <c r="AG754" s="0"/>
    </row>
    <row r="755" customFormat="false" ht="12.75" hidden="false" customHeight="false" outlineLevel="0" collapsed="false">
      <c r="A755" s="22" t="s">
        <v>10</v>
      </c>
      <c r="B755" s="17" t="n">
        <f aca="false">NPV(0.1,D755:Y755)</f>
        <v>83680.2973686809</v>
      </c>
      <c r="C755" s="17" t="n">
        <f aca="false">B755-B744</f>
        <v>60.2293900767108</v>
      </c>
      <c r="D755" s="23" t="n">
        <v>-5718.33482201104</v>
      </c>
      <c r="E755" s="24" t="n">
        <v>3459.97284195981</v>
      </c>
      <c r="F755" s="24" t="n">
        <v>4731.46710293299</v>
      </c>
      <c r="G755" s="24" t="n">
        <v>3389.98466285842</v>
      </c>
      <c r="H755" s="24" t="n">
        <v>13139.5347754599</v>
      </c>
      <c r="I755" s="24" t="n">
        <v>16756.0989429739</v>
      </c>
      <c r="J755" s="24" t="n">
        <v>12520.9967524405</v>
      </c>
      <c r="K755" s="24" t="n">
        <v>12971.9614504613</v>
      </c>
      <c r="L755" s="24" t="n">
        <v>10316.681395519</v>
      </c>
      <c r="M755" s="24" t="n">
        <v>8555.36903726053</v>
      </c>
      <c r="N755" s="24" t="n">
        <v>18422.6225197838</v>
      </c>
      <c r="O755" s="25" t="n">
        <v>18414.8463996507</v>
      </c>
      <c r="P755" s="21" t="n">
        <v>18381.3667667887</v>
      </c>
      <c r="Q755" s="21" t="n">
        <v>18773.8750501519</v>
      </c>
      <c r="R755" s="21" t="n">
        <v>19163.4517840206</v>
      </c>
      <c r="S755" s="21" t="n">
        <v>17856.0530495038</v>
      </c>
      <c r="T755" s="21" t="n">
        <v>13304.0183567007</v>
      </c>
      <c r="U755" s="21" t="n">
        <v>12536.4496470798</v>
      </c>
      <c r="V755" s="21" t="n">
        <v>11234.8862779369</v>
      </c>
      <c r="W755" s="21" t="n">
        <v>10693.1722608766</v>
      </c>
      <c r="X755" s="21" t="n">
        <v>22214.6232567681</v>
      </c>
      <c r="Y755" s="0"/>
      <c r="Z755" s="0"/>
      <c r="AA755" s="0"/>
      <c r="AB755" s="0"/>
      <c r="AC755" s="0"/>
      <c r="AD755" s="0"/>
      <c r="AE755" s="0"/>
      <c r="AF755" s="0"/>
      <c r="AG755" s="0"/>
    </row>
    <row r="758" customFormat="false" ht="12.75" hidden="false" customHeight="false" outlineLevel="0" collapsed="false">
      <c r="A758" s="26" t="s">
        <v>86</v>
      </c>
      <c r="B758" s="5"/>
      <c r="C758" s="5"/>
      <c r="D758" s="0"/>
      <c r="E758" s="0"/>
      <c r="F758" s="0"/>
      <c r="G758" s="0"/>
      <c r="H758" s="0"/>
      <c r="I758" s="0"/>
      <c r="J758" s="0"/>
      <c r="K758" s="0"/>
      <c r="L758" s="0"/>
      <c r="M758" s="0"/>
      <c r="N758" s="0"/>
      <c r="O758" s="0"/>
      <c r="P758" s="0"/>
      <c r="Q758" s="0"/>
      <c r="R758" s="0"/>
      <c r="S758" s="0"/>
      <c r="T758" s="0"/>
      <c r="U758" s="0"/>
      <c r="V758" s="0"/>
      <c r="W758" s="0"/>
      <c r="X758" s="0"/>
      <c r="Y758" s="0"/>
      <c r="Z758" s="0"/>
      <c r="AA758" s="0"/>
      <c r="AB758" s="0"/>
      <c r="AC758" s="0"/>
      <c r="AD758" s="0"/>
      <c r="AE758" s="0"/>
      <c r="AF758" s="0"/>
      <c r="AG758" s="0"/>
    </row>
    <row r="759" customFormat="false" ht="12.75" hidden="false" customHeight="false" outlineLevel="0" collapsed="false">
      <c r="A759" s="28" t="n">
        <v>36529</v>
      </c>
      <c r="B759" s="5"/>
      <c r="C759" s="5"/>
      <c r="D759" s="0"/>
      <c r="E759" s="0"/>
      <c r="F759" s="0"/>
      <c r="G759" s="0"/>
      <c r="H759" s="0"/>
      <c r="I759" s="0"/>
      <c r="J759" s="0"/>
      <c r="K759" s="0"/>
      <c r="L759" s="0"/>
      <c r="M759" s="0"/>
      <c r="N759" s="0"/>
      <c r="O759" s="0"/>
      <c r="P759" s="0"/>
      <c r="Q759" s="0"/>
      <c r="R759" s="0"/>
      <c r="S759" s="0"/>
      <c r="T759" s="0"/>
      <c r="U759" s="0"/>
      <c r="V759" s="0"/>
      <c r="W759" s="0"/>
      <c r="X759" s="0"/>
      <c r="Y759" s="0"/>
      <c r="Z759" s="0"/>
      <c r="AA759" s="0"/>
      <c r="AB759" s="0"/>
      <c r="AC759" s="0"/>
      <c r="AD759" s="0"/>
      <c r="AE759" s="0"/>
      <c r="AF759" s="0"/>
      <c r="AG759" s="0"/>
    </row>
    <row r="760" customFormat="false" ht="12.75" hidden="false" customHeight="false" outlineLevel="0" collapsed="false">
      <c r="A760" s="7" t="s">
        <v>2</v>
      </c>
      <c r="B760" s="8" t="n">
        <v>36764.7082145933</v>
      </c>
      <c r="C760" s="5"/>
      <c r="D760" s="0"/>
      <c r="E760" s="0"/>
      <c r="F760" s="0"/>
      <c r="G760" s="0"/>
      <c r="H760" s="0"/>
      <c r="I760" s="0"/>
      <c r="J760" s="0"/>
      <c r="K760" s="0"/>
      <c r="L760" s="0"/>
      <c r="M760" s="0"/>
      <c r="N760" s="0"/>
      <c r="O760" s="0"/>
      <c r="P760" s="0"/>
      <c r="Q760" s="0"/>
      <c r="R760" s="0"/>
      <c r="S760" s="0"/>
      <c r="T760" s="0"/>
      <c r="U760" s="0"/>
      <c r="V760" s="0"/>
      <c r="W760" s="0"/>
      <c r="X760" s="0"/>
      <c r="Y760" s="0"/>
      <c r="Z760" s="0"/>
      <c r="AA760" s="0"/>
      <c r="AB760" s="0"/>
      <c r="AC760" s="0"/>
      <c r="AD760" s="0"/>
      <c r="AE760" s="0"/>
      <c r="AF760" s="0"/>
      <c r="AG760" s="0"/>
    </row>
    <row r="761" customFormat="false" ht="12.75" hidden="false" customHeight="false" outlineLevel="0" collapsed="false">
      <c r="A761" s="9" t="s">
        <v>3</v>
      </c>
      <c r="B761" s="31" t="n">
        <v>66604.1795460921</v>
      </c>
      <c r="C761" s="5"/>
      <c r="D761" s="0"/>
      <c r="E761" s="0"/>
      <c r="F761" s="0"/>
      <c r="G761" s="0"/>
      <c r="H761" s="0"/>
      <c r="I761" s="0"/>
      <c r="J761" s="0"/>
      <c r="K761" s="0"/>
      <c r="L761" s="0"/>
      <c r="M761" s="0"/>
      <c r="N761" s="0"/>
      <c r="O761" s="0"/>
      <c r="P761" s="0"/>
      <c r="Q761" s="0"/>
      <c r="R761" s="0"/>
      <c r="S761" s="0"/>
      <c r="T761" s="0"/>
      <c r="U761" s="0"/>
      <c r="V761" s="0"/>
      <c r="W761" s="0"/>
      <c r="X761" s="0"/>
      <c r="Y761" s="0"/>
      <c r="Z761" s="0"/>
      <c r="AA761" s="0"/>
      <c r="AB761" s="0"/>
      <c r="AC761" s="0"/>
      <c r="AD761" s="0"/>
      <c r="AE761" s="0"/>
      <c r="AF761" s="0"/>
      <c r="AG761" s="0"/>
    </row>
    <row r="762" customFormat="false" ht="12.75" hidden="false" customHeight="false" outlineLevel="0" collapsed="false">
      <c r="A762" s="11" t="s">
        <v>4</v>
      </c>
      <c r="B762" s="12" t="s">
        <v>5</v>
      </c>
      <c r="C762" s="12" t="s">
        <v>6</v>
      </c>
      <c r="D762" s="13" t="n">
        <v>1999</v>
      </c>
      <c r="E762" s="14" t="n">
        <v>2000</v>
      </c>
      <c r="F762" s="14" t="n">
        <v>2001</v>
      </c>
      <c r="G762" s="14" t="n">
        <v>2002</v>
      </c>
      <c r="H762" s="14" t="n">
        <v>2003</v>
      </c>
      <c r="I762" s="14" t="n">
        <v>2004</v>
      </c>
      <c r="J762" s="14" t="n">
        <v>2005</v>
      </c>
      <c r="K762" s="14" t="n">
        <v>2006</v>
      </c>
      <c r="L762" s="14" t="n">
        <v>2007</v>
      </c>
      <c r="M762" s="14" t="n">
        <v>2008</v>
      </c>
      <c r="N762" s="14" t="n">
        <v>2009</v>
      </c>
      <c r="O762" s="15" t="n">
        <v>2010</v>
      </c>
      <c r="P762" s="16" t="n">
        <v>2011</v>
      </c>
      <c r="Q762" s="16" t="n">
        <v>2012</v>
      </c>
      <c r="R762" s="16" t="n">
        <v>2013</v>
      </c>
      <c r="S762" s="16" t="n">
        <v>2014</v>
      </c>
      <c r="T762" s="16" t="n">
        <v>2015</v>
      </c>
      <c r="U762" s="16" t="n">
        <v>2016</v>
      </c>
      <c r="V762" s="16" t="n">
        <v>2017</v>
      </c>
      <c r="W762" s="16" t="n">
        <v>2018</v>
      </c>
      <c r="X762" s="16" t="n">
        <v>2019</v>
      </c>
      <c r="Y762" s="0"/>
      <c r="Z762" s="0"/>
      <c r="AA762" s="0"/>
      <c r="AB762" s="0"/>
      <c r="AC762" s="0"/>
      <c r="AD762" s="0"/>
      <c r="AE762" s="0"/>
      <c r="AF762" s="0"/>
      <c r="AG762" s="0"/>
    </row>
    <row r="763" customFormat="false" ht="12.75" hidden="false" customHeight="false" outlineLevel="0" collapsed="false">
      <c r="A763" s="11" t="s">
        <v>7</v>
      </c>
      <c r="B763" s="17" t="n">
        <f aca="false">NPV(0.1,D763:Y763)</f>
        <v>418867.165581224</v>
      </c>
      <c r="C763" s="17" t="n">
        <f aca="false">B763-B752</f>
        <v>0</v>
      </c>
      <c r="D763" s="18" t="n">
        <v>26898.21696</v>
      </c>
      <c r="E763" s="19" t="n">
        <v>40079.9158149774</v>
      </c>
      <c r="F763" s="19" t="n">
        <v>40673.1613422172</v>
      </c>
      <c r="G763" s="19" t="n">
        <v>40731.6409776837</v>
      </c>
      <c r="H763" s="19" t="n">
        <v>47605.8401142549</v>
      </c>
      <c r="I763" s="19" t="n">
        <v>52769.7658852343</v>
      </c>
      <c r="J763" s="19" t="n">
        <v>53213.7751206579</v>
      </c>
      <c r="K763" s="19" t="n">
        <v>53653.2595037859</v>
      </c>
      <c r="L763" s="19" t="n">
        <v>54718.6111930403</v>
      </c>
      <c r="M763" s="19" t="n">
        <v>55165.9282773646</v>
      </c>
      <c r="N763" s="19" t="n">
        <v>56276.6600298264</v>
      </c>
      <c r="O763" s="20" t="n">
        <v>56731.1338742778</v>
      </c>
      <c r="P763" s="21" t="n">
        <v>57888.8217946469</v>
      </c>
      <c r="Q763" s="21" t="n">
        <v>58349.6650785334</v>
      </c>
      <c r="R763" s="21" t="n">
        <v>58802.3864027137</v>
      </c>
      <c r="S763" s="21" t="n">
        <v>59246.0836906499</v>
      </c>
      <c r="T763" s="21" t="n">
        <v>59679.8080509755</v>
      </c>
      <c r="U763" s="21" t="n">
        <v>60102.5617804749</v>
      </c>
      <c r="V763" s="21" t="n">
        <v>60513.2962893742</v>
      </c>
      <c r="W763" s="21" t="n">
        <v>60910.9099460808</v>
      </c>
      <c r="X763" s="21" t="n">
        <v>61294.2458384051</v>
      </c>
      <c r="Y763" s="0"/>
      <c r="Z763" s="0"/>
      <c r="AA763" s="0"/>
      <c r="AB763" s="0"/>
      <c r="AC763" s="0"/>
      <c r="AD763" s="0"/>
      <c r="AE763" s="0"/>
      <c r="AF763" s="0"/>
      <c r="AG763" s="0"/>
    </row>
    <row r="764" customFormat="false" ht="12.75" hidden="false" customHeight="false" outlineLevel="0" collapsed="false">
      <c r="A764" s="22" t="s">
        <v>8</v>
      </c>
      <c r="B764" s="17" t="n">
        <f aca="false">NPV(0.1,D764:Y764)</f>
        <v>196948.664417693</v>
      </c>
      <c r="C764" s="17" t="n">
        <f aca="false">B764-B753</f>
        <v>0</v>
      </c>
      <c r="D764" s="18" t="n">
        <v>18832.9004385294</v>
      </c>
      <c r="E764" s="19" t="n">
        <v>20844.4875250162</v>
      </c>
      <c r="F764" s="19" t="n">
        <v>21182.1810764772</v>
      </c>
      <c r="G764" s="19" t="n">
        <v>21286.7750033754</v>
      </c>
      <c r="H764" s="19" t="n">
        <v>22536.0463842908</v>
      </c>
      <c r="I764" s="19" t="n">
        <v>23320.5626520514</v>
      </c>
      <c r="J764" s="19" t="n">
        <v>23450.0509547692</v>
      </c>
      <c r="K764" s="19" t="n">
        <v>23578.209624988</v>
      </c>
      <c r="L764" s="19" t="n">
        <v>23710.7122950392</v>
      </c>
      <c r="M764" s="19" t="n">
        <v>23847.6892849177</v>
      </c>
      <c r="N764" s="19" t="n">
        <v>23983.7277161539</v>
      </c>
      <c r="O764" s="20" t="n">
        <v>24923.2965145665</v>
      </c>
      <c r="P764" s="21" t="n">
        <v>25007.9527730813</v>
      </c>
      <c r="Q764" s="21" t="n">
        <v>25081.0035937873</v>
      </c>
      <c r="R764" s="21" t="n">
        <v>25159.2413774693</v>
      </c>
      <c r="S764" s="21" t="n">
        <v>25242.8217330166</v>
      </c>
      <c r="T764" s="21" t="n">
        <v>25298.6222891987</v>
      </c>
      <c r="U764" s="21" t="n">
        <v>25343.4494556795</v>
      </c>
      <c r="V764" s="21" t="n">
        <v>25394.1145946868</v>
      </c>
      <c r="W764" s="21" t="n">
        <v>25550.6407905555</v>
      </c>
      <c r="X764" s="21" t="n">
        <v>25763.2844640571</v>
      </c>
      <c r="Y764" s="0"/>
      <c r="Z764" s="0"/>
      <c r="AA764" s="0"/>
      <c r="AB764" s="0"/>
      <c r="AC764" s="0"/>
      <c r="AD764" s="0"/>
      <c r="AE764" s="0"/>
      <c r="AF764" s="0"/>
      <c r="AG764" s="0"/>
    </row>
    <row r="765" customFormat="false" ht="12.75" hidden="false" customHeight="false" outlineLevel="0" collapsed="false">
      <c r="A765" s="22" t="s">
        <v>9</v>
      </c>
      <c r="B765" s="17" t="n">
        <f aca="false">NPV(0.1,D765:Y765)</f>
        <v>80444.5235827787</v>
      </c>
      <c r="C765" s="17" t="n">
        <f aca="false">B765-B754</f>
        <v>7.44192230992485</v>
      </c>
      <c r="D765" s="18" t="n">
        <v>-1914.91100617515</v>
      </c>
      <c r="E765" s="19" t="n">
        <v>3402.63718756417</v>
      </c>
      <c r="F765" s="19" t="n">
        <v>3727.22740592064</v>
      </c>
      <c r="G765" s="19" t="n">
        <v>3977.26399917459</v>
      </c>
      <c r="H765" s="19" t="n">
        <v>7854.57744370598</v>
      </c>
      <c r="I765" s="19" t="n">
        <v>10960.2520528049</v>
      </c>
      <c r="J765" s="19" t="n">
        <v>11580.4373880417</v>
      </c>
      <c r="K765" s="19" t="n">
        <v>12034.9952512847</v>
      </c>
      <c r="L765" s="19" t="n">
        <v>12878.1411391846</v>
      </c>
      <c r="M765" s="19" t="n">
        <v>13495.3528380839</v>
      </c>
      <c r="N765" s="19" t="n">
        <v>14641.7793715139</v>
      </c>
      <c r="O765" s="20" t="n">
        <v>14467.343747267</v>
      </c>
      <c r="P765" s="21" t="n">
        <v>15299.291807227</v>
      </c>
      <c r="Q765" s="21" t="n">
        <v>15702.8154719411</v>
      </c>
      <c r="R765" s="21" t="n">
        <v>16098.018148652</v>
      </c>
      <c r="S765" s="21" t="n">
        <v>16484.238552599</v>
      </c>
      <c r="T765" s="21" t="n">
        <v>16881.5921466459</v>
      </c>
      <c r="U765" s="21" t="n">
        <v>17440.0160112182</v>
      </c>
      <c r="V765" s="21" t="n">
        <v>18051.7026420753</v>
      </c>
      <c r="W765" s="21" t="n">
        <v>18685.6406798561</v>
      </c>
      <c r="X765" s="21" t="n">
        <v>19356.5249575431</v>
      </c>
      <c r="Y765" s="0"/>
      <c r="Z765" s="0"/>
      <c r="AA765" s="0"/>
      <c r="AB765" s="0"/>
      <c r="AC765" s="0"/>
      <c r="AD765" s="0"/>
      <c r="AE765" s="0"/>
      <c r="AF765" s="0"/>
      <c r="AG765" s="0"/>
    </row>
    <row r="766" customFormat="false" ht="12.75" hidden="false" customHeight="false" outlineLevel="0" collapsed="false">
      <c r="A766" s="22" t="s">
        <v>10</v>
      </c>
      <c r="B766" s="17" t="n">
        <f aca="false">NPV(0.1,D766:Y766)</f>
        <v>83671.8510170209</v>
      </c>
      <c r="C766" s="17" t="n">
        <f aca="false">B766-B755</f>
        <v>-8.44635165996442</v>
      </c>
      <c r="D766" s="23" t="n">
        <v>-5718.33482201104</v>
      </c>
      <c r="E766" s="24" t="n">
        <v>3459.97284195981</v>
      </c>
      <c r="F766" s="24" t="n">
        <v>4731.46710293299</v>
      </c>
      <c r="G766" s="24" t="n">
        <v>3389.98466285842</v>
      </c>
      <c r="H766" s="24" t="n">
        <v>13139.5347754599</v>
      </c>
      <c r="I766" s="24" t="n">
        <v>16747.7877458622</v>
      </c>
      <c r="J766" s="24" t="n">
        <v>12519.879909433</v>
      </c>
      <c r="K766" s="24" t="n">
        <v>12970.8427144995</v>
      </c>
      <c r="L766" s="24" t="n">
        <v>10315.5645525115</v>
      </c>
      <c r="M766" s="24" t="n">
        <v>8554.25030129879</v>
      </c>
      <c r="N766" s="24" t="n">
        <v>18421.5056767763</v>
      </c>
      <c r="O766" s="25" t="n">
        <v>18413.7276636889</v>
      </c>
      <c r="P766" s="21" t="n">
        <v>18380.2499237812</v>
      </c>
      <c r="Q766" s="21" t="n">
        <v>18772.7563141902</v>
      </c>
      <c r="R766" s="21" t="n">
        <v>19162.3349410131</v>
      </c>
      <c r="S766" s="21" t="n">
        <v>17855.4946280001</v>
      </c>
      <c r="T766" s="21" t="n">
        <v>13304.0183567007</v>
      </c>
      <c r="U766" s="21" t="n">
        <v>12536.4496470798</v>
      </c>
      <c r="V766" s="21" t="n">
        <v>11234.8862779369</v>
      </c>
      <c r="W766" s="21" t="n">
        <v>10693.1722608766</v>
      </c>
      <c r="X766" s="21" t="n">
        <v>22214.6232567681</v>
      </c>
      <c r="Y766" s="0"/>
      <c r="Z766" s="0"/>
      <c r="AA766" s="0"/>
      <c r="AB766" s="0"/>
      <c r="AC766" s="0"/>
      <c r="AD766" s="0"/>
      <c r="AE766" s="0"/>
      <c r="AF766" s="0"/>
      <c r="AG766" s="0"/>
    </row>
    <row r="769" customFormat="false" ht="12.75" hidden="false" customHeight="false" outlineLevel="0" collapsed="false">
      <c r="A769" s="26" t="s">
        <v>87</v>
      </c>
      <c r="B769" s="5"/>
      <c r="C769" s="5"/>
      <c r="D769" s="0"/>
      <c r="E769" s="0"/>
      <c r="F769" s="0"/>
      <c r="G769" s="0"/>
      <c r="H769" s="0"/>
      <c r="I769" s="0"/>
      <c r="J769" s="0"/>
      <c r="K769" s="0"/>
      <c r="L769" s="0"/>
      <c r="M769" s="0"/>
      <c r="N769" s="0"/>
      <c r="O769" s="0"/>
      <c r="P769" s="0"/>
      <c r="Q769" s="0"/>
      <c r="R769" s="0"/>
      <c r="S769" s="0"/>
      <c r="T769" s="0"/>
      <c r="U769" s="0"/>
      <c r="V769" s="0"/>
      <c r="W769" s="0"/>
      <c r="X769" s="0"/>
      <c r="Y769" s="0"/>
      <c r="Z769" s="0"/>
      <c r="AA769" s="0"/>
      <c r="AB769" s="0"/>
      <c r="AC769" s="0"/>
      <c r="AD769" s="0"/>
      <c r="AE769" s="0"/>
      <c r="AF769" s="0"/>
      <c r="AG769" s="0"/>
    </row>
    <row r="770" customFormat="false" ht="12.75" hidden="false" customHeight="false" outlineLevel="0" collapsed="false">
      <c r="A770" s="28" t="n">
        <v>36556</v>
      </c>
      <c r="B770" s="5"/>
      <c r="C770" s="5"/>
      <c r="D770" s="0"/>
      <c r="E770" s="0"/>
      <c r="F770" s="0"/>
      <c r="G770" s="0"/>
      <c r="H770" s="0"/>
      <c r="I770" s="0"/>
      <c r="J770" s="0"/>
      <c r="K770" s="0"/>
      <c r="L770" s="0"/>
      <c r="M770" s="0"/>
      <c r="N770" s="0"/>
      <c r="O770" s="0"/>
      <c r="P770" s="0"/>
      <c r="Q770" s="0"/>
      <c r="R770" s="0"/>
      <c r="S770" s="0"/>
      <c r="T770" s="0"/>
      <c r="U770" s="0"/>
      <c r="V770" s="0"/>
      <c r="W770" s="0"/>
      <c r="X770" s="0"/>
      <c r="Y770" s="0"/>
      <c r="Z770" s="0"/>
      <c r="AA770" s="0"/>
      <c r="AB770" s="0"/>
      <c r="AC770" s="0"/>
      <c r="AD770" s="0"/>
      <c r="AE770" s="0"/>
      <c r="AF770" s="0"/>
      <c r="AG770" s="0"/>
    </row>
    <row r="771" customFormat="false" ht="12.75" hidden="false" customHeight="false" outlineLevel="0" collapsed="false">
      <c r="A771" s="7" t="s">
        <v>2</v>
      </c>
      <c r="B771" s="8" t="n">
        <v>36601.142786201</v>
      </c>
      <c r="C771" s="5"/>
      <c r="D771" s="0"/>
      <c r="E771" s="0"/>
      <c r="F771" s="0"/>
      <c r="G771" s="0"/>
      <c r="H771" s="0"/>
      <c r="I771" s="0"/>
      <c r="J771" s="0"/>
      <c r="K771" s="0"/>
      <c r="L771" s="0"/>
      <c r="M771" s="0"/>
      <c r="N771" s="0"/>
      <c r="O771" s="0"/>
      <c r="P771" s="0"/>
      <c r="Q771" s="0"/>
      <c r="R771" s="0"/>
      <c r="S771" s="0"/>
      <c r="T771" s="0"/>
      <c r="U771" s="0"/>
      <c r="V771" s="0"/>
      <c r="W771" s="0"/>
      <c r="X771" s="0"/>
      <c r="Y771" s="0"/>
      <c r="Z771" s="0"/>
      <c r="AA771" s="0"/>
      <c r="AB771" s="0"/>
      <c r="AC771" s="0"/>
      <c r="AD771" s="0"/>
      <c r="AE771" s="0"/>
      <c r="AF771" s="0"/>
      <c r="AG771" s="0"/>
    </row>
    <row r="772" customFormat="false" ht="12.75" hidden="false" customHeight="false" outlineLevel="0" collapsed="false">
      <c r="A772" s="9" t="s">
        <v>3</v>
      </c>
      <c r="B772" s="31" t="n">
        <v>66393.5805460921</v>
      </c>
      <c r="C772" s="5"/>
      <c r="D772" s="0"/>
      <c r="E772" s="0"/>
      <c r="F772" s="0"/>
      <c r="G772" s="0"/>
      <c r="H772" s="0"/>
      <c r="I772" s="0"/>
      <c r="J772" s="0"/>
      <c r="K772" s="0"/>
      <c r="L772" s="0"/>
      <c r="M772" s="0"/>
      <c r="N772" s="0"/>
      <c r="O772" s="0"/>
      <c r="P772" s="0"/>
      <c r="Q772" s="0"/>
      <c r="R772" s="0"/>
      <c r="S772" s="0"/>
      <c r="T772" s="0"/>
      <c r="U772" s="0"/>
      <c r="V772" s="0"/>
      <c r="W772" s="0"/>
      <c r="X772" s="0"/>
      <c r="Y772" s="0"/>
      <c r="Z772" s="0"/>
      <c r="AA772" s="0"/>
      <c r="AB772" s="0"/>
      <c r="AC772" s="0"/>
      <c r="AD772" s="0"/>
      <c r="AE772" s="0"/>
      <c r="AF772" s="0"/>
      <c r="AG772" s="0"/>
    </row>
    <row r="773" customFormat="false" ht="12.75" hidden="false" customHeight="false" outlineLevel="0" collapsed="false">
      <c r="A773" s="11" t="s">
        <v>4</v>
      </c>
      <c r="B773" s="12" t="s">
        <v>5</v>
      </c>
      <c r="C773" s="12" t="s">
        <v>6</v>
      </c>
      <c r="D773" s="13" t="n">
        <v>1999</v>
      </c>
      <c r="E773" s="14" t="n">
        <v>2000</v>
      </c>
      <c r="F773" s="14" t="n">
        <v>2001</v>
      </c>
      <c r="G773" s="14" t="n">
        <v>2002</v>
      </c>
      <c r="H773" s="14" t="n">
        <v>2003</v>
      </c>
      <c r="I773" s="14" t="n">
        <v>2004</v>
      </c>
      <c r="J773" s="14" t="n">
        <v>2005</v>
      </c>
      <c r="K773" s="14" t="n">
        <v>2006</v>
      </c>
      <c r="L773" s="14" t="n">
        <v>2007</v>
      </c>
      <c r="M773" s="14" t="n">
        <v>2008</v>
      </c>
      <c r="N773" s="14" t="n">
        <v>2009</v>
      </c>
      <c r="O773" s="15" t="n">
        <v>2010</v>
      </c>
      <c r="P773" s="16" t="n">
        <v>2011</v>
      </c>
      <c r="Q773" s="16" t="n">
        <v>2012</v>
      </c>
      <c r="R773" s="16" t="n">
        <v>2013</v>
      </c>
      <c r="S773" s="16" t="n">
        <v>2014</v>
      </c>
      <c r="T773" s="16" t="n">
        <v>2015</v>
      </c>
      <c r="U773" s="16" t="n">
        <v>2016</v>
      </c>
      <c r="V773" s="16" t="n">
        <v>2017</v>
      </c>
      <c r="W773" s="16" t="n">
        <v>2018</v>
      </c>
      <c r="X773" s="16" t="n">
        <v>2019</v>
      </c>
      <c r="Y773" s="0"/>
      <c r="Z773" s="0"/>
      <c r="AA773" s="0"/>
      <c r="AB773" s="0"/>
      <c r="AC773" s="0"/>
      <c r="AD773" s="0"/>
      <c r="AE773" s="0"/>
      <c r="AF773" s="0"/>
      <c r="AG773" s="0"/>
    </row>
    <row r="774" customFormat="false" ht="12.75" hidden="false" customHeight="false" outlineLevel="0" collapsed="false">
      <c r="A774" s="11" t="s">
        <v>7</v>
      </c>
      <c r="B774" s="17" t="n">
        <f aca="false">NPV(0.1,D774:Y774)</f>
        <v>418867.165581224</v>
      </c>
      <c r="C774" s="17" t="n">
        <f aca="false">B774-B763</f>
        <v>0</v>
      </c>
      <c r="D774" s="18" t="n">
        <v>26898.21696</v>
      </c>
      <c r="E774" s="19" t="n">
        <v>40079.9158149774</v>
      </c>
      <c r="F774" s="19" t="n">
        <v>40673.1613422172</v>
      </c>
      <c r="G774" s="19" t="n">
        <v>40731.6409776837</v>
      </c>
      <c r="H774" s="19" t="n">
        <v>47605.8401142549</v>
      </c>
      <c r="I774" s="19" t="n">
        <v>52769.7658852343</v>
      </c>
      <c r="J774" s="19" t="n">
        <v>53213.7751206579</v>
      </c>
      <c r="K774" s="19" t="n">
        <v>53653.2595037859</v>
      </c>
      <c r="L774" s="19" t="n">
        <v>54718.6111930403</v>
      </c>
      <c r="M774" s="19" t="n">
        <v>55165.9282773646</v>
      </c>
      <c r="N774" s="19" t="n">
        <v>56276.6600298264</v>
      </c>
      <c r="O774" s="20" t="n">
        <v>56731.1338742778</v>
      </c>
      <c r="P774" s="21" t="n">
        <v>57888.8217946469</v>
      </c>
      <c r="Q774" s="21" t="n">
        <v>58349.6650785334</v>
      </c>
      <c r="R774" s="21" t="n">
        <v>58802.3864027137</v>
      </c>
      <c r="S774" s="21" t="n">
        <v>59246.0836906499</v>
      </c>
      <c r="T774" s="21" t="n">
        <v>59679.8080509755</v>
      </c>
      <c r="U774" s="21" t="n">
        <v>60102.5617804749</v>
      </c>
      <c r="V774" s="21" t="n">
        <v>60513.2962893742</v>
      </c>
      <c r="W774" s="21" t="n">
        <v>60910.9099460808</v>
      </c>
      <c r="X774" s="21" t="n">
        <v>61294.2458384051</v>
      </c>
      <c r="Y774" s="0"/>
      <c r="Z774" s="0"/>
      <c r="AA774" s="0"/>
      <c r="AB774" s="0"/>
      <c r="AC774" s="0"/>
      <c r="AD774" s="0"/>
      <c r="AE774" s="0"/>
      <c r="AF774" s="0"/>
      <c r="AG774" s="0"/>
    </row>
    <row r="775" customFormat="false" ht="12.75" hidden="false" customHeight="false" outlineLevel="0" collapsed="false">
      <c r="A775" s="22" t="s">
        <v>8</v>
      </c>
      <c r="B775" s="17" t="n">
        <f aca="false">NPV(0.1,D775:Y775)</f>
        <v>196948.664417693</v>
      </c>
      <c r="C775" s="17" t="n">
        <f aca="false">B775-B764</f>
        <v>0</v>
      </c>
      <c r="D775" s="18" t="n">
        <v>18832.9004385294</v>
      </c>
      <c r="E775" s="19" t="n">
        <v>20844.4875250162</v>
      </c>
      <c r="F775" s="19" t="n">
        <v>21182.1810764772</v>
      </c>
      <c r="G775" s="19" t="n">
        <v>21286.7750033754</v>
      </c>
      <c r="H775" s="19" t="n">
        <v>22536.0463842908</v>
      </c>
      <c r="I775" s="19" t="n">
        <v>23320.5626520514</v>
      </c>
      <c r="J775" s="19" t="n">
        <v>23450.0509547692</v>
      </c>
      <c r="K775" s="19" t="n">
        <v>23578.209624988</v>
      </c>
      <c r="L775" s="19" t="n">
        <v>23710.7122950392</v>
      </c>
      <c r="M775" s="19" t="n">
        <v>23847.6892849177</v>
      </c>
      <c r="N775" s="19" t="n">
        <v>23983.7277161539</v>
      </c>
      <c r="O775" s="20" t="n">
        <v>24923.2965145665</v>
      </c>
      <c r="P775" s="21" t="n">
        <v>25007.9527730813</v>
      </c>
      <c r="Q775" s="21" t="n">
        <v>25081.0035937873</v>
      </c>
      <c r="R775" s="21" t="n">
        <v>25159.2413774693</v>
      </c>
      <c r="S775" s="21" t="n">
        <v>25242.8217330166</v>
      </c>
      <c r="T775" s="21" t="n">
        <v>25298.6222891987</v>
      </c>
      <c r="U775" s="21" t="n">
        <v>25343.4494556795</v>
      </c>
      <c r="V775" s="21" t="n">
        <v>25394.1145946868</v>
      </c>
      <c r="W775" s="21" t="n">
        <v>25550.6407905555</v>
      </c>
      <c r="X775" s="21" t="n">
        <v>25763.2844640571</v>
      </c>
      <c r="Y775" s="0"/>
      <c r="Z775" s="0"/>
      <c r="AA775" s="0"/>
      <c r="AB775" s="0"/>
      <c r="AC775" s="0"/>
      <c r="AD775" s="0"/>
      <c r="AE775" s="0"/>
      <c r="AF775" s="0"/>
      <c r="AG775" s="0"/>
    </row>
    <row r="776" customFormat="false" ht="12.75" hidden="false" customHeight="false" outlineLevel="0" collapsed="false">
      <c r="A776" s="22" t="s">
        <v>9</v>
      </c>
      <c r="B776" s="17" t="n">
        <f aca="false">NPV(0.1,D776:Y776)</f>
        <v>80342.988130753</v>
      </c>
      <c r="C776" s="17" t="n">
        <f aca="false">B776-B765</f>
        <v>-101.535452025651</v>
      </c>
      <c r="D776" s="32" t="n">
        <v>-1927.36978909181</v>
      </c>
      <c r="E776" s="19" t="n">
        <v>3372.73610856417</v>
      </c>
      <c r="F776" s="19" t="n">
        <v>3697.32632692064</v>
      </c>
      <c r="G776" s="19" t="n">
        <v>3947.36292017459</v>
      </c>
      <c r="H776" s="19" t="n">
        <v>7824.67636470598</v>
      </c>
      <c r="I776" s="19" t="n">
        <v>10943.3503265133</v>
      </c>
      <c r="J776" s="19" t="n">
        <v>11581.7347555417</v>
      </c>
      <c r="K776" s="19" t="n">
        <v>12036.2926187847</v>
      </c>
      <c r="L776" s="19" t="n">
        <v>12879.4385066846</v>
      </c>
      <c r="M776" s="19" t="n">
        <v>13496.6502055839</v>
      </c>
      <c r="N776" s="19" t="n">
        <v>14643.0767390139</v>
      </c>
      <c r="O776" s="20" t="n">
        <v>14468.641114767</v>
      </c>
      <c r="P776" s="21" t="n">
        <v>15300.589174727</v>
      </c>
      <c r="Q776" s="21" t="n">
        <v>15704.1128394411</v>
      </c>
      <c r="R776" s="21" t="n">
        <v>16099.315516152</v>
      </c>
      <c r="S776" s="21" t="n">
        <v>16485.535920099</v>
      </c>
      <c r="T776" s="21" t="n">
        <v>16882.8895141459</v>
      </c>
      <c r="U776" s="21" t="n">
        <v>17441.3133787182</v>
      </c>
      <c r="V776" s="21" t="n">
        <v>18053.0000095753</v>
      </c>
      <c r="W776" s="21" t="n">
        <v>18686.9380473561</v>
      </c>
      <c r="X776" s="21" t="n">
        <v>19357.2817552515</v>
      </c>
      <c r="Y776" s="0"/>
      <c r="Z776" s="0"/>
      <c r="AA776" s="0"/>
      <c r="AB776" s="0"/>
      <c r="AC776" s="0"/>
      <c r="AD776" s="0"/>
      <c r="AE776" s="0"/>
      <c r="AF776" s="0"/>
      <c r="AG776" s="0"/>
    </row>
    <row r="777" customFormat="false" ht="12.75" hidden="false" customHeight="false" outlineLevel="0" collapsed="false">
      <c r="A777" s="22" t="s">
        <v>10</v>
      </c>
      <c r="B777" s="17" t="n">
        <f aca="false">NPV(0.1,D777:Y777)</f>
        <v>83720.5954004586</v>
      </c>
      <c r="C777" s="17" t="n">
        <f aca="false">B777-B766</f>
        <v>48.7443834376754</v>
      </c>
      <c r="D777" s="23" t="n">
        <v>-5718.33482201104</v>
      </c>
      <c r="E777" s="24" t="n">
        <v>3459.97284195982</v>
      </c>
      <c r="F777" s="24" t="n">
        <v>4731.46710293299</v>
      </c>
      <c r="G777" s="24" t="n">
        <v>3389.98466285842</v>
      </c>
      <c r="H777" s="24" t="n">
        <v>13139.5347754599</v>
      </c>
      <c r="I777" s="24" t="n">
        <v>16840.0615039872</v>
      </c>
      <c r="J777" s="24" t="n">
        <v>12519.076276933</v>
      </c>
      <c r="K777" s="24" t="n">
        <v>12970.0390819995</v>
      </c>
      <c r="L777" s="24" t="n">
        <v>10314.7609200115</v>
      </c>
      <c r="M777" s="24" t="n">
        <v>8553.44666879878</v>
      </c>
      <c r="N777" s="24" t="n">
        <v>18420.7020442763</v>
      </c>
      <c r="O777" s="25" t="n">
        <v>18412.9240311889</v>
      </c>
      <c r="P777" s="21" t="n">
        <v>18379.4462912812</v>
      </c>
      <c r="Q777" s="21" t="n">
        <v>18771.9526816902</v>
      </c>
      <c r="R777" s="21" t="n">
        <v>19161.5313085131</v>
      </c>
      <c r="S777" s="21" t="n">
        <v>17854.6909955001</v>
      </c>
      <c r="T777" s="21" t="n">
        <v>13303.2147242007</v>
      </c>
      <c r="U777" s="21" t="n">
        <v>12535.6460145798</v>
      </c>
      <c r="V777" s="21" t="n">
        <v>11234.0826454369</v>
      </c>
      <c r="W777" s="21" t="n">
        <v>10692.3686283766</v>
      </c>
      <c r="X777" s="21" t="n">
        <v>22214.6232567681</v>
      </c>
      <c r="Y777" s="0"/>
      <c r="Z777" s="0"/>
      <c r="AA777" s="0"/>
      <c r="AB777" s="0"/>
      <c r="AC777" s="0"/>
      <c r="AD777" s="0"/>
      <c r="AE777" s="0"/>
      <c r="AF777" s="0"/>
      <c r="AG777" s="0"/>
    </row>
    <row r="780" customFormat="false" ht="12.75" hidden="false" customHeight="false" outlineLevel="0" collapsed="false">
      <c r="A780" s="26" t="s">
        <v>88</v>
      </c>
      <c r="B780" s="5"/>
      <c r="C780" s="5"/>
      <c r="D780" s="0"/>
      <c r="E780" s="0"/>
      <c r="F780" s="0"/>
      <c r="G780" s="0"/>
      <c r="H780" s="0"/>
      <c r="I780" s="0"/>
      <c r="J780" s="0"/>
      <c r="K780" s="0"/>
      <c r="L780" s="0"/>
      <c r="M780" s="0"/>
      <c r="N780" s="0"/>
      <c r="O780" s="0"/>
      <c r="P780" s="0"/>
      <c r="Q780" s="0"/>
      <c r="R780" s="0"/>
      <c r="S780" s="0"/>
      <c r="T780" s="0"/>
      <c r="U780" s="0"/>
      <c r="V780" s="0"/>
      <c r="W780" s="0"/>
      <c r="X780" s="0"/>
      <c r="Y780" s="0"/>
      <c r="Z780" s="0"/>
      <c r="AA780" s="0"/>
      <c r="AB780" s="0"/>
      <c r="AC780" s="0"/>
      <c r="AD780" s="0"/>
      <c r="AE780" s="0"/>
      <c r="AF780" s="0"/>
      <c r="AG780" s="0"/>
    </row>
    <row r="781" customFormat="false" ht="12.75" hidden="false" customHeight="false" outlineLevel="0" collapsed="false">
      <c r="A781" s="28" t="n">
        <v>36565</v>
      </c>
      <c r="B781" s="5"/>
      <c r="C781" s="5"/>
      <c r="D781" s="0"/>
      <c r="E781" s="0"/>
      <c r="F781" s="0"/>
      <c r="G781" s="0"/>
      <c r="H781" s="0"/>
      <c r="I781" s="0"/>
      <c r="J781" s="0"/>
      <c r="K781" s="0"/>
      <c r="L781" s="0"/>
      <c r="M781" s="0"/>
      <c r="N781" s="0"/>
      <c r="O781" s="0"/>
      <c r="P781" s="0"/>
      <c r="Q781" s="0"/>
      <c r="R781" s="0"/>
      <c r="S781" s="0"/>
      <c r="T781" s="0"/>
      <c r="U781" s="0"/>
      <c r="V781" s="0"/>
      <c r="W781" s="0"/>
      <c r="X781" s="0"/>
      <c r="Y781" s="0"/>
      <c r="Z781" s="0"/>
      <c r="AA781" s="0"/>
      <c r="AB781" s="0"/>
      <c r="AC781" s="0"/>
      <c r="AD781" s="0"/>
      <c r="AE781" s="0"/>
      <c r="AF781" s="0"/>
      <c r="AG781" s="0"/>
    </row>
    <row r="782" customFormat="false" ht="12.75" hidden="false" customHeight="false" outlineLevel="0" collapsed="false">
      <c r="A782" s="7" t="s">
        <v>2</v>
      </c>
      <c r="B782" s="8" t="n">
        <v>36638.7442658832</v>
      </c>
      <c r="C782" s="5"/>
      <c r="D782" s="0"/>
      <c r="E782" s="0"/>
      <c r="F782" s="0"/>
      <c r="G782" s="0"/>
      <c r="H782" s="0"/>
      <c r="I782" s="0"/>
      <c r="J782" s="0"/>
      <c r="K782" s="0"/>
      <c r="L782" s="0"/>
      <c r="M782" s="0"/>
      <c r="N782" s="0"/>
      <c r="O782" s="0"/>
      <c r="P782" s="0"/>
      <c r="Q782" s="0"/>
      <c r="R782" s="0"/>
      <c r="S782" s="0"/>
      <c r="T782" s="0"/>
      <c r="U782" s="0"/>
      <c r="V782" s="0"/>
      <c r="W782" s="0"/>
      <c r="X782" s="0"/>
      <c r="Y782" s="0"/>
      <c r="Z782" s="0"/>
      <c r="AA782" s="0"/>
      <c r="AB782" s="0"/>
      <c r="AC782" s="0"/>
      <c r="AD782" s="0"/>
      <c r="AE782" s="0"/>
      <c r="AF782" s="0"/>
      <c r="AG782" s="0"/>
    </row>
    <row r="783" customFormat="false" ht="12.75" hidden="false" customHeight="false" outlineLevel="0" collapsed="false">
      <c r="A783" s="9" t="s">
        <v>3</v>
      </c>
      <c r="B783" s="31" t="n">
        <v>66435.3805460921</v>
      </c>
      <c r="C783" s="5"/>
      <c r="D783" s="0"/>
      <c r="E783" s="0"/>
      <c r="F783" s="0"/>
      <c r="G783" s="0"/>
      <c r="H783" s="0"/>
      <c r="I783" s="0"/>
      <c r="J783" s="0"/>
      <c r="K783" s="0"/>
      <c r="L783" s="0"/>
      <c r="M783" s="0"/>
      <c r="N783" s="0"/>
      <c r="O783" s="0"/>
      <c r="P783" s="0"/>
      <c r="Q783" s="0"/>
      <c r="R783" s="0"/>
      <c r="S783" s="0"/>
      <c r="T783" s="0"/>
      <c r="U783" s="0"/>
      <c r="V783" s="0"/>
      <c r="W783" s="0"/>
      <c r="X783" s="0"/>
      <c r="Y783" s="0"/>
      <c r="Z783" s="0"/>
      <c r="AA783" s="0"/>
      <c r="AB783" s="0"/>
      <c r="AC783" s="0"/>
      <c r="AD783" s="0"/>
      <c r="AE783" s="0"/>
      <c r="AF783" s="0"/>
      <c r="AG783" s="0"/>
    </row>
    <row r="784" customFormat="false" ht="12.75" hidden="false" customHeight="false" outlineLevel="0" collapsed="false">
      <c r="A784" s="11" t="s">
        <v>4</v>
      </c>
      <c r="B784" s="12" t="s">
        <v>5</v>
      </c>
      <c r="C784" s="12" t="s">
        <v>6</v>
      </c>
      <c r="D784" s="13" t="n">
        <v>1999</v>
      </c>
      <c r="E784" s="14" t="n">
        <v>2000</v>
      </c>
      <c r="F784" s="14" t="n">
        <v>2001</v>
      </c>
      <c r="G784" s="14" t="n">
        <v>2002</v>
      </c>
      <c r="H784" s="14" t="n">
        <v>2003</v>
      </c>
      <c r="I784" s="14" t="n">
        <v>2004</v>
      </c>
      <c r="J784" s="14" t="n">
        <v>2005</v>
      </c>
      <c r="K784" s="14" t="n">
        <v>2006</v>
      </c>
      <c r="L784" s="14" t="n">
        <v>2007</v>
      </c>
      <c r="M784" s="14" t="n">
        <v>2008</v>
      </c>
      <c r="N784" s="14" t="n">
        <v>2009</v>
      </c>
      <c r="O784" s="15" t="n">
        <v>2010</v>
      </c>
      <c r="P784" s="16" t="n">
        <v>2011</v>
      </c>
      <c r="Q784" s="16" t="n">
        <v>2012</v>
      </c>
      <c r="R784" s="16" t="n">
        <v>2013</v>
      </c>
      <c r="S784" s="16" t="n">
        <v>2014</v>
      </c>
      <c r="T784" s="16" t="n">
        <v>2015</v>
      </c>
      <c r="U784" s="16" t="n">
        <v>2016</v>
      </c>
      <c r="V784" s="16" t="n">
        <v>2017</v>
      </c>
      <c r="W784" s="16" t="n">
        <v>2018</v>
      </c>
      <c r="X784" s="16" t="n">
        <v>2019</v>
      </c>
      <c r="Y784" s="0"/>
      <c r="Z784" s="0"/>
      <c r="AA784" s="0"/>
      <c r="AB784" s="0"/>
      <c r="AC784" s="0"/>
      <c r="AD784" s="0"/>
      <c r="AE784" s="0"/>
      <c r="AF784" s="0"/>
      <c r="AG784" s="0"/>
    </row>
    <row r="785" customFormat="false" ht="12.75" hidden="false" customHeight="false" outlineLevel="0" collapsed="false">
      <c r="A785" s="11" t="s">
        <v>7</v>
      </c>
      <c r="B785" s="17" t="n">
        <f aca="false">NPV(0.1,D785:Y785)</f>
        <v>418867.165581224</v>
      </c>
      <c r="C785" s="17" t="n">
        <f aca="false">B785-B774</f>
        <v>0</v>
      </c>
      <c r="D785" s="18" t="n">
        <v>26898.21696</v>
      </c>
      <c r="E785" s="19" t="n">
        <v>40079.9158149774</v>
      </c>
      <c r="F785" s="19" t="n">
        <v>40673.1613422172</v>
      </c>
      <c r="G785" s="19" t="n">
        <v>40731.6409776837</v>
      </c>
      <c r="H785" s="19" t="n">
        <v>47605.8401142549</v>
      </c>
      <c r="I785" s="19" t="n">
        <v>52769.7658852343</v>
      </c>
      <c r="J785" s="19" t="n">
        <v>53213.7751206579</v>
      </c>
      <c r="K785" s="19" t="n">
        <v>53653.2595037859</v>
      </c>
      <c r="L785" s="19" t="n">
        <v>54718.6111930403</v>
      </c>
      <c r="M785" s="19" t="n">
        <v>55165.9282773646</v>
      </c>
      <c r="N785" s="19" t="n">
        <v>56276.6600298264</v>
      </c>
      <c r="O785" s="20" t="n">
        <v>56731.1338742778</v>
      </c>
      <c r="P785" s="21" t="n">
        <v>57888.8217946469</v>
      </c>
      <c r="Q785" s="21" t="n">
        <v>58349.6650785334</v>
      </c>
      <c r="R785" s="21" t="n">
        <v>58802.3864027137</v>
      </c>
      <c r="S785" s="21" t="n">
        <v>59246.0836906499</v>
      </c>
      <c r="T785" s="21" t="n">
        <v>59679.8080509755</v>
      </c>
      <c r="U785" s="21" t="n">
        <v>60102.5617804749</v>
      </c>
      <c r="V785" s="21" t="n">
        <v>60513.2962893742</v>
      </c>
      <c r="W785" s="21" t="n">
        <v>60910.9099460808</v>
      </c>
      <c r="X785" s="21" t="n">
        <v>61294.2458384051</v>
      </c>
      <c r="Y785" s="0"/>
      <c r="Z785" s="0"/>
      <c r="AA785" s="0"/>
      <c r="AB785" s="0"/>
      <c r="AC785" s="0"/>
      <c r="AD785" s="0"/>
      <c r="AE785" s="0"/>
      <c r="AF785" s="0"/>
      <c r="AG785" s="0"/>
    </row>
    <row r="786" customFormat="false" ht="12.75" hidden="false" customHeight="false" outlineLevel="0" collapsed="false">
      <c r="A786" s="22" t="s">
        <v>8</v>
      </c>
      <c r="B786" s="17" t="n">
        <f aca="false">NPV(0.1,D786:Y786)</f>
        <v>196948.664417693</v>
      </c>
      <c r="C786" s="17" t="n">
        <f aca="false">B786-B775</f>
        <v>0</v>
      </c>
      <c r="D786" s="18" t="n">
        <v>18832.9004385294</v>
      </c>
      <c r="E786" s="19" t="n">
        <v>20844.4875250162</v>
      </c>
      <c r="F786" s="19" t="n">
        <v>21182.1810764772</v>
      </c>
      <c r="G786" s="19" t="n">
        <v>21286.7750033754</v>
      </c>
      <c r="H786" s="19" t="n">
        <v>22536.0463842908</v>
      </c>
      <c r="I786" s="19" t="n">
        <v>23320.5626520514</v>
      </c>
      <c r="J786" s="19" t="n">
        <v>23450.0509547692</v>
      </c>
      <c r="K786" s="19" t="n">
        <v>23578.209624988</v>
      </c>
      <c r="L786" s="19" t="n">
        <v>23710.7122950392</v>
      </c>
      <c r="M786" s="19" t="n">
        <v>23847.6892849177</v>
      </c>
      <c r="N786" s="19" t="n">
        <v>23983.7277161539</v>
      </c>
      <c r="O786" s="20" t="n">
        <v>24923.2965145665</v>
      </c>
      <c r="P786" s="21" t="n">
        <v>25007.9527730813</v>
      </c>
      <c r="Q786" s="21" t="n">
        <v>25081.0035937873</v>
      </c>
      <c r="R786" s="21" t="n">
        <v>25159.2413774693</v>
      </c>
      <c r="S786" s="21" t="n">
        <v>25242.8217330166</v>
      </c>
      <c r="T786" s="21" t="n">
        <v>25298.6222891987</v>
      </c>
      <c r="U786" s="21" t="n">
        <v>25343.4494556795</v>
      </c>
      <c r="V786" s="21" t="n">
        <v>25394.1145946868</v>
      </c>
      <c r="W786" s="21" t="n">
        <v>25550.6407905555</v>
      </c>
      <c r="X786" s="21" t="n">
        <v>25763.2844640571</v>
      </c>
      <c r="Y786" s="0"/>
      <c r="Z786" s="0"/>
      <c r="AA786" s="0"/>
      <c r="AB786" s="0"/>
      <c r="AC786" s="0"/>
      <c r="AD786" s="0"/>
      <c r="AE786" s="0"/>
      <c r="AF786" s="0"/>
      <c r="AG786" s="0"/>
    </row>
    <row r="787" customFormat="false" ht="12.75" hidden="false" customHeight="false" outlineLevel="0" collapsed="false">
      <c r="A787" s="22" t="s">
        <v>9</v>
      </c>
      <c r="B787" s="17" t="n">
        <f aca="false">NPV(0.1,D787:Y787)</f>
        <v>80334.9203993003</v>
      </c>
      <c r="C787" s="17" t="n">
        <f aca="false">B787-B776</f>
        <v>-8.0677314526838</v>
      </c>
      <c r="D787" s="19" t="n">
        <v>-1929.19038492515</v>
      </c>
      <c r="E787" s="19" t="n">
        <v>3368.36667856417</v>
      </c>
      <c r="F787" s="19" t="n">
        <v>3692.95689692064</v>
      </c>
      <c r="G787" s="19" t="n">
        <v>3942.99349017459</v>
      </c>
      <c r="H787" s="19" t="n">
        <v>7820.30693470598</v>
      </c>
      <c r="I787" s="19" t="n">
        <v>10941.5023548466</v>
      </c>
      <c r="J787" s="19" t="n">
        <v>11583.4168255417</v>
      </c>
      <c r="K787" s="19" t="n">
        <v>12037.9746887847</v>
      </c>
      <c r="L787" s="19" t="n">
        <v>12881.1205766846</v>
      </c>
      <c r="M787" s="19" t="n">
        <v>13498.3322755839</v>
      </c>
      <c r="N787" s="19" t="n">
        <v>14644.7588090139</v>
      </c>
      <c r="O787" s="20" t="n">
        <v>14470.323184767</v>
      </c>
      <c r="P787" s="21" t="n">
        <v>15302.271244727</v>
      </c>
      <c r="Q787" s="21" t="n">
        <v>15705.7949094411</v>
      </c>
      <c r="R787" s="21" t="n">
        <v>16100.997586152</v>
      </c>
      <c r="S787" s="21" t="n">
        <v>16487.217990099</v>
      </c>
      <c r="T787" s="21" t="n">
        <v>16884.5715841459</v>
      </c>
      <c r="U787" s="21" t="n">
        <v>17442.9954487182</v>
      </c>
      <c r="V787" s="21" t="n">
        <v>18054.6820795753</v>
      </c>
      <c r="W787" s="21" t="n">
        <v>18688.6201173561</v>
      </c>
      <c r="X787" s="21" t="n">
        <v>19358.9638252515</v>
      </c>
      <c r="Y787" s="0"/>
      <c r="Z787" s="0"/>
      <c r="AA787" s="0"/>
      <c r="AB787" s="0"/>
      <c r="AC787" s="0"/>
      <c r="AD787" s="0"/>
      <c r="AE787" s="0"/>
      <c r="AF787" s="0"/>
      <c r="AG787" s="0"/>
    </row>
    <row r="788" customFormat="false" ht="12.75" hidden="false" customHeight="false" outlineLevel="0" collapsed="false">
      <c r="A788" s="22" t="s">
        <v>10</v>
      </c>
      <c r="B788" s="17" t="n">
        <f aca="false">NPV(0.1,D788:Y788)</f>
        <v>83715.6773073266</v>
      </c>
      <c r="C788" s="17" t="n">
        <f aca="false">B788-B777</f>
        <v>-4.91809313197155</v>
      </c>
      <c r="D788" s="23" t="n">
        <v>-5718.33482201104</v>
      </c>
      <c r="E788" s="24" t="n">
        <v>3459.97284195982</v>
      </c>
      <c r="F788" s="24" t="n">
        <v>4731.46710293299</v>
      </c>
      <c r="G788" s="24" t="n">
        <v>3389.98466285842</v>
      </c>
      <c r="H788" s="24" t="n">
        <v>13139.5347754599</v>
      </c>
      <c r="I788" s="24" t="n">
        <v>16843.5536218872</v>
      </c>
      <c r="J788" s="24" t="n">
        <v>12517.027147933</v>
      </c>
      <c r="K788" s="24" t="n">
        <v>12967.9864798995</v>
      </c>
      <c r="L788" s="24" t="n">
        <v>10312.7117910115</v>
      </c>
      <c r="M788" s="24" t="n">
        <v>8551.39406669879</v>
      </c>
      <c r="N788" s="24" t="n">
        <v>18418.6529152763</v>
      </c>
      <c r="O788" s="25" t="n">
        <v>18410.8714290889</v>
      </c>
      <c r="P788" s="21" t="n">
        <v>18377.3971622812</v>
      </c>
      <c r="Q788" s="21" t="n">
        <v>18769.9000795902</v>
      </c>
      <c r="R788" s="21" t="n">
        <v>19159.4821795131</v>
      </c>
      <c r="S788" s="21" t="n">
        <v>17853.6664310001</v>
      </c>
      <c r="T788" s="21" t="n">
        <v>13303.2147242007</v>
      </c>
      <c r="U788" s="21" t="n">
        <v>12535.6460145798</v>
      </c>
      <c r="V788" s="21" t="n">
        <v>11234.0826454369</v>
      </c>
      <c r="W788" s="21" t="n">
        <v>10692.3686283766</v>
      </c>
      <c r="X788" s="21" t="n">
        <v>22214.6232567681</v>
      </c>
      <c r="Y788" s="0"/>
      <c r="Z788" s="0"/>
      <c r="AA788" s="0"/>
      <c r="AB788" s="0"/>
      <c r="AC788" s="0"/>
      <c r="AD788" s="0"/>
      <c r="AE788" s="0"/>
      <c r="AF788" s="0"/>
      <c r="AG788" s="0"/>
    </row>
  </sheetData>
  <hyperlinks>
    <hyperlink ref="D776" location="'Book Income Statement'!D72" display="#Book Income Statement.D72"/>
  </hyperlinks>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6" pageOrder="downThenOver" orientation="landscape" blackAndWhite="false" draft="false" cellComments="none" horizontalDpi="300" verticalDpi="300" copies="1"/>
  <headerFooter differentFirst="false" differentOddEven="false">
    <oddHeader/>
    <oddFooter>&amp;L&amp;D
&amp;T&amp;R&amp;F
&amp;A Page &amp;P</oddFooter>
  </headerFooter>
  <rowBreaks count="1" manualBreakCount="1">
    <brk id="115" man="true" max="16383" min="0"/>
  </rowBreaks>
  <colBreaks count="2" manualBreakCount="2">
    <brk id="23" man="true" max="65535" min="0"/>
    <brk id="27" man="true" max="65535" min="0"/>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Y4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1.85"/>
  </cols>
  <sheetData>
    <row r="1" customFormat="false" ht="12.75" hidden="false" customHeight="false" outlineLevel="0" collapsed="false">
      <c r="A1" s="33" t="str">
        <f aca="false">'PPA Assumptions &amp; Summary'!A1</f>
        <v>CALEDONIA, Lowndes County, MS</v>
      </c>
    </row>
    <row r="2" customFormat="false" ht="12.75" hidden="false" customHeight="false" outlineLevel="0" collapsed="false">
      <c r="A2" s="34" t="s">
        <v>89</v>
      </c>
    </row>
    <row r="5" customFormat="false" ht="12.75" hidden="false" customHeight="false" outlineLevel="0" collapsed="false">
      <c r="A5" s="35" t="s">
        <v>90</v>
      </c>
    </row>
    <row r="7" customFormat="false" ht="12.75" hidden="false" customHeight="false" outlineLevel="0" collapsed="false">
      <c r="A7" s="0" t="s">
        <v>91</v>
      </c>
      <c r="C7" s="0" t="n">
        <f aca="false">NetMW</f>
        <v>442</v>
      </c>
    </row>
    <row r="8" customFormat="false" ht="12.75" hidden="false" customHeight="false" outlineLevel="0" collapsed="false">
      <c r="A8" s="0" t="s">
        <v>92</v>
      </c>
      <c r="C8" s="36" t="n">
        <f aca="false">HeatRate</f>
        <v>12064</v>
      </c>
    </row>
    <row r="9" customFormat="false" ht="12.75" hidden="false" customHeight="false" outlineLevel="0" collapsed="false">
      <c r="A9" s="0" t="s">
        <v>93</v>
      </c>
      <c r="C9" s="0" t="n">
        <f aca="false">'Project Assumptions'!I8</f>
        <v>6</v>
      </c>
    </row>
    <row r="10" customFormat="false" ht="12.75" hidden="false" customHeight="false" outlineLevel="0" collapsed="false">
      <c r="A10" s="0" t="s">
        <v>94</v>
      </c>
      <c r="C10" s="0" t="n">
        <f aca="false">AnnualHours</f>
        <v>1200</v>
      </c>
    </row>
    <row r="11" customFormat="false" ht="12.75" hidden="false" customHeight="false" outlineLevel="0" collapsed="false">
      <c r="A11" s="0" t="s">
        <v>95</v>
      </c>
      <c r="C11" s="0" t="n">
        <f aca="false">'Project Assumptions'!N60</f>
        <v>0</v>
      </c>
    </row>
    <row r="13" customFormat="false" ht="12.75" hidden="false" customHeight="false" outlineLevel="0" collapsed="false">
      <c r="A13" s="35" t="s">
        <v>96</v>
      </c>
    </row>
    <row r="14" customFormat="false" ht="12.75" hidden="false" customHeight="false" outlineLevel="0" collapsed="false">
      <c r="C14" s="37" t="n">
        <v>1999</v>
      </c>
    </row>
    <row r="15" customFormat="false" ht="12.75" hidden="false" customHeight="false" outlineLevel="0" collapsed="false">
      <c r="A15" s="0" t="s">
        <v>97</v>
      </c>
      <c r="C15" s="36" t="n">
        <f aca="false">Labor+Fixed</f>
        <v>701.45</v>
      </c>
    </row>
    <row r="16" customFormat="false" ht="12.75" hidden="false" customHeight="false" outlineLevel="0" collapsed="false">
      <c r="A16" s="0" t="s">
        <v>98</v>
      </c>
      <c r="C16" s="36" t="n">
        <f aca="false">'Project Assumptions'!L11</f>
        <v>446.6</v>
      </c>
    </row>
    <row r="17" customFormat="false" ht="12.75" hidden="false" customHeight="false" outlineLevel="0" collapsed="false">
      <c r="A17" s="0" t="s">
        <v>99</v>
      </c>
      <c r="C17" s="36" t="n">
        <f aca="false">'Project Assumptions'!O16</f>
        <v>0</v>
      </c>
    </row>
    <row r="18" customFormat="false" ht="12.75" hidden="false" customHeight="false" outlineLevel="0" collapsed="false">
      <c r="A18" s="0" t="s">
        <v>100</v>
      </c>
      <c r="C18" s="36" t="n">
        <f aca="false">'Project Assumptions'!O15</f>
        <v>1349.28</v>
      </c>
    </row>
    <row r="19" customFormat="false" ht="12.75" hidden="false" customHeight="false" outlineLevel="0" collapsed="false">
      <c r="A19" s="0" t="s">
        <v>101</v>
      </c>
      <c r="C19" s="36" t="n">
        <f aca="false">'Project Assumptions'!N32</f>
        <v>255.76</v>
      </c>
    </row>
    <row r="20" customFormat="false" ht="12.75" hidden="false" customHeight="false" outlineLevel="0" collapsed="false">
      <c r="A20" s="0" t="s">
        <v>102</v>
      </c>
      <c r="C20" s="36" t="n">
        <f aca="false">'Project Assumptions'!N34+'Project Assumptions'!N35+'Project Assumptions'!N36+'Project Assumptions'!N37</f>
        <v>443.2203</v>
      </c>
    </row>
    <row r="21" customFormat="false" ht="12.75" hidden="false" customHeight="false" outlineLevel="0" collapsed="false">
      <c r="A21" s="0" t="s">
        <v>103</v>
      </c>
      <c r="C21" s="36" t="n">
        <f aca="false">'Project Assumptions'!N33</f>
        <v>44.11203</v>
      </c>
    </row>
    <row r="22" customFormat="false" ht="12.75" hidden="false" customHeight="false" outlineLevel="0" collapsed="false">
      <c r="A22" s="0" t="s">
        <v>104</v>
      </c>
      <c r="C22" s="36" t="n">
        <f aca="false">'Book Income Statement'!D53+'Book Income Statement'!D56</f>
        <v>0</v>
      </c>
      <c r="D22" s="36" t="n">
        <f aca="false">'Book Income Statement'!E53+'Book Income Statement'!E56</f>
        <v>549.163698374115</v>
      </c>
      <c r="E22" s="36" t="n">
        <f aca="false">'Book Income Statement'!F53+'Book Income Statement'!F56</f>
        <v>538.069482245345</v>
      </c>
      <c r="F22" s="36" t="n">
        <f aca="false">'Book Income Statement'!G53+'Book Income Statement'!G56</f>
        <v>526.975266116575</v>
      </c>
      <c r="G22" s="36" t="n">
        <f aca="false">'Book Income Statement'!H53+'Book Income Statement'!H56</f>
        <v>515.881049987805</v>
      </c>
      <c r="H22" s="36" t="n">
        <f aca="false">'Book Income Statement'!I53+'Book Income Statement'!I56</f>
        <v>504.786833859035</v>
      </c>
      <c r="I22" s="36" t="n">
        <f aca="false">'Book Income Statement'!J53+'Book Income Statement'!J56</f>
        <v>493.692617730265</v>
      </c>
      <c r="J22" s="36" t="n">
        <f aca="false">'Book Income Statement'!K53+'Book Income Statement'!K56</f>
        <v>477.05129353711</v>
      </c>
      <c r="K22" s="36" t="n">
        <f aca="false">'Book Income Statement'!L53+'Book Income Statement'!L56</f>
        <v>460.409969343955</v>
      </c>
      <c r="L22" s="36" t="n">
        <f aca="false">'Book Income Statement'!M53+'Book Income Statement'!M56</f>
        <v>443.7686451508</v>
      </c>
      <c r="M22" s="36" t="n">
        <f aca="false">'Book Income Statement'!N53+'Book Income Statement'!N56</f>
        <v>421.58021289326</v>
      </c>
      <c r="N22" s="36" t="n">
        <f aca="false">'Book Income Statement'!O53+'Book Income Statement'!O56</f>
        <v>1198.17534190716</v>
      </c>
      <c r="O22" s="36" t="n">
        <f aca="false">'Book Income Statement'!P53+'Book Income Statement'!P56</f>
        <v>1114.96872094139</v>
      </c>
      <c r="P22" s="36" t="n">
        <f aca="false">'Book Income Statement'!Q53+'Book Income Statement'!Q56</f>
        <v>1015.12077578246</v>
      </c>
      <c r="Q22" s="36" t="n">
        <f aca="false">'Book Income Statement'!R53+'Book Income Statement'!R56</f>
        <v>915.272830623525</v>
      </c>
      <c r="R22" s="36" t="n">
        <f aca="false">'Book Income Statement'!S53+'Book Income Statement'!S56</f>
        <v>815.424885464595</v>
      </c>
      <c r="S22" s="36" t="n">
        <f aca="false">'Book Income Statement'!T53+'Book Income Statement'!T56</f>
        <v>682.294291919355</v>
      </c>
      <c r="T22" s="36" t="n">
        <f aca="false">'Book Income Statement'!U53+'Book Income Statement'!U56</f>
        <v>532.52237418096</v>
      </c>
      <c r="U22" s="36" t="n">
        <f aca="false">'Book Income Statement'!V53+'Book Income Statement'!V56</f>
        <v>382.750456442565</v>
      </c>
      <c r="V22" s="36" t="n">
        <f aca="false">'Book Income Statement'!W53+'Book Income Statement'!W56</f>
        <v>332.8264838631</v>
      </c>
      <c r="W22" s="36" t="n">
        <f aca="false">'Book Income Statement'!X53+'Book Income Statement'!X56</f>
        <v>332.8264838631</v>
      </c>
    </row>
    <row r="23" customFormat="false" ht="12.75" hidden="false" customHeight="false" outlineLevel="0" collapsed="false">
      <c r="A23" s="0" t="s">
        <v>105</v>
      </c>
      <c r="C23" s="36"/>
    </row>
    <row r="24" customFormat="false" ht="12.75" hidden="false" customHeight="false" outlineLevel="0" collapsed="false">
      <c r="A24" s="0" t="s">
        <v>106</v>
      </c>
      <c r="C24" s="36" t="n">
        <f aca="false">'Project Assumptions'!N22</f>
        <v>152.941176470588</v>
      </c>
    </row>
    <row r="25" customFormat="false" ht="12.75" hidden="false" customHeight="false" outlineLevel="0" collapsed="false">
      <c r="A25" s="0" t="s">
        <v>107</v>
      </c>
      <c r="C25" s="36" t="n">
        <f aca="false">'Project Assumptions'!N24</f>
        <v>200</v>
      </c>
    </row>
    <row r="27" customFormat="false" ht="12.75" hidden="false" customHeight="false" outlineLevel="0" collapsed="false">
      <c r="A27" s="34" t="s">
        <v>108</v>
      </c>
    </row>
    <row r="29" customFormat="false" ht="12.75" hidden="false" customHeight="false" outlineLevel="0" collapsed="false">
      <c r="A29" s="0" t="s">
        <v>109</v>
      </c>
      <c r="C29" s="38" t="n">
        <f aca="false">VEP</f>
        <v>0.890120663650076</v>
      </c>
    </row>
    <row r="30" customFormat="false" ht="12.75" hidden="false" customHeight="false" outlineLevel="0" collapsed="false">
      <c r="A30" s="0" t="s">
        <v>110</v>
      </c>
      <c r="C30" s="36" t="n">
        <f aca="false">'Project Assumptions'!F23</f>
        <v>1874</v>
      </c>
    </row>
    <row r="34" customFormat="false" ht="12.75" hidden="false" customHeight="false" outlineLevel="0" collapsed="false">
      <c r="A34" s="39" t="s">
        <v>111</v>
      </c>
      <c r="B34" s="40"/>
      <c r="C34" s="40"/>
      <c r="D34" s="40"/>
      <c r="E34" s="40"/>
      <c r="F34" s="40"/>
      <c r="G34" s="40"/>
      <c r="H34" s="40"/>
      <c r="I34" s="40"/>
      <c r="J34" s="40"/>
      <c r="K34" s="40"/>
      <c r="L34" s="40"/>
      <c r="M34" s="40"/>
      <c r="N34" s="40"/>
      <c r="O34" s="40"/>
      <c r="P34" s="40"/>
      <c r="Q34" s="40"/>
      <c r="R34" s="40"/>
      <c r="S34" s="40"/>
      <c r="T34" s="40"/>
      <c r="U34" s="40"/>
      <c r="V34" s="40"/>
      <c r="W34" s="40"/>
      <c r="X34" s="40"/>
      <c r="Y34" s="41"/>
    </row>
    <row r="35" customFormat="false" ht="12.75" hidden="false" customHeight="false" outlineLevel="0" collapsed="false">
      <c r="A35" s="42"/>
      <c r="B35" s="43"/>
      <c r="C35" s="44" t="n">
        <v>1999</v>
      </c>
      <c r="D35" s="44" t="n">
        <f aca="false">C35+1</f>
        <v>2000</v>
      </c>
      <c r="E35" s="44" t="n">
        <f aca="false">D35+1</f>
        <v>2001</v>
      </c>
      <c r="F35" s="44" t="n">
        <f aca="false">E35+1</f>
        <v>2002</v>
      </c>
      <c r="G35" s="44" t="n">
        <f aca="false">F35+1</f>
        <v>2003</v>
      </c>
      <c r="H35" s="44" t="n">
        <f aca="false">G35+1</f>
        <v>2004</v>
      </c>
      <c r="I35" s="44" t="n">
        <f aca="false">H35+1</f>
        <v>2005</v>
      </c>
      <c r="J35" s="44" t="n">
        <f aca="false">I35+1</f>
        <v>2006</v>
      </c>
      <c r="K35" s="44" t="n">
        <f aca="false">J35+1</f>
        <v>2007</v>
      </c>
      <c r="L35" s="44" t="n">
        <f aca="false">K35+1</f>
        <v>2008</v>
      </c>
      <c r="M35" s="44" t="n">
        <f aca="false">L35+1</f>
        <v>2009</v>
      </c>
      <c r="N35" s="44" t="n">
        <f aca="false">M35+1</f>
        <v>2010</v>
      </c>
      <c r="O35" s="44" t="n">
        <f aca="false">N35+1</f>
        <v>2011</v>
      </c>
      <c r="P35" s="44" t="n">
        <f aca="false">O35+1</f>
        <v>2012</v>
      </c>
      <c r="Q35" s="44" t="n">
        <f aca="false">P35+1</f>
        <v>2013</v>
      </c>
      <c r="R35" s="44" t="n">
        <f aca="false">Q35+1</f>
        <v>2014</v>
      </c>
      <c r="S35" s="44" t="n">
        <f aca="false">R35+1</f>
        <v>2015</v>
      </c>
      <c r="T35" s="44" t="n">
        <f aca="false">S35+1</f>
        <v>2016</v>
      </c>
      <c r="U35" s="44" t="n">
        <f aca="false">T35+1</f>
        <v>2017</v>
      </c>
      <c r="V35" s="44" t="n">
        <f aca="false">U35+1</f>
        <v>2018</v>
      </c>
      <c r="W35" s="44" t="n">
        <f aca="false">V35+1</f>
        <v>2019</v>
      </c>
      <c r="X35" s="44" t="n">
        <f aca="false">W35+1</f>
        <v>2020</v>
      </c>
      <c r="Y35" s="45" t="n">
        <f aca="false">X35+1</f>
        <v>2021</v>
      </c>
    </row>
    <row r="36" customFormat="false" ht="12.75" hidden="false" customHeight="false" outlineLevel="0" collapsed="false">
      <c r="A36" s="42" t="s">
        <v>112</v>
      </c>
      <c r="B36" s="43"/>
      <c r="C36" s="46" t="n">
        <f aca="false">[3]Caledonia!E39</f>
        <v>4843.1189000746</v>
      </c>
      <c r="D36" s="46" t="n">
        <f aca="false">[3]Caledonia!F39</f>
        <v>19250.2764670072</v>
      </c>
      <c r="E36" s="46" t="n">
        <f aca="false">[3]Caledonia!G39</f>
        <v>19588.6263719489</v>
      </c>
      <c r="F36" s="46" t="n">
        <f aca="false">[3]Caledonia!H39</f>
        <v>19541.7543959741</v>
      </c>
      <c r="G36" s="46" t="n">
        <f aca="false">[3]Caledonia!I39</f>
        <v>25272.1540993328</v>
      </c>
      <c r="H36" s="46" t="n">
        <f aca="false">[3]Caledonia!J39</f>
        <v>29736.1950532684</v>
      </c>
      <c r="I36" s="46" t="n">
        <f aca="false">[3]Caledonia!K39</f>
        <v>30056.1839307215</v>
      </c>
      <c r="J36" s="46" t="n">
        <f aca="false">[3]Caledonia!L39</f>
        <v>30372.8985508501</v>
      </c>
      <c r="K36" s="46" t="n">
        <f aca="false">[3]Caledonia!M39</f>
        <v>31318.9585951911</v>
      </c>
      <c r="L36" s="46" t="n">
        <f aca="false">[3]Caledonia!N39</f>
        <v>31634.7830221028</v>
      </c>
      <c r="M36" s="46" t="n">
        <f aca="false">[3]Caledonia!O39</f>
        <v>32623.2307721328</v>
      </c>
      <c r="N36" s="46" t="n">
        <f aca="false">[3]Caledonia!P39</f>
        <v>32161.550768125</v>
      </c>
      <c r="O36" s="46" t="n">
        <f aca="false">[3]Caledonia!Q39</f>
        <v>33254.8761136665</v>
      </c>
      <c r="P36" s="46" t="n">
        <f aca="false">[3]Caledonia!R39</f>
        <v>33654.0438310015</v>
      </c>
      <c r="Q36" s="46" t="n">
        <f aca="false">[3]Caledonia!S39</f>
        <v>34039.7908692519</v>
      </c>
      <c r="R36" s="46" t="n">
        <f aca="false">[3]Caledonia!T39</f>
        <v>34407.3778069732</v>
      </c>
      <c r="S36" s="46" t="n">
        <f aca="false">[3]Caledonia!U39</f>
        <v>34792.883896894</v>
      </c>
      <c r="T36" s="46" t="n">
        <f aca="false">[3]Caledonia!V39</f>
        <v>35182.1024588598</v>
      </c>
      <c r="U36" s="46" t="n">
        <f aca="false">[3]Caledonia!W39</f>
        <v>35567.7753420338</v>
      </c>
      <c r="V36" s="46" t="n">
        <f aca="false">[3]Caledonia!X39</f>
        <v>35819.007589484</v>
      </c>
      <c r="W36" s="46" t="n">
        <f aca="false">[3]Caledonia!Y39</f>
        <v>36008.9593703447</v>
      </c>
      <c r="X36" s="46" t="n">
        <f aca="false">[3]Caledonia!Z39</f>
        <v>36493.8654956324</v>
      </c>
      <c r="Y36" s="47"/>
    </row>
    <row r="37" customFormat="false" ht="12.75" hidden="false" customHeight="false" outlineLevel="0" collapsed="false">
      <c r="A37" s="42" t="s">
        <v>113</v>
      </c>
      <c r="B37" s="43"/>
      <c r="C37" s="48" t="n">
        <f aca="false">'Book Income Statement'!D61</f>
        <v>8065.31652147059</v>
      </c>
      <c r="D37" s="48" t="n">
        <f aca="false">'Book Income Statement'!E61</f>
        <v>19235.4282899612</v>
      </c>
      <c r="E37" s="48" t="n">
        <f aca="false">'Book Income Statement'!F61</f>
        <v>19490.98026574</v>
      </c>
      <c r="F37" s="48" t="n">
        <f aca="false">'Book Income Statement'!G61</f>
        <v>19444.8659743083</v>
      </c>
      <c r="G37" s="48" t="n">
        <f aca="false">'Book Income Statement'!H61</f>
        <v>25069.7937299641</v>
      </c>
      <c r="H37" s="48" t="n">
        <f aca="false">'Book Income Statement'!I61</f>
        <v>29449.203233183</v>
      </c>
      <c r="I37" s="48" t="n">
        <f aca="false">'Book Income Statement'!J61</f>
        <v>29763.7241658887</v>
      </c>
      <c r="J37" s="48" t="n">
        <f aca="false">'Book Income Statement'!K61</f>
        <v>30075.0498787979</v>
      </c>
      <c r="K37" s="48" t="n">
        <f aca="false">'Book Income Statement'!L61</f>
        <v>31007.8988980011</v>
      </c>
      <c r="L37" s="48" t="n">
        <f aca="false">'Book Income Statement'!M61</f>
        <v>31318.238992447</v>
      </c>
      <c r="M37" s="48" t="n">
        <f aca="false">'Book Income Statement'!N61</f>
        <v>32292.9323136725</v>
      </c>
      <c r="N37" s="48" t="n">
        <f aca="false">'Book Income Statement'!O61</f>
        <v>31807.8373597114</v>
      </c>
      <c r="O37" s="48" t="n">
        <f aca="false">'Book Income Statement'!P61</f>
        <v>32880.8690215657</v>
      </c>
      <c r="P37" s="48" t="n">
        <f aca="false">'Book Income Statement'!Q61</f>
        <v>33268.6614847461</v>
      </c>
      <c r="Q37" s="48" t="n">
        <f aca="false">'Book Income Statement'!R61</f>
        <v>33643.1450252444</v>
      </c>
      <c r="R37" s="48" t="n">
        <f aca="false">'Book Income Statement'!S61</f>
        <v>34003.2619576333</v>
      </c>
      <c r="S37" s="48" t="n">
        <f aca="false">'Book Income Statement'!T61</f>
        <v>34381.1857617769</v>
      </c>
      <c r="T37" s="48" t="n">
        <f aca="false">'Book Income Statement'!U61</f>
        <v>34759.1123247955</v>
      </c>
      <c r="U37" s="48" t="n">
        <f aca="false">'Book Income Statement'!V61</f>
        <v>35119.1816946874</v>
      </c>
      <c r="V37" s="48" t="n">
        <f aca="false">'Book Income Statement'!W61</f>
        <v>35360.2691555253</v>
      </c>
      <c r="W37" s="48" t="n">
        <f aca="false">'Book Income Statement'!X61</f>
        <v>35530.961374348</v>
      </c>
      <c r="X37" s="48" t="n">
        <f aca="false">'Book Income Statement'!Y61</f>
        <v>0</v>
      </c>
      <c r="Y37" s="47"/>
    </row>
    <row r="38" customFormat="false" ht="12.75" hidden="false" customHeight="false" outlineLevel="0" collapsed="false">
      <c r="A38" s="42"/>
      <c r="B38" s="43"/>
      <c r="C38" s="46" t="n">
        <f aca="false">C36-C37</f>
        <v>-3222.19762139598</v>
      </c>
      <c r="D38" s="46" t="n">
        <f aca="false">D36-D37</f>
        <v>14.8481770459839</v>
      </c>
      <c r="E38" s="46" t="n">
        <f aca="false">E36-E37</f>
        <v>97.6461062089329</v>
      </c>
      <c r="F38" s="46" t="n">
        <f aca="false">F36-F37</f>
        <v>96.8884216657898</v>
      </c>
      <c r="G38" s="46" t="n">
        <f aca="false">G36-G37</f>
        <v>202.360369368747</v>
      </c>
      <c r="H38" s="46" t="n">
        <f aca="false">H36-H37</f>
        <v>286.991820085455</v>
      </c>
      <c r="I38" s="46" t="n">
        <f aca="false">I36-I37</f>
        <v>292.459764832776</v>
      </c>
      <c r="J38" s="46" t="n">
        <f aca="false">J36-J37</f>
        <v>297.848672052169</v>
      </c>
      <c r="K38" s="46" t="n">
        <f aca="false">K36-K37</f>
        <v>311.059697190012</v>
      </c>
      <c r="L38" s="46" t="n">
        <f aca="false">L36-L37</f>
        <v>316.544029655815</v>
      </c>
      <c r="M38" s="46" t="n">
        <f aca="false">M36-M37</f>
        <v>330.298458460322</v>
      </c>
      <c r="N38" s="46" t="n">
        <f aca="false">N36-N37</f>
        <v>353.71340841366</v>
      </c>
      <c r="O38" s="46" t="n">
        <f aca="false">O36-O37</f>
        <v>374.007092100757</v>
      </c>
      <c r="P38" s="46" t="n">
        <f aca="false">P36-P37</f>
        <v>385.382346255348</v>
      </c>
      <c r="Q38" s="46" t="n">
        <f aca="false">Q36-Q37</f>
        <v>396.645844007595</v>
      </c>
      <c r="R38" s="46" t="n">
        <f aca="false">R36-R37</f>
        <v>404.115849339869</v>
      </c>
      <c r="S38" s="46" t="n">
        <f aca="false">S36-S37</f>
        <v>411.698135117164</v>
      </c>
      <c r="T38" s="46" t="n">
        <f aca="false">T36-T37</f>
        <v>422.990134064356</v>
      </c>
      <c r="U38" s="46" t="n">
        <f aca="false">U36-U37</f>
        <v>448.593647346432</v>
      </c>
      <c r="V38" s="46" t="n">
        <f aca="false">V36-V37</f>
        <v>458.738433958701</v>
      </c>
      <c r="W38" s="46" t="n">
        <f aca="false">W36-W37</f>
        <v>477.997995996702</v>
      </c>
      <c r="X38" s="46" t="n">
        <f aca="false">X36-X37</f>
        <v>36493.8654956324</v>
      </c>
      <c r="Y38" s="49" t="n">
        <f aca="false">Y36-Y37</f>
        <v>0</v>
      </c>
    </row>
    <row r="39" customFormat="false" ht="12.75" hidden="false" customHeight="false" outlineLevel="0" collapsed="false">
      <c r="A39" s="42"/>
      <c r="B39" s="43"/>
      <c r="C39" s="43"/>
      <c r="D39" s="43"/>
      <c r="E39" s="43"/>
      <c r="F39" s="43"/>
      <c r="G39" s="43"/>
      <c r="H39" s="43"/>
      <c r="I39" s="43"/>
      <c r="J39" s="43"/>
      <c r="K39" s="43"/>
      <c r="L39" s="43"/>
      <c r="M39" s="43"/>
      <c r="N39" s="43"/>
      <c r="O39" s="43"/>
      <c r="P39" s="43"/>
      <c r="Q39" s="43"/>
      <c r="R39" s="43"/>
      <c r="S39" s="43"/>
      <c r="T39" s="43"/>
      <c r="U39" s="43"/>
      <c r="V39" s="43"/>
      <c r="W39" s="43"/>
      <c r="X39" s="43"/>
      <c r="Y39" s="47"/>
    </row>
    <row r="40" customFormat="false" ht="12.75" hidden="false" customHeight="false" outlineLevel="0" collapsed="false">
      <c r="A40" s="42" t="s">
        <v>114</v>
      </c>
      <c r="B40" s="43"/>
      <c r="C40" s="46" t="n">
        <f aca="false">[3]Caledonia!E32</f>
        <v>38.2177921666957</v>
      </c>
      <c r="D40" s="46" t="n">
        <f aca="false">[3]Caledonia!F32</f>
        <v>231.670956682547</v>
      </c>
      <c r="E40" s="46" t="n">
        <f aca="false">[3]Caledonia!G32</f>
        <v>152.871168666783</v>
      </c>
      <c r="F40" s="46" t="n">
        <f aca="false">[3]Caledonia!H32</f>
        <v>152.871168666783</v>
      </c>
      <c r="G40" s="46" t="n">
        <f aca="false">[3]Caledonia!I32</f>
        <v>152.871168666783</v>
      </c>
      <c r="H40" s="46" t="n">
        <f aca="false">[3]Caledonia!J32</f>
        <v>144.816457694965</v>
      </c>
      <c r="I40" s="46" t="n">
        <f aca="false">[3]Caledonia!K32</f>
        <v>144.816457694965</v>
      </c>
      <c r="J40" s="46" t="n">
        <f aca="false">[3]Caledonia!L32</f>
        <v>144.816457694965</v>
      </c>
      <c r="K40" s="46" t="n">
        <f aca="false">[3]Caledonia!M32</f>
        <v>144.816457694965</v>
      </c>
      <c r="L40" s="46" t="n">
        <f aca="false">[3]Caledonia!N32</f>
        <v>144.816457694965</v>
      </c>
      <c r="M40" s="46" t="n">
        <f aca="false">[3]Caledonia!O32</f>
        <v>144.816457694965</v>
      </c>
      <c r="N40" s="46" t="n">
        <f aca="false">[3]Caledonia!P32</f>
        <v>130.199715425612</v>
      </c>
      <c r="O40" s="46" t="n">
        <f aca="false">[3]Caledonia!Q32</f>
        <v>124.08692857714</v>
      </c>
      <c r="P40" s="46" t="n">
        <f aca="false">[3]Caledonia!R32</f>
        <v>118.11496742068</v>
      </c>
      <c r="Q40" s="46" t="n">
        <f aca="false">[3]Caledonia!S32</f>
        <v>112.151669071847</v>
      </c>
      <c r="R40" s="46" t="n">
        <f aca="false">[3]Caledonia!T32</f>
        <v>109.822135986388</v>
      </c>
      <c r="S40" s="46" t="n">
        <f aca="false">[3]Caledonia!U32</f>
        <v>107.130897801754</v>
      </c>
      <c r="T40" s="46" t="n">
        <f aca="false">[3]Caledonia!V32</f>
        <v>100.575650112598</v>
      </c>
      <c r="U40" s="46" t="n">
        <f aca="false">[3]Caledonia!W32</f>
        <v>79.7355641512173</v>
      </c>
      <c r="V40" s="46" t="n">
        <f aca="false">[3]Caledonia!X32</f>
        <v>74.3781708537129</v>
      </c>
      <c r="W40" s="46" t="n">
        <f aca="false">[3]Caledonia!Y32</f>
        <v>60.0297752113987</v>
      </c>
      <c r="X40" s="46" t="n">
        <f aca="false">[3]Caledonia!Z32</f>
        <v>60.0297752113987</v>
      </c>
      <c r="Y40" s="46" t="n">
        <f aca="false">[3]Caledonia!AA32</f>
        <v>0</v>
      </c>
    </row>
    <row r="41" customFormat="false" ht="12.75" hidden="false" customHeight="false" outlineLevel="0" collapsed="false">
      <c r="A41" s="42" t="s">
        <v>115</v>
      </c>
      <c r="B41" s="43"/>
      <c r="C41" s="48" t="n">
        <f aca="false">-[3]Caledonia!E19</f>
        <v>-59.7915913589457</v>
      </c>
      <c r="D41" s="48" t="n">
        <f aca="false">-[3]Caledonia!F19</f>
        <v>-237.657734160582</v>
      </c>
      <c r="E41" s="48" t="n">
        <f aca="false">-[3]Caledonia!G19</f>
        <v>-241.834893480851</v>
      </c>
      <c r="F41" s="48" t="n">
        <f aca="false">-[3]Caledonia!H19</f>
        <v>-241.256227110792</v>
      </c>
      <c r="G41" s="48" t="n">
        <f aca="false">-[3]Caledonia!I19</f>
        <v>-312.001902460899</v>
      </c>
      <c r="H41" s="48" t="n">
        <f aca="false">-[3]Caledonia!J19</f>
        <v>-367.113519176153</v>
      </c>
      <c r="I41" s="48" t="n">
        <f aca="false">-[3]Caledonia!K19</f>
        <v>-371.06399914471</v>
      </c>
      <c r="J41" s="48" t="n">
        <f aca="false">-[3]Caledonia!L19</f>
        <v>-374.974056183334</v>
      </c>
      <c r="K41" s="48" t="n">
        <f aca="false">-[3]Caledonia!M19</f>
        <v>-386.653809817174</v>
      </c>
      <c r="L41" s="48" t="n">
        <f aca="false">-[3]Caledonia!N19</f>
        <v>-390.552876816084</v>
      </c>
      <c r="M41" s="48" t="n">
        <f aca="false">-[3]Caledonia!O19</f>
        <v>-402.755935458429</v>
      </c>
      <c r="N41" s="48" t="n">
        <f aca="false">-[3]Caledonia!P19</f>
        <v>-397.056182322531</v>
      </c>
      <c r="O41" s="48" t="n">
        <f aca="false">-[3]Caledonia!Q19</f>
        <v>-410.554026094648</v>
      </c>
      <c r="P41" s="48" t="n">
        <f aca="false">-[3]Caledonia!R19</f>
        <v>-415.482022604956</v>
      </c>
      <c r="Q41" s="48" t="n">
        <f aca="false">-[3]Caledonia!S19</f>
        <v>-420.24433171916</v>
      </c>
      <c r="R41" s="48" t="n">
        <f aca="false">-[3]Caledonia!T19</f>
        <v>-424.782442061397</v>
      </c>
      <c r="S41" s="48" t="n">
        <f aca="false">-[3]Caledonia!U19</f>
        <v>-429.541776504864</v>
      </c>
      <c r="T41" s="48" t="n">
        <f aca="false">-[3]Caledonia!V19</f>
        <v>-434.346943936541</v>
      </c>
      <c r="U41" s="48" t="n">
        <f aca="false">-[3]Caledonia!W19</f>
        <v>-439.108337555973</v>
      </c>
      <c r="V41" s="48" t="n">
        <f aca="false">-[3]Caledonia!X19</f>
        <v>-442.209970240543</v>
      </c>
      <c r="W41" s="48" t="n">
        <f aca="false">-[3]Caledonia!Y19</f>
        <v>-444.555053954874</v>
      </c>
      <c r="X41" s="48" t="n">
        <f aca="false">-[3]Caledonia!Z19</f>
        <v>-450.541549328795</v>
      </c>
      <c r="Y41" s="48" t="n">
        <f aca="false">-[3]Caledonia!AA19</f>
        <v>-0</v>
      </c>
    </row>
    <row r="42" customFormat="false" ht="12.75" hidden="false" customHeight="false" outlineLevel="0" collapsed="false">
      <c r="A42" s="50" t="s">
        <v>116</v>
      </c>
      <c r="B42" s="51"/>
      <c r="C42" s="52" t="n">
        <f aca="false">C38+C40+C41</f>
        <v>-3243.77142058823</v>
      </c>
      <c r="D42" s="52" t="n">
        <f aca="false">D38+D40+D41</f>
        <v>8.86139956794821</v>
      </c>
      <c r="E42" s="52" t="n">
        <f aca="false">E38+E40+E41</f>
        <v>8.68238139486442</v>
      </c>
      <c r="F42" s="52" t="n">
        <f aca="false">F38+F40+F41</f>
        <v>8.5033632217808</v>
      </c>
      <c r="G42" s="52" t="n">
        <f aca="false">G38+G40+G41</f>
        <v>43.2296355746308</v>
      </c>
      <c r="H42" s="52" t="n">
        <f aca="false">H38+H40+H41</f>
        <v>64.6947586042668</v>
      </c>
      <c r="I42" s="52" t="n">
        <f aca="false">I38+I40+I41</f>
        <v>66.2122233830315</v>
      </c>
      <c r="J42" s="52" t="n">
        <f aca="false">J38+J40+J41</f>
        <v>67.6910735637991</v>
      </c>
      <c r="K42" s="52" t="n">
        <f aca="false">K38+K40+K41</f>
        <v>69.2223450678027</v>
      </c>
      <c r="L42" s="52" t="n">
        <f aca="false">L38+L40+L41</f>
        <v>70.8076105346964</v>
      </c>
      <c r="M42" s="52" t="n">
        <f aca="false">M38+M40+M41</f>
        <v>72.3589806968573</v>
      </c>
      <c r="N42" s="52" t="n">
        <f aca="false">N38+N40+N41</f>
        <v>86.8569415167403</v>
      </c>
      <c r="O42" s="52" t="n">
        <f aca="false">O38+O40+O41</f>
        <v>87.5399945832499</v>
      </c>
      <c r="P42" s="52" t="n">
        <f aca="false">P38+P40+P41</f>
        <v>88.0152910710717</v>
      </c>
      <c r="Q42" s="52" t="n">
        <f aca="false">Q38+Q40+Q41</f>
        <v>88.5531813602817</v>
      </c>
      <c r="R42" s="52" t="n">
        <f aca="false">R38+R40+R41</f>
        <v>89.1555432648597</v>
      </c>
      <c r="S42" s="52" t="n">
        <f aca="false">S38+S40+S41</f>
        <v>89.2872564140535</v>
      </c>
      <c r="T42" s="52" t="n">
        <f aca="false">T38+T40+T41</f>
        <v>89.2188402404124</v>
      </c>
      <c r="U42" s="52" t="n">
        <f aca="false">U38+U40+U41</f>
        <v>89.2208739416759</v>
      </c>
      <c r="V42" s="52" t="n">
        <f aca="false">V38+V40+V41</f>
        <v>90.9066345718703</v>
      </c>
      <c r="W42" s="52" t="n">
        <f aca="false">W38+W40+W41</f>
        <v>93.4727172532275</v>
      </c>
      <c r="X42" s="52" t="n">
        <f aca="false">X38+X40+X41</f>
        <v>36103.353721515</v>
      </c>
      <c r="Y42" s="53" t="n">
        <f aca="false">Y38+Y40+Y41</f>
        <v>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W107"/>
  <sheetViews>
    <sheetView showFormulas="false" showGridLines="true" showRowColHeaders="true" showZeros="true" rightToLeft="false" tabSelected="false" showOutlineSymbols="true" defaultGridColor="true" view="normal" topLeftCell="A45" colorId="64" zoomScale="85" zoomScaleNormal="85" zoomScalePageLayoutView="100" workbookViewId="0">
      <selection pane="topLeft" activeCell="C33" activeCellId="0" sqref="C33"/>
    </sheetView>
  </sheetViews>
  <sheetFormatPr defaultColWidth="9.28125" defaultRowHeight="12" customHeight="true" zeroHeight="false" outlineLevelRow="0" outlineLevelCol="0"/>
  <cols>
    <col collapsed="false" customWidth="true" hidden="false" outlineLevel="0" max="1" min="1" style="54" width="34.71"/>
    <col collapsed="false" customWidth="true" hidden="false" outlineLevel="0" max="2" min="2" style="54" width="8.7"/>
    <col collapsed="false" customWidth="true" hidden="false" outlineLevel="0" max="3" min="3" style="54" width="11.42"/>
    <col collapsed="false" customWidth="true" hidden="false" outlineLevel="0" max="4" min="4" style="54" width="5.56"/>
    <col collapsed="false" customWidth="true" hidden="false" outlineLevel="0" max="5" min="5" style="54" width="23.56"/>
    <col collapsed="false" customWidth="true" hidden="false" outlineLevel="0" max="6" min="6" style="54" width="11.28"/>
    <col collapsed="false" customWidth="true" hidden="false" outlineLevel="0" max="7" min="7" style="54" width="11.42"/>
    <col collapsed="false" customWidth="true" hidden="false" outlineLevel="0" max="8" min="8" style="54" width="11.99"/>
    <col collapsed="false" customWidth="true" hidden="false" outlineLevel="0" max="9" min="9" style="54" width="10.71"/>
    <col collapsed="false" customWidth="true" hidden="false" outlineLevel="0" max="10" min="10" style="54" width="4.85"/>
    <col collapsed="false" customWidth="true" hidden="false" outlineLevel="0" max="11" min="11" style="54" width="18.99"/>
    <col collapsed="false" customWidth="true" hidden="false" outlineLevel="0" max="12" min="12" style="54" width="12.85"/>
    <col collapsed="false" customWidth="true" hidden="false" outlineLevel="0" max="13" min="13" style="54" width="10.28"/>
    <col collapsed="false" customWidth="true" hidden="false" outlineLevel="0" max="14" min="14" style="54" width="11.42"/>
    <col collapsed="false" customWidth="true" hidden="false" outlineLevel="0" max="15" min="15" style="54" width="8.56"/>
    <col collapsed="false" customWidth="true" hidden="false" outlineLevel="0" max="16" min="16" style="55" width="11.7"/>
    <col collapsed="false" customWidth="true" hidden="false" outlineLevel="0" max="17" min="17" style="55" width="4.85"/>
    <col collapsed="false" customWidth="true" hidden="false" outlineLevel="0" max="18" min="18" style="55" width="16.28"/>
    <col collapsed="false" customWidth="false" hidden="false" outlineLevel="0" max="257" min="19" style="55" width="9.28"/>
  </cols>
  <sheetData>
    <row r="1" customFormat="false" ht="15.75" hidden="false" customHeight="false" outlineLevel="0" collapsed="false">
      <c r="B1" s="56"/>
      <c r="E1" s="57" t="str">
        <f aca="false">IF(ABS(Loop)&gt;0.1,"***Run Franchise Tax!***","")</f>
        <v/>
      </c>
    </row>
    <row r="2" customFormat="false" ht="20.25" hidden="false" customHeight="false" outlineLevel="0" collapsed="false">
      <c r="A2" s="58" t="s">
        <v>117</v>
      </c>
      <c r="B2" s="58"/>
      <c r="C2" s="58"/>
      <c r="D2" s="58"/>
      <c r="E2" s="58"/>
      <c r="F2" s="58"/>
      <c r="G2" s="58"/>
      <c r="H2" s="58"/>
      <c r="I2" s="58"/>
      <c r="J2" s="58"/>
      <c r="K2" s="58"/>
      <c r="L2" s="58"/>
      <c r="M2" s="58"/>
      <c r="N2" s="58"/>
      <c r="O2" s="59"/>
      <c r="P2" s="60"/>
      <c r="Q2" s="60"/>
      <c r="R2" s="60"/>
      <c r="S2" s="60"/>
      <c r="T2" s="60"/>
      <c r="U2" s="60"/>
    </row>
    <row r="3" customFormat="false" ht="13.9" hidden="false" customHeight="true" outlineLevel="0" collapsed="false">
      <c r="A3" s="61" t="s">
        <v>118</v>
      </c>
      <c r="B3" s="61"/>
      <c r="C3" s="61"/>
      <c r="D3" s="61"/>
      <c r="E3" s="61"/>
      <c r="F3" s="61"/>
      <c r="G3" s="61"/>
      <c r="H3" s="61"/>
      <c r="I3" s="61"/>
      <c r="J3" s="61"/>
      <c r="K3" s="61"/>
      <c r="L3" s="61"/>
      <c r="M3" s="61"/>
      <c r="N3" s="61"/>
    </row>
    <row r="4" customFormat="false" ht="13.9" hidden="false" customHeight="true" outlineLevel="0" collapsed="false">
      <c r="A4" s="62" t="str">
        <f aca="true">CONCATENATE("File Location: ",CELL("filename"))</f>
        <v>File Location: 'file:///mnt/12tb/@roms/datasets/enron/EDRM Enron Email Data Set v2 XML/filtered-attachments/xls/Caledonia.xls'#$Project Assumptions</v>
      </c>
      <c r="B4" s="62"/>
      <c r="C4" s="62"/>
      <c r="D4" s="62"/>
      <c r="E4" s="62"/>
      <c r="F4" s="62"/>
      <c r="G4" s="62"/>
      <c r="H4" s="62"/>
      <c r="I4" s="62"/>
      <c r="J4" s="62"/>
      <c r="K4" s="62"/>
      <c r="L4" s="62"/>
      <c r="M4" s="62"/>
      <c r="N4" s="62"/>
    </row>
    <row r="5" customFormat="false" ht="15.75" hidden="false" customHeight="false" outlineLevel="0" collapsed="false">
      <c r="A5" s="63" t="s">
        <v>119</v>
      </c>
      <c r="B5" s="64"/>
      <c r="C5" s="65"/>
      <c r="E5" s="63" t="s">
        <v>120</v>
      </c>
      <c r="F5" s="64"/>
      <c r="G5" s="64"/>
      <c r="H5" s="64"/>
      <c r="I5" s="66"/>
      <c r="K5" s="67" t="s">
        <v>121</v>
      </c>
      <c r="L5" s="68"/>
      <c r="M5" s="68"/>
      <c r="N5" s="64"/>
      <c r="O5" s="64"/>
      <c r="P5" s="69"/>
      <c r="R5" s="63" t="s">
        <v>122</v>
      </c>
      <c r="S5" s="64"/>
      <c r="T5" s="64"/>
      <c r="U5" s="65"/>
    </row>
    <row r="6" customFormat="false" ht="15.75" hidden="false" customHeight="false" outlineLevel="0" collapsed="false">
      <c r="A6" s="70"/>
      <c r="B6" s="71"/>
      <c r="C6" s="72"/>
      <c r="E6" s="70"/>
      <c r="F6" s="71"/>
      <c r="G6" s="71"/>
      <c r="H6" s="71"/>
      <c r="I6" s="73"/>
      <c r="K6" s="74"/>
      <c r="M6" s="75" t="s">
        <v>123</v>
      </c>
      <c r="N6" s="76" t="n">
        <v>1999</v>
      </c>
      <c r="P6" s="77"/>
      <c r="R6" s="78" t="s">
        <v>124</v>
      </c>
      <c r="S6" s="71"/>
      <c r="T6" s="71"/>
      <c r="U6" s="79" t="n">
        <v>0.15</v>
      </c>
    </row>
    <row r="7" customFormat="false" ht="24.75" hidden="false" customHeight="false" outlineLevel="0" collapsed="false">
      <c r="A7" s="80" t="s">
        <v>125</v>
      </c>
      <c r="B7" s="71"/>
      <c r="C7" s="72"/>
      <c r="E7" s="78" t="s">
        <v>126</v>
      </c>
      <c r="F7" s="71"/>
      <c r="G7" s="71"/>
      <c r="H7" s="71"/>
      <c r="I7" s="81" t="s">
        <v>127</v>
      </c>
      <c r="K7" s="82"/>
      <c r="L7" s="83" t="s">
        <v>128</v>
      </c>
      <c r="M7" s="84" t="s">
        <v>129</v>
      </c>
      <c r="N7" s="84" t="s">
        <v>130</v>
      </c>
      <c r="O7" s="71"/>
      <c r="P7" s="85" t="s">
        <v>131</v>
      </c>
      <c r="R7" s="74" t="s">
        <v>132</v>
      </c>
      <c r="S7" s="71"/>
      <c r="T7" s="71"/>
      <c r="U7" s="86" t="n">
        <f aca="false">Depreciation!C48</f>
        <v>0.6545</v>
      </c>
    </row>
    <row r="8" customFormat="false" ht="12" hidden="false" customHeight="false" outlineLevel="0" collapsed="false">
      <c r="A8" s="78" t="s">
        <v>133</v>
      </c>
      <c r="B8" s="87" t="n">
        <f aca="false">C8/C10</f>
        <v>0.239571075621987</v>
      </c>
      <c r="C8" s="88" t="n">
        <f aca="false">C50-C9</f>
        <v>37076.971</v>
      </c>
      <c r="E8" s="78" t="s">
        <v>134</v>
      </c>
      <c r="F8" s="71"/>
      <c r="G8" s="71"/>
      <c r="H8" s="89"/>
      <c r="I8" s="90" t="n">
        <v>6</v>
      </c>
      <c r="K8" s="91" t="s">
        <v>135</v>
      </c>
      <c r="L8" s="92" t="n">
        <f aca="false">45000/1000</f>
        <v>45</v>
      </c>
      <c r="M8" s="93" t="n">
        <f aca="false">NetMW*AnnualHours</f>
        <v>530400</v>
      </c>
      <c r="N8" s="94" t="n">
        <f aca="false">WaterOM/M8*1000</f>
        <v>0.084841628959276</v>
      </c>
      <c r="O8" s="71"/>
      <c r="P8" s="95" t="n">
        <f aca="false">AVERAGE('Book Income Statement'!E25:H25)</f>
        <v>50.6382380640286</v>
      </c>
      <c r="R8" s="78" t="s">
        <v>136</v>
      </c>
      <c r="S8" s="96"/>
      <c r="T8" s="97"/>
      <c r="U8" s="98" t="n">
        <v>0.04897</v>
      </c>
    </row>
    <row r="9" customFormat="false" ht="12" hidden="false" customHeight="false" outlineLevel="0" collapsed="false">
      <c r="A9" s="78" t="s">
        <v>137</v>
      </c>
      <c r="B9" s="87" t="n">
        <f aca="false">C9/C10</f>
        <v>0.760428924378013</v>
      </c>
      <c r="C9" s="99" t="n">
        <f aca="false">IF(I35="Normal",I38,I39)</f>
        <v>117687</v>
      </c>
      <c r="E9" s="78" t="s">
        <v>138</v>
      </c>
      <c r="F9" s="71"/>
      <c r="G9" s="71"/>
      <c r="H9" s="100"/>
      <c r="I9" s="101" t="n">
        <v>503.6</v>
      </c>
      <c r="K9" s="91" t="s">
        <v>139</v>
      </c>
      <c r="L9" s="102" t="n">
        <v>1</v>
      </c>
      <c r="M9" s="93" t="n">
        <f aca="false">NetMW*AnnualHours</f>
        <v>530400</v>
      </c>
      <c r="N9" s="103" t="n">
        <v>0.05</v>
      </c>
      <c r="O9" s="71"/>
      <c r="P9" s="95" t="n">
        <f aca="false">AVERAGE('Book Income Statement'!E26:H26)</f>
        <v>29.8428016324009</v>
      </c>
      <c r="R9" s="74" t="s">
        <v>140</v>
      </c>
      <c r="S9" s="71"/>
      <c r="T9" s="71"/>
      <c r="U9" s="104" t="n">
        <v>10</v>
      </c>
    </row>
    <row r="10" customFormat="false" ht="12" hidden="false" customHeight="false" outlineLevel="0" collapsed="false">
      <c r="A10" s="78" t="s">
        <v>141</v>
      </c>
      <c r="B10" s="105"/>
      <c r="C10" s="106" t="n">
        <f aca="false">SUM(C8:C9)</f>
        <v>154763.971</v>
      </c>
      <c r="E10" s="78" t="s">
        <v>142</v>
      </c>
      <c r="G10" s="107" t="n">
        <v>1999</v>
      </c>
      <c r="H10" s="71" t="s">
        <v>143</v>
      </c>
      <c r="I10" s="108" t="n">
        <v>442</v>
      </c>
      <c r="K10" s="91" t="s">
        <v>144</v>
      </c>
      <c r="L10" s="109" t="n">
        <v>400.6</v>
      </c>
      <c r="M10" s="93" t="n">
        <f aca="false">NetMW*AnnualHours</f>
        <v>530400</v>
      </c>
      <c r="N10" s="110" t="n">
        <f aca="false">Variable/M10*1000</f>
        <v>0.7552790346908</v>
      </c>
      <c r="O10" s="71"/>
      <c r="P10" s="111" t="n">
        <f aca="false">AVERAGE('Book Income Statement'!E27:H27)</f>
        <v>450.792848187775</v>
      </c>
      <c r="R10" s="74" t="s">
        <v>145</v>
      </c>
      <c r="S10" s="71"/>
      <c r="T10" s="71"/>
      <c r="U10" s="112" t="n">
        <f aca="false">1/3</f>
        <v>0.333333333333333</v>
      </c>
    </row>
    <row r="11" customFormat="false" ht="12" hidden="false" customHeight="false" outlineLevel="0" collapsed="false">
      <c r="A11" s="113"/>
      <c r="B11" s="105" t="s">
        <v>146</v>
      </c>
      <c r="C11" s="114" t="n">
        <f aca="false">B8*I59+B9*I41</f>
        <v>0.0877963018925122</v>
      </c>
      <c r="E11" s="78" t="s">
        <v>147</v>
      </c>
      <c r="F11" s="71"/>
      <c r="G11" s="115" t="n">
        <v>36647</v>
      </c>
      <c r="H11" s="116" t="s">
        <v>148</v>
      </c>
      <c r="I11" s="108" t="n">
        <f aca="false">NetMW+15</f>
        <v>457</v>
      </c>
      <c r="K11" s="117" t="s">
        <v>149</v>
      </c>
      <c r="L11" s="118" t="n">
        <f aca="false">SUM(L8:L10)</f>
        <v>446.6</v>
      </c>
      <c r="M11" s="119"/>
      <c r="N11" s="120" t="n">
        <f aca="false">SUM(N8:N10)</f>
        <v>0.890120663650076</v>
      </c>
      <c r="O11" s="121"/>
      <c r="P11" s="122" t="n">
        <f aca="false">AVERAGE('Book Income Statement'!E28:H28)</f>
        <v>531.273887884204</v>
      </c>
      <c r="Q11" s="123"/>
      <c r="R11" s="78" t="s">
        <v>150</v>
      </c>
      <c r="S11" s="71"/>
      <c r="T11" s="71"/>
      <c r="U11" s="98" t="n">
        <v>0.05016</v>
      </c>
    </row>
    <row r="12" customFormat="false" ht="15" hidden="false" customHeight="false" outlineLevel="0" collapsed="false">
      <c r="A12" s="80" t="s">
        <v>151</v>
      </c>
      <c r="B12" s="105"/>
      <c r="C12" s="72"/>
      <c r="E12" s="78" t="s">
        <v>152</v>
      </c>
      <c r="F12" s="124" t="n">
        <v>0.02</v>
      </c>
      <c r="G12" s="71" t="s">
        <v>153</v>
      </c>
      <c r="H12" s="125"/>
      <c r="I12" s="126" t="n">
        <f aca="false">NetMW_New*(1-F12)</f>
        <v>447.86</v>
      </c>
      <c r="N12" s="127"/>
      <c r="P12" s="128"/>
      <c r="R12" s="129" t="s">
        <v>154</v>
      </c>
      <c r="S12" s="130"/>
      <c r="T12" s="131"/>
      <c r="U12" s="104" t="n">
        <v>10</v>
      </c>
    </row>
    <row r="13" customFormat="false" ht="15.75" hidden="false" customHeight="false" outlineLevel="0" collapsed="false">
      <c r="A13" s="132" t="s">
        <v>155</v>
      </c>
      <c r="B13" s="105"/>
      <c r="C13" s="72"/>
      <c r="E13" s="133" t="s">
        <v>156</v>
      </c>
      <c r="F13" s="71"/>
      <c r="G13" s="71"/>
      <c r="H13" s="89"/>
      <c r="I13" s="134" t="n">
        <v>12064</v>
      </c>
      <c r="K13" s="135" t="s">
        <v>157</v>
      </c>
      <c r="L13" s="136"/>
      <c r="M13" s="68"/>
      <c r="N13" s="137"/>
      <c r="O13" s="138"/>
      <c r="P13" s="139"/>
      <c r="R13" s="74" t="s">
        <v>158</v>
      </c>
      <c r="S13" s="71"/>
      <c r="T13" s="71"/>
      <c r="U13" s="112" t="n">
        <f aca="false">1/3</f>
        <v>0.333333333333333</v>
      </c>
    </row>
    <row r="14" customFormat="false" ht="24" hidden="false" customHeight="false" outlineLevel="0" collapsed="false">
      <c r="A14" s="78" t="s">
        <v>159</v>
      </c>
      <c r="B14" s="140"/>
      <c r="C14" s="141" t="n">
        <v>101629.108</v>
      </c>
      <c r="E14" s="78" t="s">
        <v>160</v>
      </c>
      <c r="F14" s="71"/>
      <c r="G14" s="71"/>
      <c r="H14" s="89"/>
      <c r="I14" s="142" t="n">
        <f aca="false">I15/8760</f>
        <v>0.136986301369863</v>
      </c>
      <c r="K14" s="74"/>
      <c r="L14" s="143" t="s">
        <v>161</v>
      </c>
      <c r="M14" s="144" t="s">
        <v>162</v>
      </c>
      <c r="N14" s="145" t="s">
        <v>163</v>
      </c>
      <c r="O14" s="146" t="s">
        <v>164</v>
      </c>
      <c r="P14" s="147" t="s">
        <v>165</v>
      </c>
      <c r="R14" s="78" t="s">
        <v>166</v>
      </c>
      <c r="S14" s="71"/>
      <c r="T14" s="97"/>
      <c r="U14" s="148" t="n">
        <v>0</v>
      </c>
    </row>
    <row r="15" customFormat="false" ht="12.75" hidden="false" customHeight="false" outlineLevel="0" collapsed="false">
      <c r="A15" s="78" t="s">
        <v>167</v>
      </c>
      <c r="B15" s="140"/>
      <c r="C15" s="141" t="n">
        <v>10286.721</v>
      </c>
      <c r="E15" s="78" t="s">
        <v>168</v>
      </c>
      <c r="F15" s="71"/>
      <c r="G15" s="71"/>
      <c r="H15" s="149"/>
      <c r="I15" s="90" t="n">
        <v>1200</v>
      </c>
      <c r="J15" s="150"/>
      <c r="K15" s="91" t="s">
        <v>169</v>
      </c>
      <c r="L15" s="151" t="n">
        <v>120</v>
      </c>
      <c r="M15" s="152" t="n">
        <f aca="false">N15/(I8)</f>
        <v>1874</v>
      </c>
      <c r="N15" s="152" t="n">
        <f aca="false">VLOOKUP(L15,Main_Table,2)</f>
        <v>11244</v>
      </c>
      <c r="O15" s="102" t="n">
        <f aca="false">Main_Start*L15/1000</f>
        <v>1349.28</v>
      </c>
      <c r="P15" s="153" t="n">
        <v>0.03</v>
      </c>
      <c r="R15" s="154" t="s">
        <v>170</v>
      </c>
      <c r="S15" s="155"/>
      <c r="T15" s="156"/>
      <c r="U15" s="157" t="n">
        <f aca="false">Depreciation!C57</f>
        <v>596.036761518168</v>
      </c>
    </row>
    <row r="16" customFormat="false" ht="12" hidden="false" customHeight="false" outlineLevel="0" collapsed="false">
      <c r="A16" s="78" t="s">
        <v>171</v>
      </c>
      <c r="B16" s="140"/>
      <c r="C16" s="141" t="n">
        <v>29262.011</v>
      </c>
      <c r="E16" s="78" t="s">
        <v>172</v>
      </c>
      <c r="F16" s="71"/>
      <c r="G16" s="71"/>
      <c r="H16" s="158"/>
      <c r="I16" s="159" t="n">
        <v>20</v>
      </c>
      <c r="K16" s="91" t="s">
        <v>173</v>
      </c>
      <c r="L16" s="151" t="n">
        <v>120</v>
      </c>
      <c r="M16" s="160" t="n">
        <f aca="false">N16/I8</f>
        <v>0</v>
      </c>
      <c r="N16" s="160" t="n">
        <f aca="false">VLOOKUP(L16,Main_Table,3)</f>
        <v>0</v>
      </c>
      <c r="O16" s="161" t="n">
        <f aca="false">Fuel_Start*L16/1000</f>
        <v>0</v>
      </c>
      <c r="P16" s="162"/>
    </row>
    <row r="17" customFormat="false" ht="15.75" hidden="false" customHeight="false" outlineLevel="0" collapsed="false">
      <c r="A17" s="74" t="s">
        <v>174</v>
      </c>
      <c r="B17" s="140"/>
      <c r="C17" s="141" t="n">
        <v>697</v>
      </c>
      <c r="E17" s="78" t="s">
        <v>175</v>
      </c>
      <c r="F17" s="71"/>
      <c r="G17" s="71"/>
      <c r="H17" s="100"/>
      <c r="I17" s="163" t="n">
        <v>36373</v>
      </c>
      <c r="K17" s="164"/>
      <c r="L17" s="118"/>
      <c r="M17" s="165" t="n">
        <f aca="false">SUM(M15:M16)</f>
        <v>1874</v>
      </c>
      <c r="N17" s="165" t="n">
        <f aca="false">SUM(N15:N16)</f>
        <v>11244</v>
      </c>
      <c r="O17" s="166" t="n">
        <f aca="false">SUM(O15:O16)</f>
        <v>1349.28</v>
      </c>
      <c r="P17" s="122"/>
      <c r="R17" s="63" t="s">
        <v>176</v>
      </c>
      <c r="S17" s="64"/>
      <c r="T17" s="64"/>
      <c r="U17" s="65"/>
    </row>
    <row r="18" customFormat="false" ht="12" hidden="false" customHeight="false" outlineLevel="0" collapsed="false">
      <c r="A18" s="78" t="s">
        <v>177</v>
      </c>
      <c r="B18" s="140"/>
      <c r="C18" s="141" t="n">
        <v>557.693</v>
      </c>
      <c r="E18" s="78" t="s">
        <v>178</v>
      </c>
      <c r="F18" s="71"/>
      <c r="G18" s="71"/>
      <c r="H18" s="167" t="n">
        <f aca="false">(YEAR(I18)-YEAR(StartDate))*12-MONTH(I18)-MONTH(StartDate)</f>
        <v>220</v>
      </c>
      <c r="I18" s="163" t="n">
        <v>43830</v>
      </c>
      <c r="N18" s="127"/>
      <c r="P18" s="128"/>
      <c r="R18" s="74" t="s">
        <v>179</v>
      </c>
      <c r="S18" s="71"/>
      <c r="T18" s="71"/>
      <c r="U18" s="168" t="n">
        <f aca="false">$C$8/'Book Income Statement'!$E$72</f>
        <v>11.0074034504476</v>
      </c>
    </row>
    <row r="19" customFormat="false" ht="15.75" hidden="false" customHeight="false" outlineLevel="0" collapsed="false">
      <c r="A19" s="74" t="s">
        <v>180</v>
      </c>
      <c r="B19" s="169"/>
      <c r="C19" s="141" t="n">
        <v>981</v>
      </c>
      <c r="E19" s="170" t="s">
        <v>181</v>
      </c>
      <c r="F19" s="171" t="s">
        <v>182</v>
      </c>
      <c r="G19" s="172" t="n">
        <f aca="false">C50/I10</f>
        <v>350.144730769231</v>
      </c>
      <c r="H19" s="171" t="s">
        <v>183</v>
      </c>
      <c r="I19" s="172" t="n">
        <f aca="false">(C50-C41)/I10</f>
        <v>350.144730769231</v>
      </c>
      <c r="K19" s="67" t="s">
        <v>184</v>
      </c>
      <c r="L19" s="64"/>
      <c r="M19" s="64"/>
      <c r="N19" s="64"/>
      <c r="O19" s="64"/>
      <c r="P19" s="173"/>
      <c r="R19" s="74" t="s">
        <v>185</v>
      </c>
      <c r="S19" s="71"/>
      <c r="T19" s="71"/>
      <c r="U19" s="174" t="n">
        <v>30</v>
      </c>
      <c r="V19" s="0"/>
      <c r="W19" s="0"/>
    </row>
    <row r="20" customFormat="false" ht="12.75" hidden="false" customHeight="false" outlineLevel="0" collapsed="false">
      <c r="A20" s="78" t="s">
        <v>186</v>
      </c>
      <c r="B20" s="92"/>
      <c r="C20" s="141" t="n">
        <v>3507.82</v>
      </c>
      <c r="E20" s="175"/>
      <c r="G20" s="176"/>
      <c r="H20" s="177"/>
      <c r="I20" s="178"/>
      <c r="K20" s="91" t="s">
        <v>187</v>
      </c>
      <c r="L20" s="96"/>
      <c r="M20" s="96"/>
      <c r="N20" s="179" t="n">
        <f aca="false">465690/1000</f>
        <v>465.69</v>
      </c>
      <c r="O20" s="71"/>
      <c r="P20" s="95" t="n">
        <f aca="false">AVERAGE('Book Income Statement'!E37:H37)</f>
        <v>501.680363839725</v>
      </c>
      <c r="R20" s="74" t="s">
        <v>188</v>
      </c>
      <c r="S20" s="71"/>
      <c r="T20" s="71"/>
      <c r="U20" s="180" t="n">
        <v>0.1</v>
      </c>
      <c r="V20" s="0"/>
      <c r="W20" s="0"/>
    </row>
    <row r="21" customFormat="false" ht="15.75" hidden="false" customHeight="false" outlineLevel="0" collapsed="false">
      <c r="A21" s="74" t="s">
        <v>189</v>
      </c>
      <c r="B21" s="181" t="n">
        <v>0.07</v>
      </c>
      <c r="C21" s="141" t="n">
        <v>100</v>
      </c>
      <c r="E21" s="67" t="s">
        <v>190</v>
      </c>
      <c r="F21" s="182"/>
      <c r="G21" s="183"/>
      <c r="H21" s="182"/>
      <c r="I21" s="184"/>
      <c r="K21" s="74" t="s">
        <v>191</v>
      </c>
      <c r="L21" s="71"/>
      <c r="M21" s="71"/>
      <c r="N21" s="179" t="n">
        <f aca="false">235760/1000</f>
        <v>235.76</v>
      </c>
      <c r="O21" s="71"/>
      <c r="P21" s="95" t="n">
        <f aca="false">AVERAGE('Book Income Statement'!E38:H38)</f>
        <v>253.9804646414</v>
      </c>
      <c r="R21" s="170" t="s">
        <v>192</v>
      </c>
      <c r="S21" s="119"/>
      <c r="T21" s="119"/>
      <c r="U21" s="185" t="n">
        <v>0.013490953938989</v>
      </c>
      <c r="V21" s="0"/>
      <c r="W21" s="0"/>
    </row>
    <row r="22" customFormat="false" ht="12.75" hidden="false" customHeight="false" outlineLevel="0" collapsed="false">
      <c r="A22" s="78" t="s">
        <v>193</v>
      </c>
      <c r="B22" s="92"/>
      <c r="C22" s="186" t="n">
        <v>136.036</v>
      </c>
      <c r="E22" s="74" t="s">
        <v>109</v>
      </c>
      <c r="F22" s="187" t="n">
        <f aca="false">VariableMwh</f>
        <v>0.890120663650076</v>
      </c>
      <c r="G22" s="188" t="s">
        <v>194</v>
      </c>
      <c r="H22" s="71"/>
      <c r="I22" s="114" t="n">
        <v>0.03</v>
      </c>
      <c r="K22" s="91" t="s">
        <v>195</v>
      </c>
      <c r="L22" s="71"/>
      <c r="M22" s="71"/>
      <c r="N22" s="189" t="n">
        <f aca="false">NetMW/2890*1000</f>
        <v>152.941176470588</v>
      </c>
      <c r="O22" s="71"/>
      <c r="P22" s="95" t="n">
        <f aca="false">AVERAGE('Book Income Statement'!E39:H39)</f>
        <v>164.761075088235</v>
      </c>
      <c r="V22" s="0"/>
      <c r="W22" s="0"/>
    </row>
    <row r="23" customFormat="false" ht="15.75" hidden="false" customHeight="false" outlineLevel="0" collapsed="false">
      <c r="A23" s="78"/>
      <c r="B23" s="105"/>
      <c r="C23" s="190" t="n">
        <f aca="false">SUM(C14:C22)</f>
        <v>147157.389</v>
      </c>
      <c r="E23" s="74" t="s">
        <v>196</v>
      </c>
      <c r="F23" s="191" t="n">
        <f aca="false">M17</f>
        <v>1874</v>
      </c>
      <c r="G23" s="188" t="s">
        <v>197</v>
      </c>
      <c r="H23" s="71"/>
      <c r="I23" s="72"/>
      <c r="K23" s="91" t="s">
        <v>198</v>
      </c>
      <c r="L23" s="192" t="n">
        <v>0.07</v>
      </c>
      <c r="M23" s="96" t="s">
        <v>199</v>
      </c>
      <c r="N23" s="189" t="n">
        <f aca="false">L23*(ISO_MW*(1-Deg_Rate)*12)</f>
        <v>414.56352</v>
      </c>
      <c r="O23" s="71"/>
      <c r="P23" s="95"/>
      <c r="R23" s="193" t="s">
        <v>200</v>
      </c>
      <c r="S23" s="64"/>
      <c r="T23" s="64"/>
      <c r="U23" s="65"/>
      <c r="V23" s="0"/>
      <c r="W23" s="0"/>
    </row>
    <row r="24" customFormat="false" ht="12.75" hidden="false" customHeight="false" outlineLevel="0" collapsed="false">
      <c r="A24" s="74"/>
      <c r="B24" s="71"/>
      <c r="C24" s="72"/>
      <c r="E24" s="170" t="s">
        <v>201</v>
      </c>
      <c r="F24" s="194" t="n">
        <v>1</v>
      </c>
      <c r="G24" s="195" t="s">
        <v>202</v>
      </c>
      <c r="H24" s="119" t="s">
        <v>203</v>
      </c>
      <c r="I24" s="196" t="n">
        <v>0.02</v>
      </c>
      <c r="K24" s="197" t="s">
        <v>204</v>
      </c>
      <c r="L24" s="96"/>
      <c r="M24" s="198"/>
      <c r="N24" s="199" t="n">
        <f aca="false">200</f>
        <v>200</v>
      </c>
      <c r="O24" s="71"/>
      <c r="P24" s="111" t="n">
        <f aca="false">AVERAGE('Book Income Statement'!E41:H41)</f>
        <v>215.4567905</v>
      </c>
      <c r="R24" s="74"/>
      <c r="S24" s="71"/>
      <c r="T24" s="71"/>
      <c r="U24" s="72"/>
      <c r="V24" s="0"/>
      <c r="W24" s="0"/>
    </row>
    <row r="25" customFormat="false" ht="12.75" hidden="false" customHeight="false" outlineLevel="0" collapsed="false">
      <c r="A25" s="132" t="s">
        <v>205</v>
      </c>
      <c r="B25" s="105"/>
      <c r="C25" s="200"/>
      <c r="E25" s="175"/>
      <c r="G25" s="176"/>
      <c r="H25" s="177"/>
      <c r="I25" s="178"/>
      <c r="K25" s="117" t="s">
        <v>206</v>
      </c>
      <c r="L25" s="201"/>
      <c r="M25" s="202"/>
      <c r="N25" s="203" t="n">
        <f aca="false">SUM(N20:N24)</f>
        <v>1468.95469647059</v>
      </c>
      <c r="O25" s="119"/>
      <c r="P25" s="122" t="n">
        <f aca="false">AVERAGE('Book Income Statement'!E42:H42)</f>
        <v>1196.33587406936</v>
      </c>
      <c r="R25" s="74" t="s">
        <v>207</v>
      </c>
      <c r="S25" s="204" t="str">
        <f aca="false">IF(ABS(SUM(BS!D38:X38))&gt;0.1,"NO !!!!!!!","YES")</f>
        <v>YES</v>
      </c>
      <c r="T25" s="71"/>
      <c r="U25" s="72"/>
      <c r="V25" s="0"/>
      <c r="W25" s="0"/>
    </row>
    <row r="26" customFormat="false" ht="15.75" hidden="false" customHeight="false" outlineLevel="0" collapsed="false">
      <c r="A26" s="78" t="s">
        <v>208</v>
      </c>
      <c r="B26" s="105"/>
      <c r="C26" s="141" t="n">
        <v>785.954</v>
      </c>
      <c r="E26" s="63" t="s">
        <v>209</v>
      </c>
      <c r="F26" s="64"/>
      <c r="G26" s="64"/>
      <c r="H26" s="64"/>
      <c r="I26" s="205"/>
      <c r="N26" s="127"/>
      <c r="P26" s="128"/>
      <c r="Q26" s="206"/>
      <c r="R26" s="74" t="s">
        <v>210</v>
      </c>
      <c r="S26" s="207" t="n">
        <f aca="false">Depreciation!B43</f>
        <v>157206.278</v>
      </c>
      <c r="T26" s="71"/>
      <c r="U26" s="72"/>
      <c r="V26" s="0"/>
      <c r="W26" s="0"/>
    </row>
    <row r="27" customFormat="false" ht="15.75" hidden="false" customHeight="false" outlineLevel="0" collapsed="false">
      <c r="A27" s="78" t="s">
        <v>211</v>
      </c>
      <c r="B27" s="92"/>
      <c r="C27" s="141" t="n">
        <v>568.579</v>
      </c>
      <c r="E27" s="208" t="s">
        <v>212</v>
      </c>
      <c r="F27" s="107" t="n">
        <v>4</v>
      </c>
      <c r="G27" s="71" t="s">
        <v>213</v>
      </c>
      <c r="H27" s="71" t="s">
        <v>214</v>
      </c>
      <c r="I27" s="174" t="n">
        <v>5</v>
      </c>
      <c r="K27" s="67" t="s">
        <v>215</v>
      </c>
      <c r="L27" s="64"/>
      <c r="M27" s="64"/>
      <c r="N27" s="209"/>
      <c r="O27" s="64"/>
      <c r="P27" s="173"/>
      <c r="R27" s="210" t="s">
        <v>216</v>
      </c>
      <c r="S27" s="211" t="n">
        <f aca="false">C50</f>
        <v>154763.971</v>
      </c>
      <c r="T27" s="71"/>
      <c r="U27" s="72"/>
      <c r="V27" s="0"/>
      <c r="W27" s="0"/>
    </row>
    <row r="28" customFormat="false" ht="24" hidden="false" customHeight="false" outlineLevel="0" collapsed="false">
      <c r="A28" s="78" t="s">
        <v>217</v>
      </c>
      <c r="B28" s="105"/>
      <c r="C28" s="141" t="n">
        <v>237.353</v>
      </c>
      <c r="E28" s="208" t="s">
        <v>218</v>
      </c>
      <c r="F28" s="71"/>
      <c r="G28" s="71"/>
      <c r="H28" s="71"/>
      <c r="I28" s="212" t="n">
        <f aca="false">I10</f>
        <v>442</v>
      </c>
      <c r="K28" s="213" t="s">
        <v>219</v>
      </c>
      <c r="L28" s="71"/>
      <c r="M28" s="75" t="s">
        <v>123</v>
      </c>
      <c r="N28" s="76" t="n">
        <v>1999</v>
      </c>
      <c r="O28" s="71"/>
      <c r="P28" s="85" t="s">
        <v>131</v>
      </c>
      <c r="R28" s="74" t="s">
        <v>220</v>
      </c>
      <c r="S28" s="214" t="n">
        <f aca="false">S27-S26</f>
        <v>-2442.307</v>
      </c>
      <c r="T28" s="71"/>
      <c r="U28" s="72"/>
      <c r="V28" s="0"/>
      <c r="W28" s="0"/>
    </row>
    <row r="29" customFormat="false" ht="12.75" hidden="false" customHeight="false" outlineLevel="0" collapsed="false">
      <c r="A29" s="74" t="s">
        <v>221</v>
      </c>
      <c r="B29" s="97"/>
      <c r="C29" s="141" t="n">
        <v>224.923</v>
      </c>
      <c r="E29" s="215" t="s">
        <v>222</v>
      </c>
      <c r="F29" s="216"/>
      <c r="G29" s="216"/>
      <c r="H29" s="216"/>
      <c r="I29" s="134" t="n">
        <f aca="false">AnnualHours</f>
        <v>1200</v>
      </c>
      <c r="K29" s="91" t="s">
        <v>223</v>
      </c>
      <c r="L29" s="71"/>
      <c r="M29" s="71"/>
      <c r="N29" s="179" t="n">
        <v>10</v>
      </c>
      <c r="O29" s="217"/>
      <c r="P29" s="95"/>
      <c r="R29" s="170" t="s">
        <v>224</v>
      </c>
      <c r="S29" s="218" t="n">
        <f aca="false">C41+C18</f>
        <v>557.693</v>
      </c>
      <c r="T29" s="119"/>
      <c r="U29" s="219"/>
      <c r="V29" s="0"/>
      <c r="W29" s="0"/>
    </row>
    <row r="30" customFormat="false" ht="12" hidden="false" customHeight="false" outlineLevel="0" collapsed="false">
      <c r="A30" s="78" t="s">
        <v>225</v>
      </c>
      <c r="B30" s="97"/>
      <c r="C30" s="141" t="n">
        <v>53.204</v>
      </c>
      <c r="E30" s="215" t="s">
        <v>226</v>
      </c>
      <c r="F30" s="216"/>
      <c r="G30" s="216"/>
      <c r="H30" s="216"/>
      <c r="I30" s="220" t="n">
        <v>4</v>
      </c>
      <c r="K30" s="91" t="s">
        <v>227</v>
      </c>
      <c r="L30" s="71"/>
      <c r="M30" s="71"/>
      <c r="N30" s="179" t="n">
        <v>53.76</v>
      </c>
      <c r="O30" s="217"/>
      <c r="P30" s="95"/>
    </row>
    <row r="31" customFormat="false" ht="14.25" hidden="false" customHeight="false" outlineLevel="0" collapsed="false">
      <c r="A31" s="78" t="s">
        <v>228</v>
      </c>
      <c r="B31" s="105"/>
      <c r="C31" s="141" t="n">
        <v>94.021</v>
      </c>
      <c r="E31" s="215" t="s">
        <v>229</v>
      </c>
      <c r="F31" s="216"/>
      <c r="G31" s="216"/>
      <c r="H31" s="216"/>
      <c r="I31" s="221" t="n">
        <v>0</v>
      </c>
      <c r="K31" s="91" t="s">
        <v>230</v>
      </c>
      <c r="L31" s="71"/>
      <c r="M31" s="71"/>
      <c r="N31" s="222" t="n">
        <v>192</v>
      </c>
      <c r="O31" s="217"/>
      <c r="P31" s="111"/>
    </row>
    <row r="32" customFormat="false" ht="12" hidden="false" customHeight="false" outlineLevel="0" collapsed="false">
      <c r="A32" s="78" t="s">
        <v>231</v>
      </c>
      <c r="B32" s="105"/>
      <c r="C32" s="141" t="n">
        <v>741.639</v>
      </c>
      <c r="E32" s="170" t="s">
        <v>232</v>
      </c>
      <c r="F32" s="119"/>
      <c r="G32" s="119" t="s">
        <v>165</v>
      </c>
      <c r="H32" s="223" t="n">
        <v>0.03</v>
      </c>
      <c r="I32" s="224" t="n">
        <f aca="false">'PPA Assumptions &amp; Summary'!B63</f>
        <v>6.27692929170708</v>
      </c>
      <c r="K32" s="91" t="s">
        <v>233</v>
      </c>
      <c r="L32" s="96"/>
      <c r="M32" s="198"/>
      <c r="N32" s="225" t="n">
        <f aca="false">SUM(N29:N31)</f>
        <v>255.76</v>
      </c>
      <c r="O32" s="71"/>
      <c r="P32" s="95" t="n">
        <f aca="false">AVERAGE('Book Income Statement'!E45:H45)</f>
        <v>275.5261436914</v>
      </c>
    </row>
    <row r="33" customFormat="false" ht="12" hidden="false" customHeight="false" outlineLevel="0" collapsed="false">
      <c r="A33" s="78" t="s">
        <v>234</v>
      </c>
      <c r="B33" s="92"/>
      <c r="C33" s="186" t="n">
        <v>883</v>
      </c>
      <c r="H33" s="226"/>
      <c r="I33" s="227"/>
      <c r="K33" s="91" t="s">
        <v>235</v>
      </c>
      <c r="L33" s="96"/>
      <c r="M33" s="96"/>
      <c r="N33" s="228" t="n">
        <f aca="false">43.608+0.50403</f>
        <v>44.11203</v>
      </c>
      <c r="O33" s="71"/>
      <c r="P33" s="95" t="n">
        <f aca="false">AVERAGE('Book Income Statement'!E46:H46)</f>
        <v>47.5211820311986</v>
      </c>
    </row>
    <row r="34" customFormat="false" ht="15.75" hidden="false" customHeight="false" outlineLevel="0" collapsed="false">
      <c r="A34" s="74"/>
      <c r="B34" s="71"/>
      <c r="C34" s="190" t="n">
        <f aca="false">SUM(C26:C33)</f>
        <v>3588.673</v>
      </c>
      <c r="E34" s="63" t="s">
        <v>236</v>
      </c>
      <c r="F34" s="229"/>
      <c r="G34" s="64"/>
      <c r="H34" s="64"/>
      <c r="I34" s="65"/>
      <c r="K34" s="91" t="s">
        <v>237</v>
      </c>
      <c r="L34" s="96"/>
      <c r="M34" s="96"/>
      <c r="N34" s="228" t="n">
        <f aca="false">63.9576+174.2627</f>
        <v>238.2203</v>
      </c>
      <c r="O34" s="71"/>
      <c r="P34" s="95" t="n">
        <f aca="false">AVERAGE('Book Income Statement'!E47:H47)</f>
        <v>256.630906349736</v>
      </c>
    </row>
    <row r="35" customFormat="false" ht="12" hidden="false" customHeight="false" outlineLevel="0" collapsed="false">
      <c r="A35" s="78" t="s">
        <v>238</v>
      </c>
      <c r="B35" s="105"/>
      <c r="C35" s="72"/>
      <c r="E35" s="74" t="s">
        <v>239</v>
      </c>
      <c r="F35" s="71"/>
      <c r="G35" s="71"/>
      <c r="H35" s="71"/>
      <c r="I35" s="230" t="s">
        <v>240</v>
      </c>
      <c r="K35" s="74" t="s">
        <v>241</v>
      </c>
      <c r="L35" s="71"/>
      <c r="M35" s="71"/>
      <c r="N35" s="189" t="n">
        <v>100</v>
      </c>
      <c r="O35" s="71"/>
      <c r="P35" s="95" t="n">
        <f aca="false">AVERAGE('Book Income Statement'!E48:H48)</f>
        <v>107.72839525</v>
      </c>
    </row>
    <row r="36" customFormat="false" ht="12" hidden="false" customHeight="false" outlineLevel="0" collapsed="false">
      <c r="A36" s="78"/>
      <c r="B36" s="105"/>
      <c r="C36" s="200"/>
      <c r="E36" s="74"/>
      <c r="F36" s="71"/>
      <c r="G36" s="71"/>
      <c r="H36" s="71"/>
      <c r="I36" s="72"/>
      <c r="K36" s="74" t="s">
        <v>242</v>
      </c>
      <c r="L36" s="71"/>
      <c r="M36" s="71"/>
      <c r="N36" s="189" t="n">
        <v>30</v>
      </c>
      <c r="O36" s="71"/>
      <c r="P36" s="95" t="n">
        <f aca="false">AVERAGE('Book Income Statement'!E49:H49)</f>
        <v>32.318518575</v>
      </c>
    </row>
    <row r="37" customFormat="false" ht="12" hidden="false" customHeight="false" outlineLevel="0" collapsed="false">
      <c r="A37" s="132" t="s">
        <v>243</v>
      </c>
      <c r="B37" s="105"/>
      <c r="C37" s="200"/>
      <c r="E37" s="74"/>
      <c r="F37" s="231" t="s">
        <v>244</v>
      </c>
      <c r="G37" s="231" t="s">
        <v>245</v>
      </c>
      <c r="H37" s="231" t="s">
        <v>246</v>
      </c>
      <c r="I37" s="232" t="s">
        <v>247</v>
      </c>
      <c r="K37" s="74" t="s">
        <v>248</v>
      </c>
      <c r="L37" s="71"/>
      <c r="M37" s="71"/>
      <c r="N37" s="233" t="n">
        <v>75</v>
      </c>
      <c r="O37" s="71"/>
      <c r="P37" s="95" t="n">
        <f aca="false">AVERAGE('Book Income Statement'!E50:H50)</f>
        <v>80.7962964375</v>
      </c>
    </row>
    <row r="38" customFormat="false" ht="12" hidden="false" customHeight="false" outlineLevel="0" collapsed="false">
      <c r="A38" s="78" t="s">
        <v>249</v>
      </c>
      <c r="B38" s="105"/>
      <c r="C38" s="134" t="n">
        <v>0</v>
      </c>
      <c r="E38" s="234" t="s">
        <v>250</v>
      </c>
      <c r="F38" s="225" t="n">
        <f aca="false">IF($I$35="Normal",'Debt Amortization'!B19,'Debt Amortization'!B76)</f>
        <v>0</v>
      </c>
      <c r="G38" s="225" t="n">
        <f aca="false">IF($I$35="Normal",'Debt Amortization'!B20,'Debt Amortization'!B92)</f>
        <v>0</v>
      </c>
      <c r="H38" s="225" t="str">
        <f aca="false">IF($I$35="Normal",'Debt Amortization'!B21,"N/A")</f>
        <v>N/A</v>
      </c>
      <c r="I38" s="235" t="n">
        <f aca="false">SUM(F38:H38)</f>
        <v>0</v>
      </c>
      <c r="K38" s="74" t="s">
        <v>251</v>
      </c>
      <c r="L38" s="71"/>
      <c r="M38" s="71"/>
      <c r="N38" s="236" t="n">
        <v>0</v>
      </c>
      <c r="O38" s="71"/>
      <c r="P38" s="111" t="n">
        <v>0</v>
      </c>
    </row>
    <row r="39" customFormat="false" ht="12" hidden="false" customHeight="false" outlineLevel="0" collapsed="false">
      <c r="A39" s="78" t="s">
        <v>252</v>
      </c>
      <c r="B39" s="105"/>
      <c r="C39" s="134" t="n">
        <v>0</v>
      </c>
      <c r="E39" s="234" t="s">
        <v>253</v>
      </c>
      <c r="F39" s="237" t="n">
        <v>18984</v>
      </c>
      <c r="G39" s="237" t="n">
        <v>34928</v>
      </c>
      <c r="H39" s="237" t="n">
        <v>63775</v>
      </c>
      <c r="I39" s="235" t="n">
        <f aca="false">SUM(F39:H39)</f>
        <v>117687</v>
      </c>
      <c r="K39" s="238" t="s">
        <v>254</v>
      </c>
      <c r="L39" s="71"/>
      <c r="M39" s="71"/>
      <c r="N39" s="239" t="n">
        <f aca="false">SUM(N32:N38)</f>
        <v>743.09233</v>
      </c>
      <c r="O39" s="71"/>
      <c r="P39" s="147" t="n">
        <f aca="false">SUM(P32:P38)</f>
        <v>800.521442334834</v>
      </c>
    </row>
    <row r="40" customFormat="false" ht="12" hidden="false" customHeight="false" outlineLevel="0" collapsed="false">
      <c r="A40" s="78" t="s">
        <v>255</v>
      </c>
      <c r="B40" s="240"/>
      <c r="C40" s="141" t="n">
        <v>1243</v>
      </c>
      <c r="E40" s="234" t="s">
        <v>256</v>
      </c>
      <c r="F40" s="241" t="n">
        <v>4</v>
      </c>
      <c r="G40" s="242" t="n">
        <f aca="false">IF(I35="Normal",15,10)</f>
        <v>10</v>
      </c>
      <c r="H40" s="241" t="n">
        <f aca="false">IF(I35="Normal",0,20)</f>
        <v>20</v>
      </c>
      <c r="I40" s="72" t="n">
        <f aca="false">MAX(F40,G40,H40)</f>
        <v>20</v>
      </c>
      <c r="K40" s="74"/>
      <c r="L40" s="71"/>
      <c r="M40" s="71"/>
      <c r="N40" s="71"/>
      <c r="O40" s="71"/>
      <c r="P40" s="243"/>
    </row>
    <row r="41" customFormat="false" ht="14.25" hidden="false" customHeight="false" outlineLevel="0" collapsed="false">
      <c r="A41" s="74" t="s">
        <v>257</v>
      </c>
      <c r="B41" s="97"/>
      <c r="C41" s="244" t="n">
        <f aca="false">+IF(I49="Financing",I50,0)</f>
        <v>0</v>
      </c>
      <c r="E41" s="245" t="s">
        <v>258</v>
      </c>
      <c r="F41" s="198" t="n">
        <f aca="false">IF(I35="Normal",7.75%,6.73%)</f>
        <v>0.0673</v>
      </c>
      <c r="G41" s="198" t="n">
        <f aca="false">IF(I35="Normal",8%,7.57%)</f>
        <v>0.0757</v>
      </c>
      <c r="H41" s="198" t="n">
        <f aca="false">IF(I35="Normal",0,8.18%)</f>
        <v>0.0818</v>
      </c>
      <c r="I41" s="246" t="n">
        <f aca="false">IF(I35="Normal",F41*($F$38/$I$38)+G41*($G$38/$I$38)+H41*($H$38/$I$38),Int1*(Principal1/I39)+Int2*(Principal2/I39)+Int3*(Principal3/I39))</f>
        <v>0.0776506139165753</v>
      </c>
      <c r="K41" s="197" t="s">
        <v>259</v>
      </c>
      <c r="L41" s="96"/>
      <c r="M41" s="96"/>
      <c r="N41" s="247" t="n">
        <v>0.03</v>
      </c>
      <c r="O41" s="71"/>
      <c r="P41" s="243"/>
    </row>
    <row r="42" customFormat="false" ht="12" hidden="false" customHeight="false" outlineLevel="0" collapsed="false">
      <c r="A42" s="74"/>
      <c r="B42" s="105"/>
      <c r="C42" s="190" t="n">
        <f aca="false">SUM(C38:C41)</f>
        <v>1243</v>
      </c>
      <c r="E42" s="234" t="s">
        <v>260</v>
      </c>
      <c r="F42" s="248" t="n">
        <v>1.5</v>
      </c>
      <c r="G42" s="248" t="n">
        <v>2.5</v>
      </c>
      <c r="H42" s="249" t="n">
        <v>2.5</v>
      </c>
      <c r="I42" s="250" t="n">
        <f aca="false">IF(I35="Normal",F42*($F$38/$I$38)+G42*($G$38/$I$38)+H42*($H$38/$I$38),F42*(Principal1/I39)+G42*(Principal2/I39)+H42*(Principal3/I39))</f>
        <v>2.33869076448546</v>
      </c>
      <c r="K42" s="251" t="s">
        <v>261</v>
      </c>
      <c r="L42" s="252"/>
      <c r="M42" s="252"/>
      <c r="N42" s="253" t="n">
        <v>0.03</v>
      </c>
      <c r="O42" s="119"/>
      <c r="P42" s="254"/>
    </row>
    <row r="43" customFormat="false" ht="12" hidden="false" customHeight="false" outlineLevel="0" collapsed="false">
      <c r="A43" s="74"/>
      <c r="B43" s="105"/>
      <c r="C43" s="190"/>
      <c r="E43" s="78" t="s">
        <v>262</v>
      </c>
      <c r="F43" s="71"/>
      <c r="G43" s="255" t="s">
        <v>263</v>
      </c>
      <c r="H43" s="255"/>
      <c r="I43" s="168"/>
      <c r="K43" s="256"/>
      <c r="L43" s="256"/>
      <c r="M43" s="256"/>
      <c r="N43" s="198"/>
      <c r="O43" s="71"/>
      <c r="P43" s="207"/>
    </row>
    <row r="44" customFormat="false" ht="15.75" hidden="false" customHeight="false" outlineLevel="0" collapsed="false">
      <c r="A44" s="132" t="s">
        <v>264</v>
      </c>
      <c r="B44" s="97"/>
      <c r="C44" s="200"/>
      <c r="E44" s="74"/>
      <c r="F44" s="71"/>
      <c r="G44" s="71"/>
      <c r="H44" s="71"/>
      <c r="I44" s="257"/>
      <c r="K44" s="258" t="s">
        <v>265</v>
      </c>
      <c r="L44" s="259"/>
      <c r="M44" s="259"/>
      <c r="N44" s="260"/>
      <c r="O44" s="261"/>
      <c r="P44" s="262"/>
    </row>
    <row r="45" customFormat="false" ht="26.25" hidden="false" customHeight="false" outlineLevel="0" collapsed="false">
      <c r="A45" s="74" t="s">
        <v>266</v>
      </c>
      <c r="B45" s="263" t="n">
        <v>0.065</v>
      </c>
      <c r="C45" s="186" t="n">
        <f aca="false">3172.038-426.988+40.258-10.399</f>
        <v>2774.909</v>
      </c>
      <c r="E45" s="264" t="s">
        <v>267</v>
      </c>
      <c r="F45" s="265" t="n">
        <f aca="false">IF(I35="Normal",'Debt Amortization'!$E$31,'Debt Amortization'!C76)</f>
        <v>2.5</v>
      </c>
      <c r="G45" s="266" t="n">
        <f aca="false">IF(I35="Normal",'Debt Amortization'!$E$39,'Debt Amortization'!C91)</f>
        <v>7.45</v>
      </c>
      <c r="H45" s="266" t="n">
        <f aca="false">IF(I35="Normal",'Debt Amortization'!$E$47,'Debt Amortization'!C106)</f>
        <v>15.39</v>
      </c>
      <c r="I45" s="267" t="n">
        <f aca="false">+'Debt Amortization'!E56</f>
        <v>7.52212888863832</v>
      </c>
      <c r="K45" s="74"/>
      <c r="L45" s="268" t="s">
        <v>268</v>
      </c>
      <c r="M45" s="149"/>
      <c r="N45" s="269" t="n">
        <v>1999</v>
      </c>
      <c r="O45" s="270"/>
      <c r="P45" s="271" t="s">
        <v>131</v>
      </c>
    </row>
    <row r="46" customFormat="false" ht="12" hidden="false" customHeight="false" outlineLevel="0" collapsed="false">
      <c r="A46" s="74"/>
      <c r="B46" s="272"/>
      <c r="C46" s="190" t="n">
        <f aca="false">SUM(C45)</f>
        <v>2774.909</v>
      </c>
      <c r="E46" s="273"/>
      <c r="F46" s="274"/>
      <c r="G46" s="275"/>
      <c r="H46" s="275"/>
      <c r="I46" s="276"/>
      <c r="K46" s="197" t="s">
        <v>269</v>
      </c>
      <c r="L46" s="239" t="n">
        <f aca="false">L11</f>
        <v>446.6</v>
      </c>
      <c r="M46" s="105" t="s">
        <v>270</v>
      </c>
      <c r="N46" s="277" t="n">
        <f aca="false">L46/(NetMW*AnnualHours)*1000</f>
        <v>0.842006033182504</v>
      </c>
      <c r="O46" s="270" t="s">
        <v>202</v>
      </c>
      <c r="P46" s="278" t="n">
        <f aca="false">AVERAGE('PPA Assumptions &amp; Summary'!D57:G57)</f>
        <v>0.958912706738876</v>
      </c>
    </row>
    <row r="47" customFormat="false" ht="12" hidden="false" customHeight="false" outlineLevel="0" collapsed="false">
      <c r="A47" s="74"/>
      <c r="B47" s="71"/>
      <c r="C47" s="72"/>
      <c r="E47" s="175"/>
      <c r="I47" s="279"/>
      <c r="K47" s="197"/>
      <c r="L47" s="102"/>
      <c r="M47" s="71"/>
      <c r="N47" s="280"/>
      <c r="O47" s="270"/>
      <c r="P47" s="243"/>
    </row>
    <row r="48" customFormat="false" ht="15.75" hidden="false" customHeight="false" outlineLevel="0" collapsed="false">
      <c r="A48" s="78" t="s">
        <v>271</v>
      </c>
      <c r="B48" s="281" t="n">
        <v>0</v>
      </c>
      <c r="C48" s="134" t="n">
        <f aca="false">B48*(C23+C34+C42+C46-C26)</f>
        <v>0</v>
      </c>
      <c r="E48" s="63" t="s">
        <v>272</v>
      </c>
      <c r="F48" s="64"/>
      <c r="G48" s="64"/>
      <c r="H48" s="64"/>
      <c r="I48" s="282"/>
      <c r="K48" s="197" t="s">
        <v>169</v>
      </c>
      <c r="L48" s="283" t="n">
        <f aca="false">Main_Start*L15/1000</f>
        <v>1349.28</v>
      </c>
      <c r="M48" s="105" t="s">
        <v>270</v>
      </c>
      <c r="N48" s="283" t="n">
        <f aca="false">L48/L15*1000</f>
        <v>11244</v>
      </c>
      <c r="O48" s="270" t="s">
        <v>273</v>
      </c>
      <c r="P48" s="243" t="n">
        <f aca="false">AVERAGE('Book Income Statement'!E32:H32)/L15*1000</f>
        <v>12112.98076191</v>
      </c>
    </row>
    <row r="49" customFormat="false" ht="15.75" hidden="false" customHeight="true" outlineLevel="0" collapsed="false">
      <c r="A49" s="74"/>
      <c r="B49" s="97"/>
      <c r="C49" s="200"/>
      <c r="E49" s="234" t="s">
        <v>274</v>
      </c>
      <c r="F49" s="71"/>
      <c r="G49" s="71"/>
      <c r="H49" s="71"/>
      <c r="I49" s="284" t="s">
        <v>275</v>
      </c>
      <c r="K49" s="197" t="s">
        <v>173</v>
      </c>
      <c r="L49" s="285" t="n">
        <f aca="false">O16</f>
        <v>0</v>
      </c>
      <c r="M49" s="105" t="s">
        <v>270</v>
      </c>
      <c r="N49" s="285" t="n">
        <f aca="false">L49/L16*1000</f>
        <v>0</v>
      </c>
      <c r="O49" s="270" t="s">
        <v>273</v>
      </c>
      <c r="P49" s="243" t="n">
        <f aca="false">AVERAGE('Book Income Statement'!E33:H33)/L16*1000</f>
        <v>0</v>
      </c>
    </row>
    <row r="50" customFormat="false" ht="12" hidden="false" customHeight="false" outlineLevel="0" collapsed="false">
      <c r="A50" s="286" t="s">
        <v>276</v>
      </c>
      <c r="B50" s="287"/>
      <c r="C50" s="288" t="n">
        <f aca="false">C23+C34+C42+C46+C48</f>
        <v>154763.971</v>
      </c>
      <c r="E50" s="234" t="s">
        <v>277</v>
      </c>
      <c r="F50" s="71"/>
      <c r="G50" s="71"/>
      <c r="H50" s="71"/>
      <c r="I50" s="289" t="n">
        <f aca="false">0.5*'Returns Summary'!$D$23</f>
        <v>6782.531</v>
      </c>
      <c r="K50" s="197"/>
      <c r="L50" s="239" t="n">
        <f aca="false">SUM(L48:L49)</f>
        <v>1349.28</v>
      </c>
      <c r="M50" s="105"/>
      <c r="N50" s="239" t="n">
        <f aca="false">SUM(N48:N49)</f>
        <v>11244</v>
      </c>
      <c r="O50" s="270"/>
      <c r="P50" s="243"/>
    </row>
    <row r="51" customFormat="false" ht="12" hidden="false" customHeight="false" outlineLevel="0" collapsed="false">
      <c r="A51" s="256"/>
      <c r="B51" s="256"/>
      <c r="C51" s="256"/>
      <c r="E51" s="286" t="s">
        <v>278</v>
      </c>
      <c r="F51" s="119"/>
      <c r="G51" s="290"/>
      <c r="H51" s="119"/>
      <c r="I51" s="291" t="n">
        <v>0</v>
      </c>
      <c r="K51" s="197"/>
      <c r="L51" s="102"/>
      <c r="M51" s="71"/>
      <c r="N51" s="280"/>
      <c r="O51" s="270"/>
      <c r="P51" s="243"/>
    </row>
    <row r="52" customFormat="false" ht="15.75" hidden="false" customHeight="false" outlineLevel="0" collapsed="false">
      <c r="A52" s="63" t="s">
        <v>279</v>
      </c>
      <c r="B52" s="64"/>
      <c r="C52" s="65"/>
      <c r="E52" s="54" t="s">
        <v>238</v>
      </c>
      <c r="K52" s="197" t="s">
        <v>280</v>
      </c>
      <c r="L52" s="283" t="n">
        <f aca="false">Labor+Fixed+N24+N22</f>
        <v>1054.39117647059</v>
      </c>
      <c r="M52" s="105" t="s">
        <v>270</v>
      </c>
      <c r="N52" s="280" t="n">
        <f aca="false">L52/(NetMW*12)</f>
        <v>0.198791699937894</v>
      </c>
      <c r="O52" s="270" t="s">
        <v>281</v>
      </c>
      <c r="P52" s="278" t="n">
        <f aca="false">AVERAGE('Book Income Statement'!E42:H42)/NetMW/12</f>
        <v>0.225553520752142</v>
      </c>
    </row>
    <row r="53" customFormat="false" ht="15.75" hidden="false" customHeight="false" outlineLevel="0" collapsed="false">
      <c r="A53" s="78" t="s">
        <v>282</v>
      </c>
      <c r="B53" s="71"/>
      <c r="C53" s="104" t="s">
        <v>283</v>
      </c>
      <c r="E53" s="63" t="s">
        <v>284</v>
      </c>
      <c r="F53" s="64"/>
      <c r="G53" s="64"/>
      <c r="H53" s="64"/>
      <c r="I53" s="65"/>
      <c r="K53" s="197" t="s">
        <v>285</v>
      </c>
      <c r="L53" s="283" t="n">
        <f aca="false">N39</f>
        <v>743.09233</v>
      </c>
      <c r="M53" s="105" t="s">
        <v>270</v>
      </c>
      <c r="N53" s="280" t="n">
        <f aca="false">L53/(NetMW*12)</f>
        <v>0.14010036387632</v>
      </c>
      <c r="O53" s="270" t="s">
        <v>281</v>
      </c>
      <c r="P53" s="278" t="n">
        <f aca="false">AVERAGE('Book Income Statement'!E51:H51)/NetMW/12</f>
        <v>0.15092787374337</v>
      </c>
    </row>
    <row r="54" customFormat="false" ht="12" hidden="false" customHeight="false" outlineLevel="0" collapsed="false">
      <c r="A54" s="78" t="s">
        <v>286</v>
      </c>
      <c r="B54" s="71"/>
      <c r="C54" s="292" t="n">
        <v>2.5</v>
      </c>
      <c r="E54" s="293" t="s">
        <v>287</v>
      </c>
      <c r="F54" s="71"/>
      <c r="G54" s="71" t="s">
        <v>288</v>
      </c>
      <c r="H54" s="204" t="str">
        <f aca="false">+IF(I54=0,"",IF(OR(I54&gt;I16,I54&lt;MAX('Project Assumptions'!F40:H40)),"Error","-"))</f>
        <v/>
      </c>
      <c r="I54" s="174"/>
      <c r="K54" s="197" t="s">
        <v>289</v>
      </c>
      <c r="L54" s="283" t="n">
        <f aca="false">'Book Income Statement'!F53/1.03^2</f>
        <v>507.182092794179</v>
      </c>
      <c r="M54" s="105" t="s">
        <v>270</v>
      </c>
      <c r="N54" s="280" t="n">
        <f aca="false">L54/(NetMW*12)</f>
        <v>0.0956225665147397</v>
      </c>
      <c r="O54" s="270" t="s">
        <v>281</v>
      </c>
      <c r="P54" s="278" t="n">
        <f aca="false">AVERAGE('Book Income Statement'!E53:H53)/NetMW/12</f>
        <v>0.100400145961719</v>
      </c>
    </row>
    <row r="55" customFormat="false" ht="12" hidden="false" customHeight="false" outlineLevel="0" collapsed="false">
      <c r="A55" s="78" t="s">
        <v>290</v>
      </c>
      <c r="B55" s="71"/>
      <c r="C55" s="104" t="s">
        <v>291</v>
      </c>
      <c r="E55" s="74"/>
      <c r="F55" s="71"/>
      <c r="G55" s="71" t="s">
        <v>292</v>
      </c>
      <c r="H55" s="71"/>
      <c r="I55" s="294"/>
      <c r="K55" s="197" t="s">
        <v>293</v>
      </c>
      <c r="L55" s="285" t="n">
        <f aca="false">'Book Income Statement'!F56/1.03^2</f>
        <v>0</v>
      </c>
      <c r="M55" s="105" t="s">
        <v>270</v>
      </c>
      <c r="N55" s="295" t="n">
        <f aca="false">L55/(NetMW*12)</f>
        <v>0</v>
      </c>
      <c r="O55" s="270" t="s">
        <v>281</v>
      </c>
      <c r="P55" s="296" t="n">
        <f aca="false">AVERAGE('Book Income Statement'!E56:H56)/NetMW/12</f>
        <v>0</v>
      </c>
    </row>
    <row r="56" customFormat="false" ht="12" hidden="false" customHeight="false" outlineLevel="0" collapsed="false">
      <c r="A56" s="78" t="s">
        <v>294</v>
      </c>
      <c r="B56" s="71"/>
      <c r="C56" s="104" t="s">
        <v>291</v>
      </c>
      <c r="E56" s="170"/>
      <c r="F56" s="119"/>
      <c r="G56" s="119" t="s">
        <v>295</v>
      </c>
      <c r="H56" s="119"/>
      <c r="I56" s="297"/>
      <c r="K56" s="197"/>
      <c r="L56" s="239" t="n">
        <f aca="false">SUM(L52:L55)</f>
        <v>2304.66559926477</v>
      </c>
      <c r="M56" s="105"/>
      <c r="N56" s="277" t="n">
        <f aca="false">SUM(N52:N55)</f>
        <v>0.434514630328953</v>
      </c>
      <c r="O56" s="270"/>
      <c r="P56" s="278" t="n">
        <f aca="false">SUM(P52:P55)</f>
        <v>0.476881540457231</v>
      </c>
    </row>
    <row r="57" customFormat="false" ht="12" hidden="false" customHeight="false" outlineLevel="0" collapsed="false">
      <c r="A57" s="78" t="s">
        <v>296</v>
      </c>
      <c r="B57" s="71"/>
      <c r="C57" s="104" t="n">
        <v>15</v>
      </c>
      <c r="E57" s="71"/>
      <c r="F57" s="71"/>
      <c r="G57" s="71"/>
      <c r="H57" s="71"/>
      <c r="I57" s="298"/>
      <c r="K57" s="299" t="s">
        <v>297</v>
      </c>
      <c r="L57" s="300" t="n">
        <f aca="false">L46+L50+L56</f>
        <v>4100.54559926477</v>
      </c>
      <c r="M57" s="301" t="s">
        <v>270</v>
      </c>
      <c r="N57" s="302"/>
      <c r="O57" s="303"/>
      <c r="P57" s="304"/>
    </row>
    <row r="58" customFormat="false" ht="15.75" hidden="false" customHeight="false" outlineLevel="0" collapsed="false">
      <c r="A58" s="78" t="s">
        <v>298</v>
      </c>
      <c r="B58" s="71"/>
      <c r="C58" s="104" t="s">
        <v>299</v>
      </c>
      <c r="E58" s="67" t="s">
        <v>300</v>
      </c>
      <c r="F58" s="64"/>
      <c r="G58" s="64"/>
      <c r="H58" s="64"/>
      <c r="I58" s="65"/>
      <c r="K58" s="256"/>
      <c r="L58" s="256"/>
      <c r="M58" s="256"/>
      <c r="N58" s="198"/>
      <c r="P58" s="305"/>
    </row>
    <row r="59" customFormat="false" ht="15.75" hidden="false" customHeight="false" outlineLevel="0" collapsed="false">
      <c r="A59" s="74" t="s">
        <v>301</v>
      </c>
      <c r="B59" s="71"/>
      <c r="C59" s="104" t="s">
        <v>291</v>
      </c>
      <c r="E59" s="74"/>
      <c r="F59" s="71"/>
      <c r="G59" s="145" t="s">
        <v>302</v>
      </c>
      <c r="H59" s="71"/>
      <c r="I59" s="306" t="n">
        <v>0.12</v>
      </c>
      <c r="K59" s="63" t="s">
        <v>303</v>
      </c>
      <c r="L59" s="68"/>
      <c r="M59" s="68"/>
      <c r="N59" s="307"/>
      <c r="O59" s="64"/>
      <c r="P59" s="173"/>
    </row>
    <row r="60" customFormat="false" ht="12" hidden="false" customHeight="false" outlineLevel="0" collapsed="false">
      <c r="A60" s="78" t="s">
        <v>304</v>
      </c>
      <c r="B60" s="71"/>
      <c r="C60" s="104" t="s">
        <v>305</v>
      </c>
      <c r="E60" s="74"/>
      <c r="F60" s="71"/>
      <c r="G60" s="308" t="s">
        <v>306</v>
      </c>
      <c r="H60" s="71"/>
      <c r="I60" s="309" t="s">
        <v>307</v>
      </c>
      <c r="K60" s="170" t="s">
        <v>308</v>
      </c>
      <c r="L60" s="119"/>
      <c r="M60" s="119"/>
      <c r="N60" s="310" t="n">
        <f aca="false">880.005/6*0</f>
        <v>0</v>
      </c>
      <c r="O60" s="119"/>
      <c r="P60" s="311"/>
    </row>
    <row r="61" customFormat="false" ht="12" hidden="false" customHeight="false" outlineLevel="0" collapsed="false">
      <c r="A61" s="74" t="s">
        <v>309</v>
      </c>
      <c r="B61" s="71"/>
      <c r="C61" s="312" t="n">
        <v>0</v>
      </c>
      <c r="E61" s="313" t="s">
        <v>310</v>
      </c>
      <c r="F61" s="314"/>
      <c r="G61" s="231" t="s">
        <v>311</v>
      </c>
      <c r="H61" s="314"/>
      <c r="I61" s="232" t="s">
        <v>311</v>
      </c>
    </row>
    <row r="62" customFormat="false" ht="15.75" hidden="false" customHeight="false" outlineLevel="0" collapsed="false">
      <c r="A62" s="293" t="s">
        <v>312</v>
      </c>
      <c r="B62" s="71"/>
      <c r="C62" s="72"/>
      <c r="E62" s="315" t="n">
        <v>10</v>
      </c>
      <c r="F62" s="105"/>
      <c r="G62" s="316" t="n">
        <f aca="false">'Returns Summary'!$L$8</f>
        <v>0.17032556723195</v>
      </c>
      <c r="H62" s="87"/>
      <c r="I62" s="317" t="n">
        <f aca="false">'Returns Summary'!$L$12</f>
        <v>0.129125717411103</v>
      </c>
      <c r="K62" s="63" t="s">
        <v>313</v>
      </c>
      <c r="L62" s="64"/>
      <c r="M62" s="64"/>
      <c r="N62" s="64"/>
      <c r="O62" s="64"/>
      <c r="P62" s="318"/>
    </row>
    <row r="63" customFormat="false" ht="24" hidden="false" customHeight="false" outlineLevel="0" collapsed="false">
      <c r="A63" s="74" t="s">
        <v>314</v>
      </c>
      <c r="B63" s="71"/>
      <c r="C63" s="319" t="n">
        <v>1</v>
      </c>
      <c r="E63" s="315" t="n">
        <v>15</v>
      </c>
      <c r="F63" s="105"/>
      <c r="G63" s="316" t="n">
        <f aca="false">'Returns Summary'!$Q$8</f>
        <v>0.230775897706369</v>
      </c>
      <c r="H63" s="87"/>
      <c r="I63" s="317" t="n">
        <f aca="false">'Returns Summary'!$Q$12</f>
        <v>0.192632066124187</v>
      </c>
      <c r="K63" s="78" t="s">
        <v>315</v>
      </c>
      <c r="L63" s="71"/>
      <c r="M63" s="71"/>
      <c r="N63" s="320" t="n">
        <v>0.35</v>
      </c>
      <c r="O63" s="71"/>
      <c r="P63" s="85" t="s">
        <v>131</v>
      </c>
    </row>
    <row r="64" customFormat="false" ht="12" hidden="false" customHeight="false" outlineLevel="0" collapsed="false">
      <c r="A64" s="74" t="s">
        <v>316</v>
      </c>
      <c r="B64" s="71"/>
      <c r="C64" s="180" t="n">
        <v>0.5</v>
      </c>
      <c r="E64" s="315" t="n">
        <v>20</v>
      </c>
      <c r="F64" s="105"/>
      <c r="G64" s="316" t="n">
        <f aca="false">'Returns Summary'!$W$8</f>
        <v>0.245440779978106</v>
      </c>
      <c r="H64" s="87"/>
      <c r="I64" s="317" t="n">
        <f aca="false">'Returns Summary'!$W$12</f>
        <v>0.206319213385783</v>
      </c>
      <c r="K64" s="78" t="s">
        <v>317</v>
      </c>
      <c r="L64" s="71"/>
      <c r="M64" s="71"/>
      <c r="N64" s="321" t="n">
        <v>0.05</v>
      </c>
      <c r="O64" s="71"/>
      <c r="P64" s="77"/>
    </row>
    <row r="65" customFormat="false" ht="12" hidden="false" customHeight="false" outlineLevel="0" collapsed="false">
      <c r="A65" s="293" t="s">
        <v>318</v>
      </c>
      <c r="B65" s="322"/>
      <c r="C65" s="323" t="s">
        <v>319</v>
      </c>
      <c r="E65" s="315"/>
      <c r="F65" s="71"/>
      <c r="G65" s="324"/>
      <c r="H65" s="71"/>
      <c r="I65" s="325"/>
      <c r="K65" s="74" t="s">
        <v>320</v>
      </c>
      <c r="L65" s="71"/>
      <c r="M65" s="71"/>
      <c r="N65" s="326" t="n">
        <f aca="false">(1-N64)*N63+N64</f>
        <v>0.3825</v>
      </c>
      <c r="O65" s="71"/>
      <c r="P65" s="95" t="n">
        <f aca="false">AVERAGE('Book Income Statement'!E71:H71)</f>
        <v>2915.14926321448</v>
      </c>
    </row>
    <row r="66" customFormat="false" ht="12" hidden="false" customHeight="false" outlineLevel="0" collapsed="false">
      <c r="A66" s="170" t="s">
        <v>321</v>
      </c>
      <c r="B66" s="119"/>
      <c r="C66" s="327" t="s">
        <v>305</v>
      </c>
      <c r="E66" s="74"/>
      <c r="F66" s="71"/>
      <c r="G66" s="308" t="s">
        <v>306</v>
      </c>
      <c r="H66" s="71"/>
      <c r="I66" s="309" t="s">
        <v>307</v>
      </c>
      <c r="K66" s="78" t="s">
        <v>322</v>
      </c>
      <c r="L66" s="71"/>
      <c r="M66" s="71"/>
      <c r="N66" s="270" t="n">
        <v>0</v>
      </c>
      <c r="O66" s="71"/>
      <c r="P66" s="328"/>
    </row>
    <row r="67" customFormat="false" ht="12" hidden="false" customHeight="false" outlineLevel="0" collapsed="false">
      <c r="A67" s="329"/>
      <c r="B67" s="330"/>
      <c r="C67" s="331"/>
      <c r="E67" s="313" t="s">
        <v>310</v>
      </c>
      <c r="F67" s="314"/>
      <c r="G67" s="231" t="s">
        <v>323</v>
      </c>
      <c r="H67" s="314"/>
      <c r="I67" s="232" t="s">
        <v>323</v>
      </c>
      <c r="K67" s="78" t="s">
        <v>324</v>
      </c>
      <c r="L67" s="71"/>
      <c r="M67" s="71"/>
      <c r="N67" s="320" t="n">
        <v>0</v>
      </c>
      <c r="O67" s="71"/>
      <c r="P67" s="332"/>
    </row>
    <row r="68" customFormat="false" ht="12" hidden="false" customHeight="false" outlineLevel="0" collapsed="false">
      <c r="A68" s="329"/>
      <c r="B68" s="330"/>
      <c r="C68" s="331"/>
      <c r="E68" s="315" t="n">
        <v>10</v>
      </c>
      <c r="F68" s="105"/>
      <c r="G68" s="333" t="n">
        <f aca="false">'Returns Summary'!$L$9</f>
        <v>12360.9404939575</v>
      </c>
      <c r="H68" s="333"/>
      <c r="I68" s="334" t="n">
        <f aca="false">'Returns Summary'!$L$13</f>
        <v>1933.44764467434</v>
      </c>
      <c r="K68" s="78" t="s">
        <v>325</v>
      </c>
      <c r="L68" s="71"/>
      <c r="M68" s="71"/>
      <c r="N68" s="335" t="n">
        <v>0</v>
      </c>
      <c r="O68" s="71"/>
      <c r="P68" s="95" t="n">
        <f aca="false">AVERAGE('Tax Calculations'!E10:H10)</f>
        <v>0</v>
      </c>
    </row>
    <row r="69" customFormat="false" ht="12" hidden="false" customHeight="false" outlineLevel="0" collapsed="false">
      <c r="A69" s="329"/>
      <c r="B69" s="330"/>
      <c r="C69" s="336"/>
      <c r="E69" s="315" t="n">
        <v>15</v>
      </c>
      <c r="F69" s="105"/>
      <c r="G69" s="333" t="n">
        <f aca="false">'Returns Summary'!$Q$9</f>
        <v>44907.1089495799</v>
      </c>
      <c r="H69" s="333"/>
      <c r="I69" s="334" t="n">
        <f aca="false">'Returns Summary'!$Q$13</f>
        <v>24957.739968129</v>
      </c>
      <c r="K69" s="286" t="s">
        <v>326</v>
      </c>
      <c r="L69" s="119"/>
      <c r="M69" s="119"/>
      <c r="N69" s="337" t="n">
        <v>0.015</v>
      </c>
      <c r="O69" s="119"/>
      <c r="P69" s="338"/>
    </row>
    <row r="70" customFormat="false" ht="12" hidden="false" customHeight="false" outlineLevel="0" collapsed="false">
      <c r="E70" s="339" t="n">
        <v>20</v>
      </c>
      <c r="F70" s="340"/>
      <c r="G70" s="341" t="n">
        <f aca="false">'Returns Summary'!$W$9</f>
        <v>66435.3805460922</v>
      </c>
      <c r="H70" s="342"/>
      <c r="I70" s="343" t="n">
        <f aca="false">'Returns Summary'!$W$13</f>
        <v>36638.7442658832</v>
      </c>
      <c r="K70" s="175"/>
      <c r="N70" s="344"/>
      <c r="P70" s="345"/>
    </row>
    <row r="71" customFormat="false" ht="12" hidden="false" customHeight="false" outlineLevel="0" collapsed="false">
      <c r="E71" s="346"/>
      <c r="F71" s="347"/>
      <c r="G71" s="333"/>
      <c r="H71" s="333"/>
      <c r="I71" s="333"/>
    </row>
    <row r="72" customFormat="false" ht="12" hidden="false" customHeight="false" outlineLevel="0" collapsed="false">
      <c r="B72" s="330"/>
      <c r="C72" s="331"/>
    </row>
    <row r="73" customFormat="false" ht="12" hidden="false" customHeight="false" outlineLevel="0" collapsed="false">
      <c r="B73" s="330"/>
      <c r="C73" s="331"/>
    </row>
    <row r="74" customFormat="false" ht="12" hidden="false" customHeight="false" outlineLevel="0" collapsed="false">
      <c r="B74" s="330"/>
      <c r="C74" s="331"/>
      <c r="D74" s="331"/>
    </row>
    <row r="75" customFormat="false" ht="12" hidden="false" customHeight="false" outlineLevel="0" collapsed="false">
      <c r="B75" s="330"/>
      <c r="C75" s="331"/>
      <c r="D75" s="331"/>
    </row>
    <row r="76" customFormat="false" ht="12.75" hidden="false" customHeight="false" outlineLevel="0" collapsed="false">
      <c r="B76" s="330"/>
      <c r="C76" s="330"/>
      <c r="D76" s="331"/>
      <c r="J76" s="0"/>
    </row>
    <row r="77" customFormat="false" ht="12.75" hidden="false" customHeight="false" outlineLevel="0" collapsed="false">
      <c r="B77" s="330"/>
      <c r="C77" s="348"/>
      <c r="D77" s="331"/>
      <c r="J77" s="0"/>
    </row>
    <row r="78" customFormat="false" ht="14.25" hidden="false" customHeight="true" outlineLevel="0" collapsed="false">
      <c r="B78" s="330"/>
      <c r="C78" s="331"/>
      <c r="J78" s="0"/>
    </row>
    <row r="79" customFormat="false" ht="12.75" hidden="false" customHeight="false" outlineLevel="0" collapsed="false">
      <c r="B79" s="330"/>
      <c r="C79" s="331"/>
      <c r="E79" s="0"/>
      <c r="F79" s="0"/>
      <c r="G79" s="0"/>
      <c r="H79" s="0"/>
      <c r="I79" s="0"/>
      <c r="J79" s="0"/>
    </row>
    <row r="80" customFormat="false" ht="12.75" hidden="false" customHeight="false" outlineLevel="0" collapsed="false">
      <c r="B80" s="330"/>
      <c r="C80" s="331"/>
      <c r="E80" s="0"/>
      <c r="F80" s="0"/>
      <c r="G80" s="0"/>
      <c r="H80" s="0"/>
      <c r="I80" s="0"/>
      <c r="J80" s="0"/>
    </row>
    <row r="81" customFormat="false" ht="12.75" hidden="false" customHeight="false" outlineLevel="0" collapsed="false">
      <c r="A81" s="349" t="s">
        <v>327</v>
      </c>
      <c r="B81" s="330"/>
      <c r="C81" s="331"/>
      <c r="E81" s="0"/>
      <c r="F81" s="0"/>
      <c r="G81" s="0"/>
      <c r="H81" s="0"/>
      <c r="I81" s="0"/>
      <c r="J81" s="0"/>
    </row>
    <row r="82" customFormat="false" ht="12.75" hidden="false" customHeight="false" outlineLevel="0" collapsed="false">
      <c r="A82" s="127" t="s">
        <v>328</v>
      </c>
      <c r="B82" s="331"/>
      <c r="C82" s="331"/>
      <c r="E82" s="0"/>
      <c r="F82" s="0"/>
      <c r="G82" s="0"/>
      <c r="H82" s="0"/>
      <c r="I82" s="0"/>
    </row>
    <row r="83" customFormat="false" ht="12.75" hidden="false" customHeight="true" outlineLevel="0" collapsed="false">
      <c r="A83" s="127" t="s">
        <v>329</v>
      </c>
      <c r="B83" s="331"/>
      <c r="C83" s="331"/>
      <c r="E83" s="0"/>
      <c r="F83" s="0"/>
      <c r="G83" s="0"/>
      <c r="H83" s="0"/>
      <c r="I83" s="0"/>
    </row>
    <row r="84" customFormat="false" ht="12.75" hidden="false" customHeight="false" outlineLevel="0" collapsed="false">
      <c r="A84" s="127" t="s">
        <v>330</v>
      </c>
      <c r="B84" s="331"/>
      <c r="C84" s="331"/>
      <c r="D84" s="127"/>
      <c r="E84" s="0"/>
      <c r="F84" s="0"/>
      <c r="G84" s="0"/>
      <c r="H84" s="0"/>
      <c r="I84" s="0"/>
    </row>
    <row r="85" customFormat="false" ht="12" hidden="false" customHeight="false" outlineLevel="0" collapsed="false">
      <c r="A85" s="127" t="s">
        <v>331</v>
      </c>
      <c r="B85" s="331"/>
      <c r="C85" s="331"/>
      <c r="D85" s="331"/>
    </row>
    <row r="86" customFormat="false" ht="12" hidden="false" customHeight="false" outlineLevel="0" collapsed="false">
      <c r="A86" s="127" t="s">
        <v>332</v>
      </c>
      <c r="B86" s="350"/>
      <c r="C86" s="350"/>
      <c r="D86" s="351" t="s">
        <v>333</v>
      </c>
    </row>
    <row r="87" customFormat="false" ht="12" hidden="false" customHeight="false" outlineLevel="0" collapsed="false">
      <c r="A87" s="127" t="s">
        <v>334</v>
      </c>
      <c r="B87" s="350"/>
      <c r="C87" s="350"/>
      <c r="D87" s="351" t="s">
        <v>335</v>
      </c>
    </row>
    <row r="88" customFormat="false" ht="12" hidden="false" customHeight="false" outlineLevel="0" collapsed="false">
      <c r="A88" s="127" t="s">
        <v>336</v>
      </c>
      <c r="B88" s="350"/>
      <c r="C88" s="350"/>
      <c r="D88" s="331"/>
      <c r="L88" s="256"/>
      <c r="M88" s="256"/>
      <c r="N88" s="225"/>
    </row>
    <row r="89" customFormat="false" ht="12" hidden="false" customHeight="false" outlineLevel="0" collapsed="false">
      <c r="A89" s="127" t="s">
        <v>337</v>
      </c>
      <c r="D89" s="350"/>
      <c r="I89" s="333"/>
    </row>
    <row r="90" customFormat="false" ht="12" hidden="false" customHeight="false" outlineLevel="0" collapsed="false">
      <c r="A90" s="54" t="s">
        <v>338</v>
      </c>
      <c r="D90" s="350"/>
    </row>
    <row r="91" customFormat="false" ht="12" hidden="false" customHeight="false" outlineLevel="0" collapsed="false">
      <c r="A91" s="127" t="s">
        <v>339</v>
      </c>
      <c r="D91" s="350"/>
      <c r="I91" s="352"/>
    </row>
    <row r="92" customFormat="false" ht="12" hidden="false" customHeight="false" outlineLevel="0" collapsed="false">
      <c r="A92" s="54" t="s">
        <v>340</v>
      </c>
    </row>
    <row r="93" customFormat="false" ht="12" hidden="false" customHeight="false" outlineLevel="0" collapsed="false">
      <c r="I93" s="353"/>
    </row>
    <row r="98" customFormat="false" ht="15.75" hidden="false" customHeight="false" outlineLevel="0" collapsed="false">
      <c r="E98" s="354" t="s">
        <v>341</v>
      </c>
      <c r="F98" s="355"/>
      <c r="G98" s="355"/>
      <c r="H98" s="356"/>
    </row>
    <row r="99" customFormat="false" ht="12" hidden="false" customHeight="false" outlineLevel="0" collapsed="false">
      <c r="E99" s="74" t="s">
        <v>342</v>
      </c>
      <c r="F99" s="283" t="n">
        <f aca="false">C50</f>
        <v>154763.971</v>
      </c>
      <c r="G99" s="71"/>
      <c r="H99" s="72"/>
    </row>
    <row r="100" customFormat="false" ht="12" hidden="false" customHeight="false" outlineLevel="0" collapsed="false">
      <c r="E100" s="74" t="s">
        <v>343</v>
      </c>
      <c r="F100" s="285" t="n">
        <f aca="false">F99</f>
        <v>154763.971</v>
      </c>
      <c r="G100" s="71"/>
      <c r="H100" s="72"/>
    </row>
    <row r="101" customFormat="false" ht="12" hidden="false" customHeight="false" outlineLevel="0" collapsed="false">
      <c r="E101" s="286" t="s">
        <v>344</v>
      </c>
      <c r="F101" s="218" t="n">
        <v>0</v>
      </c>
      <c r="G101" s="119"/>
      <c r="H101" s="219"/>
      <c r="K101" s="127"/>
      <c r="L101" s="127"/>
      <c r="M101" s="357"/>
      <c r="N101" s="276"/>
    </row>
    <row r="102" customFormat="false" ht="12.75" hidden="false" customHeight="false" outlineLevel="0" collapsed="false">
      <c r="G102" s="358"/>
      <c r="H102" s="359"/>
      <c r="K102" s="127"/>
      <c r="L102" s="127"/>
      <c r="M102" s="357"/>
      <c r="N102" s="276"/>
    </row>
    <row r="103" customFormat="false" ht="16.5" hidden="false" customHeight="false" outlineLevel="0" collapsed="false">
      <c r="E103" s="360" t="s">
        <v>345</v>
      </c>
      <c r="F103" s="361"/>
      <c r="G103" s="362" t="s">
        <v>346</v>
      </c>
      <c r="H103" s="363"/>
      <c r="K103" s="54" t="s">
        <v>347</v>
      </c>
      <c r="L103" s="276"/>
      <c r="M103" s="276"/>
      <c r="N103" s="276"/>
    </row>
    <row r="104" customFormat="false" ht="16.5" hidden="false" customHeight="false" outlineLevel="0" collapsed="false">
      <c r="E104" s="360" t="n">
        <v>12</v>
      </c>
      <c r="F104" s="361" t="n">
        <v>16</v>
      </c>
      <c r="G104" s="364" t="n">
        <v>8</v>
      </c>
      <c r="H104" s="365" t="n">
        <v>10</v>
      </c>
      <c r="K104" s="54" t="s">
        <v>348</v>
      </c>
    </row>
    <row r="105" customFormat="false" ht="13.5" hidden="false" customHeight="false" outlineLevel="0" collapsed="false">
      <c r="E105" s="366" t="n">
        <f aca="false">E104*'Book Income Statement'!$C$75-$C$8-'PPA Assumptions &amp; Summary'!$B$15</f>
        <v>-5537.69047314938</v>
      </c>
      <c r="F105" s="366" t="n">
        <f aca="false">F104*'Book Income Statement'!$C$75-$C$8-'PPA Assumptions &amp; Summary'!$B$15</f>
        <v>4976.60462786828</v>
      </c>
      <c r="G105" s="366" t="n">
        <f aca="false">G104*'Book Income Statement'!$C$74-$C$8-'PPA Assumptions &amp; Summary'!$B$15</f>
        <v>26894.0126386446</v>
      </c>
      <c r="H105" s="366" t="n">
        <f aca="false">H104*'Book Income Statement'!$C$74-$C$8-'PPA Assumptions &amp; Summary'!$B$15</f>
        <v>42887.6597423563</v>
      </c>
      <c r="K105" s="54" t="s">
        <v>349</v>
      </c>
    </row>
    <row r="106" customFormat="false" ht="12" hidden="false" customHeight="false" outlineLevel="0" collapsed="false">
      <c r="E106" s="54" t="s">
        <v>350</v>
      </c>
      <c r="F106" s="54" t="s">
        <v>351</v>
      </c>
      <c r="K106" s="54" t="s">
        <v>352</v>
      </c>
    </row>
    <row r="107" customFormat="false" ht="12" hidden="false" customHeight="false" outlineLevel="0" collapsed="false">
      <c r="E107" s="54" t="s">
        <v>353</v>
      </c>
      <c r="F107" s="273" t="s">
        <v>354</v>
      </c>
      <c r="G107" s="367"/>
      <c r="H107" s="367"/>
    </row>
  </sheetData>
  <mergeCells count="3">
    <mergeCell ref="A2:N2"/>
    <mergeCell ref="A3:N3"/>
    <mergeCell ref="A4:N4"/>
  </mergeCells>
  <dataValidations count="9">
    <dataValidation allowBlank="true" errorStyle="stop" operator="between" showDropDown="false" showErrorMessage="true" showInputMessage="false" sqref="I49" type="list">
      <formula1>"Financing,Operations"</formula1>
      <formula2>0</formula2>
    </dataValidation>
    <dataValidation allowBlank="true" errorStyle="stop" operator="between" showDropDown="false" showErrorMessage="true" showInputMessage="false" sqref="C55:C56 C59:C60 C66" type="list">
      <formula1>"Yes,No"</formula1>
      <formula2>0</formula2>
    </dataValidation>
    <dataValidation allowBlank="true" errorStyle="stop" operator="between" showDropDown="false" showErrorMessage="true" showInputMessage="false" sqref="C53" type="list">
      <formula1>"Fixed,Index"</formula1>
      <formula2>0</formula2>
    </dataValidation>
    <dataValidation allowBlank="true" errorStyle="stop" operator="between" showDropDown="false" showErrorMessage="true" showInputMessage="false" sqref="C58" type="list">
      <formula1>"Assumed,Dispatched"</formula1>
      <formula2>0</formula2>
    </dataValidation>
    <dataValidation allowBlank="true" errorStyle="stop" operator="between" showDropDown="false" showErrorMessage="true" showInputMessage="false" sqref="G43:H43" type="list">
      <formula1>"Interest Only,No P&amp;I"</formula1>
      <formula2>0</formula2>
    </dataValidation>
    <dataValidation allowBlank="true" errorStyle="stop" operator="between" showDropDown="false" showErrorMessage="true" showInputMessage="false" sqref="C54" type="list">
      <formula1>"0,2.5,N/A"</formula1>
      <formula2>0</formula2>
    </dataValidation>
    <dataValidation allowBlank="true" errorStyle="stop" operator="between" showDropDown="false" showErrorMessage="true" showInputMessage="false" sqref="I35" type="list">
      <formula1>"Normal,Alternate"</formula1>
      <formula2>0</formula2>
    </dataValidation>
    <dataValidation allowBlank="true" errorStyle="stop" operator="between" showDropDown="false" showErrorMessage="true" showInputMessage="false" sqref="C63" type="list">
      <formula1>"1,2,3,4"</formula1>
      <formula2>0</formula2>
    </dataValidation>
    <dataValidation allowBlank="true" errorStyle="stop" operator="between" showDropDown="false" showErrorMessage="true" showInputMessage="false" sqref="C65" type="list">
      <formula1>"Kaiser Peak,ECT Peak Curve,Marginal Cost Curve"</formula1>
      <formula2>0</formula2>
    </dataValidation>
  </dataValidations>
  <printOptions headings="false" gridLines="false" gridLinesSet="true" horizontalCentered="false" verticalCentered="false"/>
  <pageMargins left="0.747916666666667" right="0.5" top="0.25" bottom="0.5" header="0.511811023622047" footer="0"/>
  <pageSetup paperSize="1" scale="100" fitToWidth="1" fitToHeight="1" pageOrder="downThenOver" orientation="landscape" blackAndWhite="false" draft="false" cellComments="none" horizontalDpi="300" verticalDpi="300" copies="1"/>
  <headerFooter differentFirst="false" differentOddEven="false">
    <oddHeader/>
    <oddFooter>&amp;L&amp;D   &amp;T&amp;R&amp;F
&amp;A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Button 686">
              <controlPr defaultSize="0" print="false" autoFill="0" autoPict="0" macro="Module5.Print1">
                <anchor moveWithCells="true" sizeWithCells="false">
                  <from>
                    <xdr:col>0</xdr:col>
                    <xdr:colOff>544680</xdr:colOff>
                    <xdr:row>1</xdr:row>
                    <xdr:rowOff>47160</xdr:rowOff>
                  </from>
                  <to>
                    <xdr:col>1</xdr:col>
                    <xdr:colOff>-570960</xdr:colOff>
                    <xdr:row>3</xdr:row>
                    <xdr:rowOff>124200</xdr:rowOff>
                  </to>
                </anchor>
              </controlPr>
            </control>
          </mc:Choice>
        </mc:AlternateContent>
        <mc:AlternateContent xmlns:mc="http://schemas.openxmlformats.org/markup-compatibility/2006">
          <mc:Choice Requires="x14">
            <control shapeId="1002" r:id="rId5" name="Button 714">
              <controlPr defaultSize="0" print="false" autoFill="0" autoPict="0" macro="Module6.Tax">
                <anchor moveWithCells="true" sizeWithCells="false">
                  <from>
                    <xdr:col>0</xdr:col>
                    <xdr:colOff>2054160</xdr:colOff>
                    <xdr:row>2</xdr:row>
                    <xdr:rowOff>47520</xdr:rowOff>
                  </from>
                  <to>
                    <xdr:col>1</xdr:col>
                    <xdr:colOff>352800</xdr:colOff>
                    <xdr:row>3</xdr:row>
                    <xdr:rowOff>114480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E100"/>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1" activeCellId="0" sqref="A1"/>
    </sheetView>
  </sheetViews>
  <sheetFormatPr defaultColWidth="9.0546875" defaultRowHeight="12.75" customHeight="true" zeroHeight="false" outlineLevelRow="1" outlineLevelCol="0"/>
  <cols>
    <col collapsed="false" customWidth="true" hidden="false" outlineLevel="0" max="1" min="1" style="5" width="34.41"/>
    <col collapsed="false" customWidth="true" hidden="false" outlineLevel="0" max="30" min="2" style="5" width="9.14"/>
  </cols>
  <sheetData>
    <row r="1" customFormat="false" ht="20.25" hidden="false" customHeight="false" outlineLevel="0" collapsed="false">
      <c r="A1" s="368" t="str">
        <f aca="false">'Project Assumptions'!$A$2</f>
        <v>CALEDONIA, Lowndes County, MS</v>
      </c>
      <c r="B1" s="369"/>
      <c r="C1" s="369"/>
      <c r="D1" s="370"/>
    </row>
    <row r="2" customFormat="false" ht="12.75" hidden="false" customHeight="false" outlineLevel="0" collapsed="false">
      <c r="A2" s="371" t="s">
        <v>355</v>
      </c>
      <c r="B2" s="372"/>
      <c r="C2" s="373"/>
      <c r="D2" s="374"/>
    </row>
    <row r="3" customFormat="false" ht="12.75" hidden="false" customHeight="false" outlineLevel="0" collapsed="false">
      <c r="A3" s="375"/>
      <c r="B3" s="376"/>
      <c r="C3" s="377"/>
      <c r="D3" s="376"/>
    </row>
    <row r="4" customFormat="false" ht="12.75" hidden="false" customHeight="false" outlineLevel="0" collapsed="false">
      <c r="B4" s="1"/>
      <c r="C4" s="378" t="n">
        <v>1</v>
      </c>
      <c r="D4" s="378" t="n">
        <f aca="false">C4+1</f>
        <v>2</v>
      </c>
      <c r="E4" s="378" t="n">
        <f aca="false">D4+1</f>
        <v>3</v>
      </c>
      <c r="F4" s="378" t="n">
        <f aca="false">E4+1</f>
        <v>4</v>
      </c>
      <c r="G4" s="378" t="n">
        <f aca="false">F4+1</f>
        <v>5</v>
      </c>
      <c r="H4" s="378" t="n">
        <f aca="false">G4+1</f>
        <v>6</v>
      </c>
      <c r="I4" s="378" t="n">
        <f aca="false">H4+1</f>
        <v>7</v>
      </c>
      <c r="J4" s="378" t="n">
        <f aca="false">I4+1</f>
        <v>8</v>
      </c>
      <c r="K4" s="378" t="n">
        <f aca="false">J4+1</f>
        <v>9</v>
      </c>
      <c r="L4" s="378" t="n">
        <f aca="false">K4+1</f>
        <v>10</v>
      </c>
      <c r="M4" s="378" t="n">
        <f aca="false">L4+1</f>
        <v>11</v>
      </c>
      <c r="N4" s="378" t="n">
        <f aca="false">M4+1</f>
        <v>12</v>
      </c>
      <c r="O4" s="378" t="n">
        <f aca="false">N4+1</f>
        <v>13</v>
      </c>
      <c r="P4" s="378" t="n">
        <f aca="false">O4+1</f>
        <v>14</v>
      </c>
      <c r="Q4" s="378" t="n">
        <f aca="false">P4+1</f>
        <v>15</v>
      </c>
      <c r="R4" s="378" t="n">
        <f aca="false">Q4+1</f>
        <v>16</v>
      </c>
      <c r="S4" s="378" t="n">
        <f aca="false">R4+1</f>
        <v>17</v>
      </c>
      <c r="T4" s="378" t="n">
        <f aca="false">S4+1</f>
        <v>18</v>
      </c>
      <c r="U4" s="378" t="n">
        <f aca="false">T4+1</f>
        <v>19</v>
      </c>
      <c r="V4" s="378" t="n">
        <f aca="false">U4+1</f>
        <v>20</v>
      </c>
      <c r="W4" s="378" t="n">
        <f aca="false">V4+1</f>
        <v>21</v>
      </c>
      <c r="X4" s="378" t="n">
        <f aca="false">W4+1</f>
        <v>22</v>
      </c>
      <c r="Y4" s="378"/>
      <c r="Z4" s="378"/>
      <c r="AA4" s="378"/>
    </row>
    <row r="5" customFormat="false" ht="12.75" hidden="false" customHeight="false" outlineLevel="0" collapsed="false">
      <c r="A5" s="379"/>
      <c r="B5" s="380"/>
      <c r="C5" s="381" t="n">
        <f aca="false">YEAR(StartDate)</f>
        <v>1999</v>
      </c>
      <c r="D5" s="381" t="n">
        <f aca="false">C5+1</f>
        <v>2000</v>
      </c>
      <c r="E5" s="381" t="n">
        <f aca="false">D5+1</f>
        <v>2001</v>
      </c>
      <c r="F5" s="381" t="n">
        <f aca="false">E5+1</f>
        <v>2002</v>
      </c>
      <c r="G5" s="381" t="n">
        <f aca="false">F5+1</f>
        <v>2003</v>
      </c>
      <c r="H5" s="381" t="n">
        <f aca="false">G5+1</f>
        <v>2004</v>
      </c>
      <c r="I5" s="381" t="n">
        <f aca="false">H5+1</f>
        <v>2005</v>
      </c>
      <c r="J5" s="381" t="n">
        <f aca="false">I5+1</f>
        <v>2006</v>
      </c>
      <c r="K5" s="381" t="n">
        <f aca="false">J5+1</f>
        <v>2007</v>
      </c>
      <c r="L5" s="381" t="n">
        <f aca="false">K5+1</f>
        <v>2008</v>
      </c>
      <c r="M5" s="381" t="n">
        <f aca="false">L5+1</f>
        <v>2009</v>
      </c>
      <c r="N5" s="381" t="n">
        <f aca="false">M5+1</f>
        <v>2010</v>
      </c>
      <c r="O5" s="381" t="n">
        <f aca="false">N5+1</f>
        <v>2011</v>
      </c>
      <c r="P5" s="381" t="n">
        <f aca="false">O5+1</f>
        <v>2012</v>
      </c>
      <c r="Q5" s="381" t="n">
        <f aca="false">P5+1</f>
        <v>2013</v>
      </c>
      <c r="R5" s="381" t="n">
        <f aca="false">Q5+1</f>
        <v>2014</v>
      </c>
      <c r="S5" s="381" t="n">
        <f aca="false">R5+1</f>
        <v>2015</v>
      </c>
      <c r="T5" s="381" t="n">
        <f aca="false">S5+1</f>
        <v>2016</v>
      </c>
      <c r="U5" s="381" t="n">
        <f aca="false">T5+1</f>
        <v>2017</v>
      </c>
      <c r="V5" s="381" t="n">
        <f aca="false">U5+1</f>
        <v>2018</v>
      </c>
      <c r="W5" s="381" t="n">
        <f aca="false">V5+1</f>
        <v>2019</v>
      </c>
      <c r="X5" s="382" t="n">
        <f aca="false">W5+1</f>
        <v>2020</v>
      </c>
      <c r="Y5" s="383"/>
      <c r="Z5" s="383"/>
      <c r="AA5" s="383"/>
    </row>
    <row r="6" customFormat="false" ht="12.75" hidden="false" customHeight="false" outlineLevel="0" collapsed="false">
      <c r="A6" s="384" t="s">
        <v>356</v>
      </c>
      <c r="B6" s="385"/>
      <c r="C6" s="386" t="n">
        <f aca="false">ROUND((DATE($D$5,1,1)-StartDate)/30.4375,1)</f>
        <v>5</v>
      </c>
      <c r="D6" s="387" t="n">
        <f aca="false">IF($C$6&lt;12,IF(D$4&gt;ProjectLife+1,0,IF(D$4=ProjectLife+1,12-$C$6,12)),IF(D$4&gt;ProjectLife,0,12))</f>
        <v>12</v>
      </c>
      <c r="E6" s="387" t="n">
        <f aca="false">IF($C$6&lt;12,IF(E$4&gt;ProjectLife+1,0,IF(E$4=ProjectLife+1,12-$C$6,12)),IF(E$4&gt;ProjectLife,0,12))</f>
        <v>12</v>
      </c>
      <c r="F6" s="387" t="n">
        <f aca="false">IF($C$6&lt;12,IF(F$4&gt;ProjectLife+1,0,IF(F$4=ProjectLife+1,12-$C$6,12)),IF(F$4&gt;ProjectLife,0,12))</f>
        <v>12</v>
      </c>
      <c r="G6" s="387" t="n">
        <f aca="false">IF($C$6&lt;12,IF(G$4&gt;ProjectLife+1,0,IF(G$4=ProjectLife+1,12-$C$6,12)),IF(G$4&gt;ProjectLife,0,12))</f>
        <v>12</v>
      </c>
      <c r="H6" s="387" t="n">
        <f aca="false">IF($C$6&lt;12,IF(H$4&gt;ProjectLife+1,0,IF(H$4=ProjectLife+1,12-$C$6,12)),IF(H$4&gt;ProjectLife,0,12))</f>
        <v>12</v>
      </c>
      <c r="I6" s="387" t="n">
        <f aca="false">IF($C$6&lt;12,IF(I$4&gt;ProjectLife+1,0,IF(I$4=ProjectLife+1,12-$C$6,12)),IF(I$4&gt;ProjectLife,0,12))</f>
        <v>12</v>
      </c>
      <c r="J6" s="387" t="n">
        <f aca="false">IF($C$6&lt;12,IF(J$4&gt;ProjectLife+1,0,IF(J$4=ProjectLife+1,12-$C$6,12)),IF(J$4&gt;ProjectLife,0,12))</f>
        <v>12</v>
      </c>
      <c r="K6" s="387" t="n">
        <f aca="false">IF($C$6&lt;12,IF(K$4&gt;ProjectLife+1,0,IF(K$4=ProjectLife+1,12-$C$6,12)),IF(K$4&gt;ProjectLife,0,12))</f>
        <v>12</v>
      </c>
      <c r="L6" s="387" t="n">
        <f aca="false">IF($C$6&lt;12,IF(L$4&gt;ProjectLife+1,0,IF(L$4=ProjectLife+1,12-$C$6,12)),IF(L$4&gt;ProjectLife,0,12))</f>
        <v>12</v>
      </c>
      <c r="M6" s="387" t="n">
        <f aca="false">IF($C$6&lt;12,IF(M$4&gt;ProjectLife+1,0,IF(M$4=ProjectLife+1,12-$C$6,12)),IF(M$4&gt;ProjectLife,0,12))</f>
        <v>12</v>
      </c>
      <c r="N6" s="387" t="n">
        <f aca="false">IF($C$6&lt;12,IF(N$4&gt;ProjectLife+1,0,IF(N$4=ProjectLife+1,12-$C$6,12)),IF(N$4&gt;ProjectLife,0,12))</f>
        <v>12</v>
      </c>
      <c r="O6" s="387" t="n">
        <f aca="false">IF($C$6&lt;12,IF(O$4&gt;ProjectLife+1,0,IF(O$4=ProjectLife+1,12-$C$6,12)),IF(O$4&gt;ProjectLife,0,12))</f>
        <v>12</v>
      </c>
      <c r="P6" s="387" t="n">
        <f aca="false">IF($C$6&lt;12,IF(P$4&gt;ProjectLife+1,0,IF(P$4=ProjectLife+1,12-$C$6,12)),IF(P$4&gt;ProjectLife,0,12))</f>
        <v>12</v>
      </c>
      <c r="Q6" s="387" t="n">
        <f aca="false">IF($C$6&lt;12,IF(Q$4&gt;ProjectLife+1,0,IF(Q$4=ProjectLife+1,12-$C$6,12)),IF(Q$4&gt;ProjectLife,0,12))</f>
        <v>12</v>
      </c>
      <c r="R6" s="387" t="n">
        <f aca="false">IF($C$6&lt;12,IF(R$4&gt;ProjectLife+1,0,IF(R$4=ProjectLife+1,12-$C$6,12)),IF(R$4&gt;ProjectLife,0,12))</f>
        <v>12</v>
      </c>
      <c r="S6" s="387" t="n">
        <f aca="false">IF($C$6&lt;12,IF(S$4&gt;ProjectLife+1,0,IF(S$4=ProjectLife+1,12-$C$6,12)),IF(S$4&gt;ProjectLife,0,12))</f>
        <v>12</v>
      </c>
      <c r="T6" s="387" t="n">
        <f aca="false">IF($C$6&lt;12,IF(T$4&gt;ProjectLife+1,0,IF(T$4=ProjectLife+1,12-$C$6,12)),IF(T$4&gt;ProjectLife,0,12))</f>
        <v>12</v>
      </c>
      <c r="U6" s="387" t="n">
        <f aca="false">IF($C$6&lt;12,IF(U$4&gt;ProjectLife+1,0,IF(U$4=ProjectLife+1,12-$C$6,12)),IF(U$4&gt;ProjectLife,0,12))</f>
        <v>12</v>
      </c>
      <c r="V6" s="387" t="n">
        <f aca="false">IF($C$6&lt;12,IF(V$4&gt;ProjectLife+1,0,IF(V$4=ProjectLife+1,12-$C$6,12)),IF(V$4&gt;ProjectLife,0,12))</f>
        <v>12</v>
      </c>
      <c r="W6" s="388" t="n">
        <v>12</v>
      </c>
      <c r="X6" s="389" t="n">
        <f aca="false">IF($C$6&lt;12,IF(X$4&gt;ProjectLife+1,0,IF(X$4=ProjectLife+1,12-$C$6,12)),IF(X$4&gt;ProjectLife,0,12))</f>
        <v>0</v>
      </c>
      <c r="Y6" s="385"/>
      <c r="Z6" s="385"/>
      <c r="AA6" s="385"/>
      <c r="AB6" s="385"/>
      <c r="AC6" s="385"/>
      <c r="AD6" s="385"/>
    </row>
    <row r="7" customFormat="false" ht="12.6" hidden="false" customHeight="true" outlineLevel="0" collapsed="false">
      <c r="A7" s="390" t="s">
        <v>357</v>
      </c>
      <c r="B7" s="385"/>
      <c r="C7" s="387" t="n">
        <f aca="false">IF($C$6&lt;12,IF(C$4&gt;PPAterm+1,0,IF(C$4=PPAterm+1,'Project Assumptions'!$I$27,C$6)),IF(C$4&lt;PPAterm+1,C$6,0))</f>
        <v>5</v>
      </c>
      <c r="D7" s="387" t="n">
        <f aca="false">IF($C$6&lt;12,IF(D$4&gt;PPAterm+1,0,IF(D$4=PPAterm+1,'Project Assumptions'!$I$27,D$6)),IF(D$4&lt;PPAterm+1,D$6,0))</f>
        <v>12</v>
      </c>
      <c r="E7" s="387" t="n">
        <f aca="false">IF($C$6&lt;12,IF(E$4&gt;PPAterm+1,0,IF(E$4=PPAterm+1,'Project Assumptions'!$I$27,E$6)),IF(E$4&lt;PPAterm+1,E$6,0))</f>
        <v>12</v>
      </c>
      <c r="F7" s="387" t="n">
        <f aca="false">IF($C$6&lt;12,IF(F$4&gt;PPAterm+1,0,IF(F$4=PPAterm+1,'Project Assumptions'!$I$27,F$6)),IF(F$4&lt;PPAterm+1,F$6,0))</f>
        <v>12</v>
      </c>
      <c r="G7" s="387" t="n">
        <f aca="false">IF($C$6&lt;12,IF(G$4&gt;PPAterm+1,0,IF(G$4=PPAterm+1,'Project Assumptions'!$I$27,G$6)),IF(G$4&lt;PPAterm+1,G$6,0))</f>
        <v>5</v>
      </c>
      <c r="H7" s="387" t="n">
        <f aca="false">IF($C$6&lt;12,IF(H$4&gt;PPAterm+1,0,IF(H$4=PPAterm+1,'Project Assumptions'!$I$27,H$6)),IF(H$4&lt;PPAterm+1,H$6,0))</f>
        <v>0</v>
      </c>
      <c r="I7" s="387" t="n">
        <f aca="false">IF($C$6&lt;12,IF(I$4&gt;PPAterm+1,0,IF(I$4=PPAterm+1,'Project Assumptions'!$I$27,I$6)),IF(I$4&lt;PPAterm+1,I$6,0))</f>
        <v>0</v>
      </c>
      <c r="J7" s="387" t="n">
        <f aca="false">IF($C$6&lt;12,IF(J$4&gt;PPAterm+1,0,IF(J$4=PPAterm+1,'Project Assumptions'!$I$27,J$6)),IF(J$4&lt;PPAterm+1,J$6,0))</f>
        <v>0</v>
      </c>
      <c r="K7" s="387" t="n">
        <f aca="false">IF($C$6&lt;12,IF(K$4&gt;PPAterm+1,0,IF(K$4=PPAterm+1,'Project Assumptions'!$I$27,K$6)),IF(K$4&lt;PPAterm+1,K$6,0))</f>
        <v>0</v>
      </c>
      <c r="L7" s="387" t="n">
        <f aca="false">IF($C$6&lt;12,IF(L$4&gt;PPAterm+1,0,IF(L$4=PPAterm+1,'Project Assumptions'!$I$27,L$6)),IF(L$4&lt;PPAterm+1,L$6,0))</f>
        <v>0</v>
      </c>
      <c r="M7" s="387" t="n">
        <f aca="false">IF($C$6&lt;12,IF(M$4&gt;PPAterm+1,0,IF(M$4=PPAterm+1,'Project Assumptions'!$I$27,M$6)),IF(M$4&lt;PPAterm+1,M$6,0))</f>
        <v>0</v>
      </c>
      <c r="N7" s="387" t="n">
        <f aca="false">IF($C$6&lt;12,IF(N$4&gt;PPAterm+1,0,IF(N$4=PPAterm+1,'Project Assumptions'!$I$27,N$6)),IF(N$4&lt;PPAterm+1,N$6,0))</f>
        <v>0</v>
      </c>
      <c r="O7" s="387" t="n">
        <f aca="false">IF($C$6&lt;12,IF(O$4&gt;PPAterm+1,0,IF(O$4=PPAterm+1,'Project Assumptions'!$I$27,O$6)),IF(O$4&lt;PPAterm+1,O$6,0))</f>
        <v>0</v>
      </c>
      <c r="P7" s="387" t="n">
        <f aca="false">IF($C$6&lt;12,IF(P$4&gt;PPAterm+1,0,IF(P$4=PPAterm+1,'Project Assumptions'!$I$27,P$6)),IF(P$4&lt;PPAterm+1,P$6,0))</f>
        <v>0</v>
      </c>
      <c r="Q7" s="387" t="n">
        <f aca="false">IF($C$6&lt;12,IF(Q$4&gt;PPAterm+1,0,IF(Q$4=PPAterm+1,'Project Assumptions'!$I$27,Q$6)),IF(Q$4&lt;PPAterm+1,Q$6,0))</f>
        <v>0</v>
      </c>
      <c r="R7" s="387" t="n">
        <f aca="false">IF($C$6&lt;12,IF(R$4&gt;PPAterm+1,0,IF(R$4=PPAterm+1,'Project Assumptions'!$I$27,R$6)),IF(R$4&lt;PPAterm+1,R$6,0))</f>
        <v>0</v>
      </c>
      <c r="S7" s="387" t="n">
        <f aca="false">IF($C$6&lt;12,IF(S$4&gt;PPAterm+1,0,IF(S$4=PPAterm+1,'Project Assumptions'!$I$27,S$6)),IF(S$4&lt;PPAterm+1,S$6,0))</f>
        <v>0</v>
      </c>
      <c r="T7" s="387" t="n">
        <f aca="false">IF($C$6&lt;12,IF(T$4&gt;PPAterm+1,0,IF(T$4=PPAterm+1,'Project Assumptions'!$I$27,T$6)),IF(T$4&lt;PPAterm+1,T$6,0))</f>
        <v>0</v>
      </c>
      <c r="U7" s="387" t="n">
        <f aca="false">IF($C$6&lt;12,IF(U$4&gt;PPAterm+1,0,IF(U$4=PPAterm+1,'Project Assumptions'!$I$27,U$6)),IF(U$4&lt;PPAterm+1,U$6,0))</f>
        <v>0</v>
      </c>
      <c r="V7" s="387" t="n">
        <f aca="false">IF($C$6&lt;12,IF(V$4&gt;PPAterm+1,0,IF(V$4=PPAterm+1,'Project Assumptions'!$I$27,V$6)),IF(V$4&lt;PPAterm+1,V$6,0))</f>
        <v>0</v>
      </c>
      <c r="W7" s="387" t="n">
        <f aca="false">IF($C$6&lt;12,IF(W$4&gt;PPAterm+1,0,IF(W$4=PPAterm+1,'Project Assumptions'!$I$27,W$6)),IF(W$4&lt;PPAterm+1,W$6,0))</f>
        <v>0</v>
      </c>
      <c r="X7" s="389" t="n">
        <f aca="false">IF($C$6&lt;12,IF(X$4&gt;PPAterm+1,0,IF(X$4=PPAterm+1,'Project Assumptions'!$I$27,X$6)),IF(X$4&lt;PPAterm+1,X$6,0))</f>
        <v>0</v>
      </c>
      <c r="Y7" s="1"/>
      <c r="Z7" s="1"/>
      <c r="AA7" s="1"/>
      <c r="AB7" s="1"/>
      <c r="AC7" s="1"/>
      <c r="AD7" s="1"/>
    </row>
    <row r="8" customFormat="false" ht="12.6" hidden="false" customHeight="true" outlineLevel="0" collapsed="false">
      <c r="A8" s="390" t="s">
        <v>358</v>
      </c>
      <c r="B8" s="385"/>
      <c r="C8" s="387" t="n">
        <f aca="false">C6-C7</f>
        <v>0</v>
      </c>
      <c r="D8" s="387" t="n">
        <f aca="false">D6-D7</f>
        <v>0</v>
      </c>
      <c r="E8" s="387" t="n">
        <f aca="false">E6-E7</f>
        <v>0</v>
      </c>
      <c r="F8" s="387" t="n">
        <f aca="false">F6-F7</f>
        <v>0</v>
      </c>
      <c r="G8" s="387" t="n">
        <f aca="false">G6-G7</f>
        <v>7</v>
      </c>
      <c r="H8" s="387" t="n">
        <f aca="false">H6-H7</f>
        <v>12</v>
      </c>
      <c r="I8" s="387" t="n">
        <f aca="false">I6-I7</f>
        <v>12</v>
      </c>
      <c r="J8" s="387" t="n">
        <f aca="false">J6-J7</f>
        <v>12</v>
      </c>
      <c r="K8" s="387" t="n">
        <f aca="false">K6-K7</f>
        <v>12</v>
      </c>
      <c r="L8" s="387" t="n">
        <f aca="false">L6-L7</f>
        <v>12</v>
      </c>
      <c r="M8" s="387" t="n">
        <f aca="false">M6-M7</f>
        <v>12</v>
      </c>
      <c r="N8" s="387" t="n">
        <f aca="false">N6-N7</f>
        <v>12</v>
      </c>
      <c r="O8" s="387" t="n">
        <f aca="false">O6-O7</f>
        <v>12</v>
      </c>
      <c r="P8" s="387" t="n">
        <f aca="false">P6-P7</f>
        <v>12</v>
      </c>
      <c r="Q8" s="387" t="n">
        <f aca="false">Q6-Q7</f>
        <v>12</v>
      </c>
      <c r="R8" s="387" t="n">
        <f aca="false">R6-R7</f>
        <v>12</v>
      </c>
      <c r="S8" s="387" t="n">
        <f aca="false">S6-S7</f>
        <v>12</v>
      </c>
      <c r="T8" s="387" t="n">
        <f aca="false">T6-T7</f>
        <v>12</v>
      </c>
      <c r="U8" s="387" t="n">
        <f aca="false">U6-U7</f>
        <v>12</v>
      </c>
      <c r="V8" s="387" t="n">
        <f aca="false">V6-V7</f>
        <v>12</v>
      </c>
      <c r="W8" s="388" t="n">
        <v>12</v>
      </c>
      <c r="X8" s="389" t="n">
        <f aca="false">X6-X7</f>
        <v>0</v>
      </c>
      <c r="Y8" s="391"/>
      <c r="Z8" s="391"/>
      <c r="AA8" s="391"/>
      <c r="AB8" s="1"/>
      <c r="AC8" s="1"/>
      <c r="AD8" s="1"/>
    </row>
    <row r="9" customFormat="false" ht="12.6" hidden="false" customHeight="true" outlineLevel="0" collapsed="false">
      <c r="A9" s="390" t="s">
        <v>359</v>
      </c>
      <c r="B9" s="385"/>
      <c r="C9" s="392" t="n">
        <f aca="false">IF(C6=0,0,PPACAPACITY/NetMW*(C7/C6))</f>
        <v>1</v>
      </c>
      <c r="D9" s="392" t="n">
        <f aca="false">IF(D6=0,0,PPACAPACITY/NetMW*(D7/D6))</f>
        <v>1</v>
      </c>
      <c r="E9" s="392" t="n">
        <f aca="false">IF(E6=0,0,PPACAPACITY/NetMW*(E7/E6))</f>
        <v>1</v>
      </c>
      <c r="F9" s="392" t="n">
        <f aca="false">IF(F6=0,0,PPACAPACITY/NetMW*(F7/F6))</f>
        <v>1</v>
      </c>
      <c r="G9" s="392" t="n">
        <f aca="false">IF(G6=0,0,PPACAPACITY/NetMW*(G7/G6))</f>
        <v>0.416666666666667</v>
      </c>
      <c r="H9" s="392" t="n">
        <f aca="false">IF(H6=0,0,PPACAPACITY/NetMW*(H7/H6))</f>
        <v>0</v>
      </c>
      <c r="I9" s="392" t="n">
        <f aca="false">IF(I6=0,0,PPACAPACITY/NetMW*(I7/I6))</f>
        <v>0</v>
      </c>
      <c r="J9" s="392" t="n">
        <f aca="false">IF(J6=0,0,PPACAPACITY/NetMW*(J7/J6))</f>
        <v>0</v>
      </c>
      <c r="K9" s="392" t="n">
        <f aca="false">IF(K6=0,0,PPACAPACITY/NetMW*(K7/K6))</f>
        <v>0</v>
      </c>
      <c r="L9" s="392" t="n">
        <f aca="false">IF(L6=0,0,PPACAPACITY/NetMW*(L7/L6))</f>
        <v>0</v>
      </c>
      <c r="M9" s="392" t="n">
        <f aca="false">IF(M6=0,0,PPACAPACITY/NetMW*(M7/M6))</f>
        <v>0</v>
      </c>
      <c r="N9" s="392" t="n">
        <f aca="false">IF(N6=0,0,PPACAPACITY/NetMW*(N7/N6))</f>
        <v>0</v>
      </c>
      <c r="O9" s="392" t="n">
        <f aca="false">IF(O6=0,0,PPACAPACITY/NetMW*(O7/O6))</f>
        <v>0</v>
      </c>
      <c r="P9" s="392" t="n">
        <f aca="false">IF(P6=0,0,PPACAPACITY/NetMW*(P7/P6))</f>
        <v>0</v>
      </c>
      <c r="Q9" s="392" t="n">
        <f aca="false">IF(Q6=0,0,PPACAPACITY/NetMW*(Q7/Q6))</f>
        <v>0</v>
      </c>
      <c r="R9" s="392" t="n">
        <f aca="false">IF(R6=0,0,PPACAPACITY/NetMW*(R7/R6))</f>
        <v>0</v>
      </c>
      <c r="S9" s="392" t="n">
        <f aca="false">IF(S6=0,0,PPACAPACITY/NetMW*(S7/S6))</f>
        <v>0</v>
      </c>
      <c r="T9" s="392" t="n">
        <f aca="false">IF(T6=0,0,PPACAPACITY/NetMW*(T7/T6))</f>
        <v>0</v>
      </c>
      <c r="U9" s="392" t="n">
        <f aca="false">IF(U6=0,0,PPACAPACITY/NetMW*(U7/U6))</f>
        <v>0</v>
      </c>
      <c r="V9" s="392" t="n">
        <f aca="false">IF(V6=0,0,PPACAPACITY/NetMW*(V7/V6))</f>
        <v>0</v>
      </c>
      <c r="W9" s="392" t="n">
        <f aca="false">IF(W6=0,0,PPACAPACITY/NetMW*(W7/W6))</f>
        <v>0</v>
      </c>
      <c r="X9" s="393" t="n">
        <f aca="false">IF(X6=0,0,PPACAPACITY/NetMW*(X7/X6))</f>
        <v>0</v>
      </c>
      <c r="Y9" s="391"/>
      <c r="Z9" s="391"/>
      <c r="AA9" s="391"/>
      <c r="AB9" s="1"/>
      <c r="AC9" s="1"/>
      <c r="AD9" s="1"/>
    </row>
    <row r="10" customFormat="false" ht="12.6" hidden="false" customHeight="true" outlineLevel="1" collapsed="false">
      <c r="A10" s="394" t="s">
        <v>360</v>
      </c>
      <c r="B10" s="395" t="s">
        <v>361</v>
      </c>
      <c r="C10" s="396" t="str">
        <f aca="false">IF(C6=0,"",IF(C8=0,"PPA",IF(C7=0,"MERCH.","BLENDED")))</f>
        <v>PPA</v>
      </c>
      <c r="D10" s="396" t="str">
        <f aca="false">IF(D6=0,"",IF(D8=0,"PPA",IF(D7=0,"MERCH.","BLENDED")))</f>
        <v>PPA</v>
      </c>
      <c r="E10" s="396" t="str">
        <f aca="false">IF(E6=0,"",IF(E8=0,"PPA",IF(E7=0,"MERCH.","BLENDED")))</f>
        <v>PPA</v>
      </c>
      <c r="F10" s="396" t="str">
        <f aca="false">IF(F6=0,"",IF(F8=0,"PPA",IF(F7=0,"MERCH.","BLENDED")))</f>
        <v>PPA</v>
      </c>
      <c r="G10" s="396" t="str">
        <f aca="false">IF(G6=0,"",IF(G8=0,"PPA",IF(G7=0,"MERCH.","BLENDED")))</f>
        <v>BLENDED</v>
      </c>
      <c r="H10" s="396" t="str">
        <f aca="false">IF(H6=0,"",IF(H8=0,"PPA",IF(H7=0,"MERCH.","BLENDED")))</f>
        <v>MERCH.</v>
      </c>
      <c r="I10" s="396" t="str">
        <f aca="false">IF(I6=0,"",IF(I8=0,"PPA",IF(I7=0,"MERCH.","BLENDED")))</f>
        <v>MERCH.</v>
      </c>
      <c r="J10" s="396" t="str">
        <f aca="false">IF(J6=0,"",IF(J8=0,"PPA",IF(J7=0,"MERCH.","BLENDED")))</f>
        <v>MERCH.</v>
      </c>
      <c r="K10" s="396" t="str">
        <f aca="false">IF(K6=0,"",IF(K8=0,"PPA",IF(K7=0,"MERCH.","BLENDED")))</f>
        <v>MERCH.</v>
      </c>
      <c r="L10" s="396" t="str">
        <f aca="false">IF(L6=0,"",IF(L8=0,"PPA",IF(L7=0,"MERCH.","BLENDED")))</f>
        <v>MERCH.</v>
      </c>
      <c r="M10" s="396" t="str">
        <f aca="false">IF(M6=0,"",IF(M8=0,"PPA",IF(M7=0,"MERCH.","BLENDED")))</f>
        <v>MERCH.</v>
      </c>
      <c r="N10" s="396" t="str">
        <f aca="false">IF(N6=0,"",IF(N8=0,"PPA",IF(N7=0,"MERCH.","BLENDED")))</f>
        <v>MERCH.</v>
      </c>
      <c r="O10" s="396" t="str">
        <f aca="false">IF(O6=0,"",IF(O8=0,"PPA",IF(O7=0,"MERCH.","BLENDED")))</f>
        <v>MERCH.</v>
      </c>
      <c r="P10" s="396" t="str">
        <f aca="false">IF(P6=0,"",IF(P8=0,"PPA",IF(P7=0,"MERCH.","BLENDED")))</f>
        <v>MERCH.</v>
      </c>
      <c r="Q10" s="396" t="str">
        <f aca="false">IF(Q6=0,"",IF(Q8=0,"PPA",IF(Q7=0,"MERCH.","BLENDED")))</f>
        <v>MERCH.</v>
      </c>
      <c r="R10" s="396" t="str">
        <f aca="false">IF(R6=0,"",IF(R8=0,"PPA",IF(R7=0,"MERCH.","BLENDED")))</f>
        <v>MERCH.</v>
      </c>
      <c r="S10" s="396" t="str">
        <f aca="false">IF(S6=0,"",IF(S8=0,"PPA",IF(S7=0,"MERCH.","BLENDED")))</f>
        <v>MERCH.</v>
      </c>
      <c r="T10" s="396" t="str">
        <f aca="false">IF(T6=0,"",IF(T8=0,"PPA",IF(T7=0,"MERCH.","BLENDED")))</f>
        <v>MERCH.</v>
      </c>
      <c r="U10" s="396" t="str">
        <f aca="false">IF(U6=0,"",IF(U8=0,"PPA",IF(U7=0,"MERCH.","BLENDED")))</f>
        <v>MERCH.</v>
      </c>
      <c r="V10" s="396" t="str">
        <f aca="false">IF(V6=0,"",IF(V8=0,"PPA",IF(V7=0,"MERCH.","BLENDED")))</f>
        <v>MERCH.</v>
      </c>
      <c r="W10" s="396" t="str">
        <f aca="false">IF(W6=0,"",IF(W8=0,"PPA",IF(W7=0,"MERCH.","BLENDED")))</f>
        <v>MERCH.</v>
      </c>
      <c r="X10" s="397" t="str">
        <f aca="false">IF(X6=0,"",IF(X8=0,"PPA",IF(X7=0,"MERCH.","BLENDED")))</f>
        <v/>
      </c>
      <c r="Y10" s="391"/>
      <c r="Z10" s="391"/>
      <c r="AA10" s="391"/>
      <c r="AB10" s="1"/>
      <c r="AC10" s="1"/>
      <c r="AD10" s="1"/>
    </row>
    <row r="11" customFormat="false" ht="12.6" hidden="false" customHeight="true" outlineLevel="1" collapsed="false">
      <c r="A11" s="398"/>
      <c r="B11" s="1"/>
      <c r="C11" s="383"/>
      <c r="D11" s="383"/>
      <c r="E11" s="399"/>
      <c r="F11" s="399"/>
      <c r="G11" s="399"/>
      <c r="H11" s="391"/>
      <c r="I11" s="391"/>
      <c r="J11" s="391"/>
      <c r="K11" s="391"/>
      <c r="L11" s="391"/>
      <c r="M11" s="391"/>
      <c r="N11" s="391"/>
      <c r="O11" s="391"/>
      <c r="P11" s="391"/>
      <c r="Q11" s="391"/>
      <c r="R11" s="391"/>
      <c r="S11" s="391"/>
      <c r="T11" s="391"/>
      <c r="U11" s="391"/>
      <c r="V11" s="391"/>
      <c r="W11" s="391"/>
      <c r="X11" s="391"/>
      <c r="Y11" s="391"/>
      <c r="Z11" s="391"/>
      <c r="AA11" s="391"/>
      <c r="AB11" s="1"/>
      <c r="AC11" s="1"/>
      <c r="AD11" s="1"/>
    </row>
    <row r="12" customFormat="false" ht="12.6" hidden="false" customHeight="true" outlineLevel="1" collapsed="false">
      <c r="A12" s="379" t="s">
        <v>362</v>
      </c>
      <c r="B12" s="380"/>
      <c r="C12" s="400" t="n">
        <f aca="false">IF('Project Assumptions'!$C$66="Yes",C25,C23)</f>
        <v>30.6124</v>
      </c>
      <c r="D12" s="400" t="n">
        <f aca="false">IF('Project Assumptions'!$C$66="Yes",D25,D23)</f>
        <v>30.6124</v>
      </c>
      <c r="E12" s="400" t="n">
        <f aca="false">IF('Project Assumptions'!$C$66="Yes",E25,E23)</f>
        <v>30.6124</v>
      </c>
      <c r="F12" s="400" t="n">
        <f aca="false">IF('Project Assumptions'!$C$66="Yes",F25,F23)</f>
        <v>30.6124</v>
      </c>
      <c r="G12" s="400" t="n">
        <f aca="false">IF('Project Assumptions'!$C$66="Yes",G25,G23)</f>
        <v>30.6124</v>
      </c>
      <c r="H12" s="400" t="n">
        <f aca="false">IF('Project Assumptions'!$C$66="Yes",H25,H23)</f>
        <v>30.6124</v>
      </c>
      <c r="I12" s="400" t="n">
        <f aca="false">IF('Project Assumptions'!$C$66="Yes",I25,I23)</f>
        <v>30.6124</v>
      </c>
      <c r="J12" s="400" t="n">
        <f aca="false">IF('Project Assumptions'!$C$66="Yes",J25,J23)</f>
        <v>30.6124</v>
      </c>
      <c r="K12" s="400" t="n">
        <f aca="false">IF('Project Assumptions'!$C$66="Yes",K25,K23)</f>
        <v>30.6124</v>
      </c>
      <c r="L12" s="400" t="n">
        <f aca="false">IF('Project Assumptions'!$C$66="Yes",L25,L23)</f>
        <v>30.6124</v>
      </c>
      <c r="M12" s="400" t="n">
        <f aca="false">IF('Project Assumptions'!$C$66="Yes",M25,M23)</f>
        <v>30.6124</v>
      </c>
      <c r="N12" s="400" t="n">
        <f aca="false">IF('Project Assumptions'!$C$66="Yes",N25,N23)</f>
        <v>30.6124</v>
      </c>
      <c r="O12" s="400" t="n">
        <f aca="false">IF('Project Assumptions'!$C$66="Yes",O25,O23)</f>
        <v>30.6124</v>
      </c>
      <c r="P12" s="400" t="n">
        <f aca="false">IF('Project Assumptions'!$C$66="Yes",P25,P23)</f>
        <v>30.6124</v>
      </c>
      <c r="Q12" s="400" t="n">
        <f aca="false">IF('Project Assumptions'!$C$66="Yes",Q25,Q23)</f>
        <v>30.6124</v>
      </c>
      <c r="R12" s="400" t="n">
        <f aca="false">IF('Project Assumptions'!$C$66="Yes",R25,R23)</f>
        <v>30.6124</v>
      </c>
      <c r="S12" s="400" t="n">
        <f aca="false">IF('Project Assumptions'!$C$66="Yes",S25,S23)</f>
        <v>30.6124</v>
      </c>
      <c r="T12" s="400" t="n">
        <f aca="false">IF('Project Assumptions'!$C$66="Yes",T25,T23)</f>
        <v>30.6124</v>
      </c>
      <c r="U12" s="400" t="n">
        <f aca="false">IF('Project Assumptions'!$C$66="Yes",U25,U23)</f>
        <v>30.6124</v>
      </c>
      <c r="V12" s="400" t="n">
        <f aca="false">IF('Project Assumptions'!$C$66="Yes",V25,V23)</f>
        <v>30.6124</v>
      </c>
      <c r="W12" s="400" t="n">
        <f aca="false">IF('Project Assumptions'!$C$66="Yes",W25,W23)</f>
        <v>30.6124</v>
      </c>
      <c r="X12" s="401" t="n">
        <f aca="false">IF('Project Assumptions'!$C$66="Yes",X25,X23)</f>
        <v>0</v>
      </c>
      <c r="Y12" s="391"/>
      <c r="Z12" s="391"/>
      <c r="AA12" s="391"/>
      <c r="AB12" s="1"/>
      <c r="AC12" s="1"/>
      <c r="AD12" s="1"/>
    </row>
    <row r="13" customFormat="false" ht="12.6" hidden="false" customHeight="true" outlineLevel="1" collapsed="false">
      <c r="A13" s="402" t="s">
        <v>363</v>
      </c>
      <c r="B13" s="385"/>
      <c r="C13" s="391" t="n">
        <f aca="false">IF(C7=0,0,PPA_Price)</f>
        <v>4</v>
      </c>
      <c r="D13" s="391" t="n">
        <f aca="false">IF(D7=0,0,PPA_Price)</f>
        <v>4</v>
      </c>
      <c r="E13" s="391" t="n">
        <f aca="false">IF(E7=0,0,PPA_Price)</f>
        <v>4</v>
      </c>
      <c r="F13" s="391" t="n">
        <f aca="false">IF(F7=0,0,PPA_Price)</f>
        <v>4</v>
      </c>
      <c r="G13" s="391" t="n">
        <f aca="false">IF(G7=0,0,PPA_Price)</f>
        <v>4</v>
      </c>
      <c r="H13" s="391" t="n">
        <f aca="false">IF(H7=0,0,PPA_Price)</f>
        <v>0</v>
      </c>
      <c r="I13" s="391" t="n">
        <f aca="false">IF(I7=0,0,PPA_Price)</f>
        <v>0</v>
      </c>
      <c r="J13" s="391" t="n">
        <f aca="false">IF(J7=0,0,PPA_Price)</f>
        <v>0</v>
      </c>
      <c r="K13" s="391" t="n">
        <f aca="false">IF(K7=0,0,PPA_Price)</f>
        <v>0</v>
      </c>
      <c r="L13" s="391" t="n">
        <f aca="false">IF(L7=0,0,PPA_Price)</f>
        <v>0</v>
      </c>
      <c r="M13" s="391" t="n">
        <f aca="false">IF(M7=0,0,PPA_Price)</f>
        <v>0</v>
      </c>
      <c r="N13" s="391" t="n">
        <f aca="false">IF(N7=0,0,PPA_Price)</f>
        <v>0</v>
      </c>
      <c r="O13" s="391" t="n">
        <f aca="false">IF(O7=0,0,PPA_Price)</f>
        <v>0</v>
      </c>
      <c r="P13" s="391" t="n">
        <f aca="false">IF(P7=0,0,PPA_Price)</f>
        <v>0</v>
      </c>
      <c r="Q13" s="391" t="n">
        <f aca="false">IF(Q7=0,0,PPA_Price)</f>
        <v>0</v>
      </c>
      <c r="R13" s="391" t="n">
        <f aca="false">IF(R7=0,0,PPA_Price)</f>
        <v>0</v>
      </c>
      <c r="S13" s="391" t="n">
        <f aca="false">IF(S7=0,0,PPA_Price)</f>
        <v>0</v>
      </c>
      <c r="T13" s="391" t="n">
        <f aca="false">IF(T7=0,0,PPA_Price)</f>
        <v>0</v>
      </c>
      <c r="U13" s="391" t="n">
        <f aca="false">IF(U7=0,0,PPA_Price)</f>
        <v>0</v>
      </c>
      <c r="V13" s="391" t="n">
        <f aca="false">IF(V7=0,0,PPA_Price)</f>
        <v>0</v>
      </c>
      <c r="W13" s="391" t="n">
        <f aca="false">IF(W7=0,0,PPA_Price)</f>
        <v>0</v>
      </c>
      <c r="X13" s="403" t="n">
        <f aca="false">IF(X7=0,0,PPA_Price)</f>
        <v>0</v>
      </c>
      <c r="Y13" s="391"/>
      <c r="Z13" s="391"/>
      <c r="AA13" s="391"/>
      <c r="AB13" s="1"/>
      <c r="AC13" s="1"/>
      <c r="AD13" s="1"/>
    </row>
    <row r="14" customFormat="false" ht="12.6" hidden="false" customHeight="true" outlineLevel="1" collapsed="false">
      <c r="A14" s="402"/>
      <c r="B14" s="385"/>
      <c r="C14" s="391" t="n">
        <f aca="false">IF(C8=0,0,CHOOSE('Project Assumptions'!$C$63,C63,C64,C65,C66))</f>
        <v>0</v>
      </c>
      <c r="D14" s="391" t="n">
        <f aca="false">IF(D8=0,0,CHOOSE('Project Assumptions'!$C$63,D63,D64,D65,D66))</f>
        <v>0</v>
      </c>
      <c r="E14" s="391" t="n">
        <f aca="false">IF(E8=0,0,CHOOSE('Project Assumptions'!$C$63,E63,E64,E65,E66))</f>
        <v>0</v>
      </c>
      <c r="F14" s="391" t="n">
        <f aca="false">IF(F8=0,0,CHOOSE('Project Assumptions'!$C$63,F63,F64,F65,F66))</f>
        <v>0</v>
      </c>
      <c r="G14" s="391" t="n">
        <f aca="false">IF(G8=0,0,CHOOSE('Project Assumptions'!$C$63,G63,G64,G65,G66))</f>
        <v>5.69976419864167</v>
      </c>
      <c r="H14" s="391" t="n">
        <f aca="false">IF(H8=0,0,CHOOSE('Project Assumptions'!$C$63,H63,H64,H65,H66))</f>
        <v>5.77125276655683</v>
      </c>
      <c r="I14" s="391" t="n">
        <f aca="false">IF(I8=0,0,CHOOSE('Project Assumptions'!$C$63,I63,I64,I65,I66))</f>
        <v>5.84190086076813</v>
      </c>
      <c r="J14" s="391" t="n">
        <f aca="false">IF(J8=0,0,CHOOSE('Project Assumptions'!$C$63,J63,J64,J65,J66))</f>
        <v>5.91159371314221</v>
      </c>
      <c r="K14" s="391" t="n">
        <f aca="false">IF(K8=0,0,CHOOSE('Project Assumptions'!$C$63,K63,K64,K65,K66))</f>
        <v>6.08894152453648</v>
      </c>
      <c r="L14" s="391" t="n">
        <f aca="false">IF(L8=0,0,CHOOSE('Project Assumptions'!$C$63,L63,L64,L65,L66))</f>
        <v>6.15961673866056</v>
      </c>
      <c r="M14" s="391" t="n">
        <f aca="false">IF(M8=0,0,CHOOSE('Project Assumptions'!$C$63,M63,M64,M65,M66))</f>
        <v>6.34440524082038</v>
      </c>
      <c r="N14" s="391" t="n">
        <f aca="false">IF(N8=0,0,CHOOSE('Project Assumptions'!$C$63,N63,N64,N65,N66))</f>
        <v>6.41592399080781</v>
      </c>
      <c r="O14" s="391" t="n">
        <f aca="false">IF(O8=0,0,CHOOSE('Project Assumptions'!$C$63,O63,O64,O65,O66))</f>
        <v>6.60840171053204</v>
      </c>
      <c r="P14" s="391" t="n">
        <f aca="false">IF(P8=0,0,CHOOSE('Project Assumptions'!$C$63,P63,P64,P65,P66))</f>
        <v>6.68060461811008</v>
      </c>
      <c r="Q14" s="391" t="n">
        <f aca="false">IF(Q8=0,0,CHOOSE('Project Assumptions'!$C$63,Q63,Q64,Q65,Q66))</f>
        <v>6.75119213860332</v>
      </c>
      <c r="R14" s="391" t="n">
        <f aca="false">IF(R8=0,0,CHOOSE('Project Assumptions'!$C$63,R63,R64,R65,R66))</f>
        <v>6.82000236616985</v>
      </c>
      <c r="S14" s="391" t="n">
        <f aca="false">IF(S8=0,0,CHOOSE('Project Assumptions'!$C$63,S63,S64,S65,S66))</f>
        <v>6.88686513446563</v>
      </c>
      <c r="T14" s="391" t="n">
        <f aca="false">IF(T8=0,0,CHOOSE('Project Assumptions'!$C$63,T63,T64,T65,T66))</f>
        <v>6.95160166672961</v>
      </c>
      <c r="U14" s="391" t="n">
        <f aca="false">IF(U8=0,0,CHOOSE('Project Assumptions'!$C$63,U63,U64,U65,U66))</f>
        <v>7.01402421230841</v>
      </c>
      <c r="V14" s="391" t="n">
        <f aca="false">IF(V8=0,0,CHOOSE('Project Assumptions'!$C$63,V63,V64,V65,V66))</f>
        <v>7.07393566912187</v>
      </c>
      <c r="W14" s="391" t="n">
        <f aca="false">IF(W8=0,0,CHOOSE('Project Assumptions'!$C$63,W63,W64,W65,W66))</f>
        <v>7.13112919155307</v>
      </c>
      <c r="X14" s="403" t="n">
        <f aca="false">IF(X8=0,0,CHOOSE('Project Assumptions'!$C$63,X63,X64,X65,X66))</f>
        <v>0</v>
      </c>
      <c r="Y14" s="391"/>
      <c r="Z14" s="391"/>
      <c r="AA14" s="391"/>
      <c r="AB14" s="1"/>
      <c r="AC14" s="1"/>
      <c r="AD14" s="1"/>
    </row>
    <row r="15" customFormat="false" ht="12.6" hidden="false" customHeight="true" outlineLevel="1" collapsed="false">
      <c r="A15" s="402" t="s">
        <v>364</v>
      </c>
      <c r="B15" s="404" t="n">
        <f aca="false">NPV(B16,C15:G15)</f>
        <v>3.604776202345</v>
      </c>
      <c r="C15" s="405" t="n">
        <v>1</v>
      </c>
      <c r="D15" s="406" t="n">
        <f aca="false">C15*(1+'Project Assumptions'!$I$31)</f>
        <v>1</v>
      </c>
      <c r="E15" s="406" t="n">
        <f aca="false">D15*(1+'Project Assumptions'!$I$31)</f>
        <v>1</v>
      </c>
      <c r="F15" s="406" t="n">
        <f aca="false">E15*(1+'Project Assumptions'!$I$31)</f>
        <v>1</v>
      </c>
      <c r="G15" s="406" t="n">
        <f aca="false">F15*(1+'Project Assumptions'!$I$31)</f>
        <v>1</v>
      </c>
      <c r="H15" s="406" t="n">
        <f aca="false">G15*(1+'Project Assumptions'!$I$31)</f>
        <v>1</v>
      </c>
      <c r="I15" s="406" t="n">
        <f aca="false">H15*(1+'Project Assumptions'!$I$31)</f>
        <v>1</v>
      </c>
      <c r="J15" s="406" t="n">
        <f aca="false">I15*(1+'Project Assumptions'!$I$31)</f>
        <v>1</v>
      </c>
      <c r="K15" s="406" t="n">
        <f aca="false">J15*(1+'Project Assumptions'!$I$31)</f>
        <v>1</v>
      </c>
      <c r="L15" s="406" t="n">
        <f aca="false">K15*(1+'Project Assumptions'!$I$31)</f>
        <v>1</v>
      </c>
      <c r="M15" s="406" t="n">
        <f aca="false">L15*(1+'Project Assumptions'!$I$31)</f>
        <v>1</v>
      </c>
      <c r="N15" s="406" t="n">
        <f aca="false">M15*(1+'Project Assumptions'!$I$31)</f>
        <v>1</v>
      </c>
      <c r="O15" s="406" t="n">
        <f aca="false">N15*(1+'Project Assumptions'!$I$31)</f>
        <v>1</v>
      </c>
      <c r="P15" s="406" t="n">
        <f aca="false">O15*(1+'Project Assumptions'!$I$31)</f>
        <v>1</v>
      </c>
      <c r="Q15" s="406" t="n">
        <f aca="false">P15*(1+'Project Assumptions'!$I$31)</f>
        <v>1</v>
      </c>
      <c r="R15" s="406" t="n">
        <f aca="false">Q15*(1+'Project Assumptions'!$I$31)</f>
        <v>1</v>
      </c>
      <c r="S15" s="406" t="n">
        <f aca="false">R15*(1+'Project Assumptions'!$I$31)</f>
        <v>1</v>
      </c>
      <c r="T15" s="406" t="n">
        <f aca="false">S15*(1+'Project Assumptions'!$I$31)</f>
        <v>1</v>
      </c>
      <c r="U15" s="406" t="n">
        <f aca="false">T15*(1+'Project Assumptions'!$I$31)</f>
        <v>1</v>
      </c>
      <c r="V15" s="406" t="n">
        <f aca="false">U15*(1+'Project Assumptions'!$I$31)</f>
        <v>1</v>
      </c>
      <c r="W15" s="406" t="n">
        <f aca="false">V15*(1+'Project Assumptions'!$I$31)</f>
        <v>1</v>
      </c>
      <c r="X15" s="407" t="n">
        <f aca="false">W15*(1+'Project Assumptions'!$I$31)</f>
        <v>1</v>
      </c>
      <c r="Y15" s="391"/>
      <c r="Z15" s="391"/>
      <c r="AA15" s="391"/>
      <c r="AB15" s="1"/>
      <c r="AC15" s="1"/>
      <c r="AD15" s="1"/>
    </row>
    <row r="16" customFormat="false" ht="12.6" hidden="false" customHeight="true" outlineLevel="1" collapsed="false">
      <c r="A16" s="402" t="s">
        <v>365</v>
      </c>
      <c r="B16" s="408" t="n">
        <v>0.12</v>
      </c>
      <c r="C16" s="409" t="n">
        <v>0</v>
      </c>
      <c r="D16" s="410" t="n">
        <f aca="false">+C16</f>
        <v>0</v>
      </c>
      <c r="E16" s="410" t="n">
        <f aca="false">+D16</f>
        <v>0</v>
      </c>
      <c r="F16" s="410" t="n">
        <f aca="false">+E16</f>
        <v>0</v>
      </c>
      <c r="G16" s="410" t="n">
        <f aca="false">+F16</f>
        <v>0</v>
      </c>
      <c r="H16" s="410" t="n">
        <f aca="false">+G16</f>
        <v>0</v>
      </c>
      <c r="I16" s="410" t="n">
        <f aca="false">+H16</f>
        <v>0</v>
      </c>
      <c r="J16" s="410" t="n">
        <f aca="false">+I16</f>
        <v>0</v>
      </c>
      <c r="K16" s="410" t="n">
        <f aca="false">+J16</f>
        <v>0</v>
      </c>
      <c r="L16" s="410" t="n">
        <f aca="false">+K16</f>
        <v>0</v>
      </c>
      <c r="M16" s="410" t="n">
        <f aca="false">+L16</f>
        <v>0</v>
      </c>
      <c r="N16" s="410" t="n">
        <f aca="false">+M16</f>
        <v>0</v>
      </c>
      <c r="O16" s="410" t="n">
        <f aca="false">+N16</f>
        <v>0</v>
      </c>
      <c r="P16" s="410" t="n">
        <f aca="false">+O16</f>
        <v>0</v>
      </c>
      <c r="Q16" s="410" t="n">
        <f aca="false">+P16</f>
        <v>0</v>
      </c>
      <c r="R16" s="410" t="n">
        <f aca="false">+Q16</f>
        <v>0</v>
      </c>
      <c r="S16" s="410" t="n">
        <f aca="false">+R16</f>
        <v>0</v>
      </c>
      <c r="T16" s="410" t="n">
        <f aca="false">+S16</f>
        <v>0</v>
      </c>
      <c r="U16" s="410" t="n">
        <f aca="false">+T16</f>
        <v>0</v>
      </c>
      <c r="V16" s="410" t="n">
        <f aca="false">+U16</f>
        <v>0</v>
      </c>
      <c r="W16" s="410" t="n">
        <f aca="false">+V16</f>
        <v>0</v>
      </c>
      <c r="X16" s="411" t="n">
        <f aca="false">+W16</f>
        <v>0</v>
      </c>
      <c r="Y16" s="391"/>
      <c r="Z16" s="391"/>
      <c r="AA16" s="391"/>
      <c r="AB16" s="1"/>
      <c r="AC16" s="1"/>
      <c r="AD16" s="1"/>
    </row>
    <row r="17" customFormat="false" ht="12.6" hidden="false" customHeight="true" outlineLevel="0" collapsed="false">
      <c r="A17" s="402" t="s">
        <v>366</v>
      </c>
      <c r="B17" s="385"/>
      <c r="C17" s="409" t="n">
        <v>0</v>
      </c>
      <c r="D17" s="410" t="n">
        <f aca="false">+C17</f>
        <v>0</v>
      </c>
      <c r="E17" s="410" t="n">
        <f aca="false">+D17</f>
        <v>0</v>
      </c>
      <c r="F17" s="410" t="n">
        <f aca="false">+E17</f>
        <v>0</v>
      </c>
      <c r="G17" s="410" t="n">
        <f aca="false">+F17</f>
        <v>0</v>
      </c>
      <c r="H17" s="410" t="n">
        <f aca="false">+G17</f>
        <v>0</v>
      </c>
      <c r="I17" s="410" t="n">
        <f aca="false">+H17</f>
        <v>0</v>
      </c>
      <c r="J17" s="410" t="n">
        <f aca="false">+I17</f>
        <v>0</v>
      </c>
      <c r="K17" s="410" t="n">
        <f aca="false">+J17</f>
        <v>0</v>
      </c>
      <c r="L17" s="410" t="n">
        <f aca="false">+K17</f>
        <v>0</v>
      </c>
      <c r="M17" s="410" t="n">
        <f aca="false">+L17</f>
        <v>0</v>
      </c>
      <c r="N17" s="410" t="n">
        <f aca="false">+M17</f>
        <v>0</v>
      </c>
      <c r="O17" s="410" t="n">
        <f aca="false">+N17</f>
        <v>0</v>
      </c>
      <c r="P17" s="410" t="n">
        <f aca="false">+O17</f>
        <v>0</v>
      </c>
      <c r="Q17" s="410" t="n">
        <f aca="false">+P17</f>
        <v>0</v>
      </c>
      <c r="R17" s="410" t="n">
        <f aca="false">+Q17</f>
        <v>0</v>
      </c>
      <c r="S17" s="410" t="n">
        <f aca="false">+R17</f>
        <v>0</v>
      </c>
      <c r="T17" s="410" t="n">
        <f aca="false">+S17</f>
        <v>0</v>
      </c>
      <c r="U17" s="410" t="n">
        <f aca="false">+T17</f>
        <v>0</v>
      </c>
      <c r="V17" s="410" t="n">
        <f aca="false">+U17</f>
        <v>0</v>
      </c>
      <c r="W17" s="410" t="n">
        <f aca="false">+V17</f>
        <v>0</v>
      </c>
      <c r="X17" s="411" t="n">
        <f aca="false">+W17</f>
        <v>0</v>
      </c>
      <c r="Y17" s="391"/>
      <c r="Z17" s="391"/>
      <c r="AA17" s="391"/>
      <c r="AB17" s="1"/>
      <c r="AC17" s="1"/>
      <c r="AD17" s="1"/>
    </row>
    <row r="18" customFormat="false" ht="12.6" hidden="false" customHeight="true" outlineLevel="0" collapsed="false">
      <c r="A18" s="402"/>
      <c r="B18" s="385"/>
      <c r="C18" s="409"/>
      <c r="D18" s="410"/>
      <c r="E18" s="391"/>
      <c r="F18" s="391"/>
      <c r="G18" s="391"/>
      <c r="H18" s="391"/>
      <c r="I18" s="391"/>
      <c r="J18" s="391"/>
      <c r="K18" s="391"/>
      <c r="L18" s="391"/>
      <c r="M18" s="391"/>
      <c r="N18" s="391"/>
      <c r="O18" s="391"/>
      <c r="P18" s="391"/>
      <c r="Q18" s="391"/>
      <c r="R18" s="391"/>
      <c r="S18" s="391"/>
      <c r="T18" s="391"/>
      <c r="U18" s="391"/>
      <c r="V18" s="391"/>
      <c r="W18" s="391"/>
      <c r="X18" s="403"/>
      <c r="Y18" s="391"/>
      <c r="Z18" s="391"/>
      <c r="AA18" s="391"/>
      <c r="AB18" s="1"/>
      <c r="AC18" s="1"/>
      <c r="AD18" s="1"/>
    </row>
    <row r="19" customFormat="false" ht="12.6" hidden="false" customHeight="true" outlineLevel="1" collapsed="false">
      <c r="A19" s="412"/>
      <c r="B19" s="385"/>
      <c r="C19" s="391"/>
      <c r="D19" s="391"/>
      <c r="E19" s="391"/>
      <c r="F19" s="391"/>
      <c r="G19" s="391"/>
      <c r="H19" s="391"/>
      <c r="I19" s="391"/>
      <c r="J19" s="391"/>
      <c r="K19" s="391"/>
      <c r="L19" s="413"/>
      <c r="M19" s="413"/>
      <c r="N19" s="413"/>
      <c r="O19" s="413"/>
      <c r="P19" s="413"/>
      <c r="Q19" s="413"/>
      <c r="R19" s="413"/>
      <c r="S19" s="413"/>
      <c r="T19" s="413"/>
      <c r="U19" s="413"/>
      <c r="V19" s="413"/>
      <c r="W19" s="413"/>
      <c r="X19" s="414"/>
      <c r="Y19" s="413"/>
      <c r="Z19" s="413"/>
      <c r="AA19" s="413"/>
      <c r="AB19" s="1"/>
      <c r="AC19" s="1"/>
      <c r="AD19" s="1"/>
    </row>
    <row r="20" customFormat="false" ht="15.75" hidden="false" customHeight="false" outlineLevel="0" collapsed="false">
      <c r="A20" s="415" t="s">
        <v>367</v>
      </c>
      <c r="B20" s="385"/>
      <c r="C20" s="385"/>
      <c r="D20" s="385"/>
      <c r="E20" s="385"/>
      <c r="F20" s="385"/>
      <c r="G20" s="385"/>
      <c r="H20" s="385"/>
      <c r="I20" s="385"/>
      <c r="J20" s="385"/>
      <c r="K20" s="385"/>
      <c r="L20" s="385"/>
      <c r="M20" s="385"/>
      <c r="N20" s="385"/>
      <c r="O20" s="385"/>
      <c r="P20" s="385"/>
      <c r="Q20" s="385"/>
      <c r="R20" s="385"/>
      <c r="S20" s="385"/>
      <c r="T20" s="385"/>
      <c r="U20" s="385"/>
      <c r="V20" s="385"/>
      <c r="W20" s="385"/>
      <c r="X20" s="416"/>
      <c r="Y20" s="385"/>
      <c r="Z20" s="385"/>
      <c r="AA20" s="385"/>
      <c r="AB20" s="385"/>
      <c r="AC20" s="385"/>
      <c r="AD20" s="385"/>
    </row>
    <row r="21" customFormat="false" ht="12.6" hidden="false" customHeight="true" outlineLevel="0" collapsed="false">
      <c r="A21" s="417" t="s">
        <v>368</v>
      </c>
      <c r="B21" s="418"/>
      <c r="C21" s="419" t="n">
        <f aca="false">IF(C4&gt;ProjectLife,0,('Book Income Statement'!D17/Operations!C31*1000))</f>
        <v>50.7130787330317</v>
      </c>
      <c r="D21" s="419" t="n">
        <f aca="false">IF(D4&gt;ProjectLife,0,('Book Income Statement'!E17/Operations!D31*1000))</f>
        <v>74.0985687095163</v>
      </c>
      <c r="E21" s="419" t="n">
        <f aca="false">IF(E4&gt;ProjectLife,0,('Book Income Statement'!F17/Operations!E31*1000))</f>
        <v>74.1669608720226</v>
      </c>
      <c r="F21" s="419" t="n">
        <f aca="false">IF(F4&gt;ProjectLife,0,('Book Income Statement'!G17/Operations!F31*1000))</f>
        <v>74.2735976981833</v>
      </c>
      <c r="G21" s="419" t="n">
        <f aca="false">IF(G4&gt;ProjectLife,0,('Book Income Statement'!H17/Operations!G31*1000))</f>
        <v>82.5274556731773</v>
      </c>
      <c r="H21" s="419" t="n">
        <f aca="false">IF(H4&gt;ProjectLife,0,('Book Income Statement'!I17/Operations!H31*1000))</f>
        <v>89.1029585035944</v>
      </c>
      <c r="I21" s="419" t="n">
        <f aca="false">IF(I4&gt;ProjectLife,0,('Book Income Statement'!J17/Operations!I31*1000))</f>
        <v>89.8526782686053</v>
      </c>
      <c r="J21" s="419" t="n">
        <f aca="false">IF(J4&gt;ProjectLife,0,('Book Income Statement'!K17/Operations!J31*1000))</f>
        <v>90.5947577168636</v>
      </c>
      <c r="K21" s="419" t="n">
        <f aca="false">IF(K4&gt;ProjectLife,0,('Book Income Statement'!L17/Operations!K31*1000))</f>
        <v>92.3936284483695</v>
      </c>
      <c r="L21" s="419" t="n">
        <f aca="false">IF(L4&gt;ProjectLife,0,('Book Income Statement'!M17/Operations!L31*1000))</f>
        <v>93.1489335920229</v>
      </c>
      <c r="M21" s="419" t="n">
        <f aca="false">IF(M4&gt;ProjectLife,0,('Book Income Statement'!N17/Operations!M31*1000))</f>
        <v>95.0244295997836</v>
      </c>
      <c r="N21" s="419" t="n">
        <f aca="false">IF(N4&gt;ProjectLife,0,('Book Income Statement'!O17/Operations!N31*1000))</f>
        <v>95.7918190968527</v>
      </c>
      <c r="O21" s="419" t="n">
        <f aca="false">IF(O4&gt;ProjectLife,0,('Book Income Statement'!P17/Operations!O31*1000))</f>
        <v>97.7466016697583</v>
      </c>
      <c r="P21" s="419" t="n">
        <f aca="false">IF(P4&gt;ProjectLife,0,('Book Income Statement'!Q17/Operations!P31*1000))</f>
        <v>98.5247461112193</v>
      </c>
      <c r="Q21" s="419" t="n">
        <f aca="false">IF(Q4&gt;ProjectLife,0,('Book Income Statement'!R17/Operations!Q31*1000))</f>
        <v>99.2891764376653</v>
      </c>
      <c r="R21" s="419" t="n">
        <f aca="false">IF(R4&gt;ProjectLife,0,('Book Income Statement'!S17/Operations!R31*1000))</f>
        <v>100.038369472198</v>
      </c>
      <c r="S21" s="419" t="n">
        <f aca="false">IF(S4&gt;ProjectLife,0,('Book Income Statement'!T17/Operations!S31*1000))</f>
        <v>100.770722990009</v>
      </c>
      <c r="T21" s="419" t="n">
        <f aca="false">IF(T4&gt;ProjectLife,0,('Book Income Statement'!U17/Operations!T31*1000))</f>
        <v>101.484552346363</v>
      </c>
      <c r="U21" s="419" t="n">
        <f aca="false">IF(U4&gt;ProjectLife,0,('Book Income Statement'!V17/Operations!U31*1000))</f>
        <v>102.178086973408</v>
      </c>
      <c r="V21" s="419" t="n">
        <f aca="false">IF(V4&gt;ProjectLife,0,('Book Income Statement'!W17/Operations!V31*1000))</f>
        <v>102.849466740963</v>
      </c>
      <c r="W21" s="419" t="n">
        <f aca="false">IF(W4&gt;ProjectLife+1,0,('Book Income Statement'!X17/Operations!W31*1000))</f>
        <v>103.496738176296</v>
      </c>
      <c r="X21" s="420" t="n">
        <f aca="false">IF(X4&gt;ProjectLife,0,('Book Income Statement'!Y17/Operations!X31*1000))</f>
        <v>0</v>
      </c>
      <c r="Y21" s="419"/>
      <c r="Z21" s="419"/>
      <c r="AA21" s="419"/>
      <c r="AB21" s="418"/>
      <c r="AC21" s="418"/>
      <c r="AD21" s="418"/>
    </row>
    <row r="22" customFormat="false" ht="12.6" hidden="false" customHeight="true" outlineLevel="0" collapsed="false">
      <c r="A22" s="421"/>
      <c r="B22" s="418"/>
      <c r="C22" s="419"/>
      <c r="D22" s="419"/>
      <c r="E22" s="419"/>
      <c r="F22" s="419"/>
      <c r="G22" s="419"/>
      <c r="H22" s="419"/>
      <c r="I22" s="419"/>
      <c r="J22" s="419"/>
      <c r="K22" s="419"/>
      <c r="L22" s="419"/>
      <c r="M22" s="419"/>
      <c r="N22" s="419"/>
      <c r="O22" s="419"/>
      <c r="P22" s="419"/>
      <c r="Q22" s="419"/>
      <c r="R22" s="419"/>
      <c r="S22" s="419"/>
      <c r="T22" s="419"/>
      <c r="U22" s="419"/>
      <c r="V22" s="419"/>
      <c r="W22" s="419"/>
      <c r="X22" s="420"/>
      <c r="Y22" s="419"/>
      <c r="Z22" s="419"/>
      <c r="AA22" s="419"/>
      <c r="AB22" s="418"/>
      <c r="AC22" s="418"/>
      <c r="AD22" s="418"/>
    </row>
    <row r="23" customFormat="false" ht="12.6" hidden="false" customHeight="true" outlineLevel="0" collapsed="false">
      <c r="A23" s="417" t="s">
        <v>369</v>
      </c>
      <c r="B23" s="418"/>
      <c r="C23" s="422" t="n">
        <f aca="false">IF(C4&gt;ProjectLife+1,0,IF(Operations!C31=0,0,(Operations!C34*Operations!C44)/Operations!C31*1000))</f>
        <v>30.6124</v>
      </c>
      <c r="D23" s="422" t="n">
        <f aca="false">IF(D4&gt;ProjectLife+1,0,IF(Operations!D31=0,0,(Operations!D34*Operations!D44)/Operations!D31*1000))</f>
        <v>30.6124</v>
      </c>
      <c r="E23" s="422" t="n">
        <f aca="false">IF(E4&gt;ProjectLife+1,0,IF(Operations!E31=0,0,(Operations!E34*Operations!E44)/Operations!E31*1000))</f>
        <v>30.6124</v>
      </c>
      <c r="F23" s="422" t="n">
        <f aca="false">IF(F4&gt;ProjectLife+1,0,IF(Operations!F31=0,0,(Operations!F34*Operations!F44)/Operations!F31*1000))</f>
        <v>30.6124</v>
      </c>
      <c r="G23" s="422" t="n">
        <f aca="false">IF(G4&gt;ProjectLife+1,0,IF(Operations!G31=0,0,(Operations!G34*Operations!G44)/Operations!G31*1000))</f>
        <v>30.6124</v>
      </c>
      <c r="H23" s="422" t="n">
        <f aca="false">IF(H4&gt;ProjectLife+1,0,IF(Operations!H31=0,0,(Operations!H34*Operations!H44)/Operations!H31*1000))</f>
        <v>30.6124</v>
      </c>
      <c r="I23" s="422" t="n">
        <f aca="false">IF(I4&gt;ProjectLife+1,0,IF(Operations!I31=0,0,(Operations!I34*Operations!I44)/Operations!I31*1000))</f>
        <v>30.6124</v>
      </c>
      <c r="J23" s="422" t="n">
        <f aca="false">IF(J4&gt;ProjectLife+1,0,IF(Operations!J31=0,0,(Operations!J34*Operations!J44)/Operations!J31*1000))</f>
        <v>30.6124</v>
      </c>
      <c r="K23" s="422" t="n">
        <f aca="false">IF(K4&gt;ProjectLife+1,0,IF(Operations!K31=0,0,(Operations!K34*Operations!K44)/Operations!K31*1000))</f>
        <v>30.6124</v>
      </c>
      <c r="L23" s="422" t="n">
        <f aca="false">IF(L4&gt;ProjectLife+1,0,IF(Operations!L31=0,0,(Operations!L34*Operations!L44)/Operations!L31*1000))</f>
        <v>30.6124</v>
      </c>
      <c r="M23" s="422" t="n">
        <f aca="false">IF(M4&gt;ProjectLife+1,0,IF(Operations!M31=0,0,(Operations!M34*Operations!M44)/Operations!M31*1000))</f>
        <v>30.6124</v>
      </c>
      <c r="N23" s="422" t="n">
        <f aca="false">IF(N4&gt;ProjectLife+1,0,IF(Operations!N31=0,0,(Operations!N34*Operations!N44)/Operations!N31*1000))</f>
        <v>30.6124</v>
      </c>
      <c r="O23" s="422" t="n">
        <f aca="false">IF(O4&gt;ProjectLife+1,0,IF(Operations!O31=0,0,(Operations!O34*Operations!O44)/Operations!O31*1000))</f>
        <v>30.6124</v>
      </c>
      <c r="P23" s="422" t="n">
        <f aca="false">IF(P4&gt;ProjectLife+1,0,IF(Operations!P31=0,0,(Operations!P34*Operations!P44)/Operations!P31*1000))</f>
        <v>30.6124</v>
      </c>
      <c r="Q23" s="422" t="n">
        <f aca="false">IF(Q4&gt;ProjectLife+1,0,IF(Operations!Q31=0,0,(Operations!Q34*Operations!Q44)/Operations!Q31*1000))</f>
        <v>30.6124</v>
      </c>
      <c r="R23" s="422" t="n">
        <f aca="false">IF(R4&gt;ProjectLife+1,0,IF(Operations!R31=0,0,(Operations!R34*Operations!R44)/Operations!R31*1000))</f>
        <v>30.6124</v>
      </c>
      <c r="S23" s="422" t="n">
        <f aca="false">IF(S4&gt;ProjectLife+1,0,IF(Operations!S31=0,0,(Operations!S34*Operations!S44)/Operations!S31*1000))</f>
        <v>30.6124</v>
      </c>
      <c r="T23" s="422" t="n">
        <f aca="false">IF(T4&gt;ProjectLife+1,0,IF(Operations!T31=0,0,(Operations!T34*Operations!T44)/Operations!T31*1000))</f>
        <v>30.6124</v>
      </c>
      <c r="U23" s="422" t="n">
        <f aca="false">IF(U4&gt;ProjectLife+1,0,IF(Operations!U31=0,0,(Operations!U34*Operations!U44)/Operations!U31*1000))</f>
        <v>30.6124</v>
      </c>
      <c r="V23" s="422" t="n">
        <f aca="false">IF(V4&gt;ProjectLife+1,0,IF(Operations!V31=0,0,(Operations!V34*Operations!V44)/Operations!V31*1000))</f>
        <v>30.6124</v>
      </c>
      <c r="W23" s="422" t="n">
        <f aca="false">IF(W4&gt;ProjectLife+1,0,IF(Operations!W31=0,0,(Operations!W34*Operations!W44)/Operations!W31*1000))</f>
        <v>30.6124</v>
      </c>
      <c r="X23" s="423" t="n">
        <f aca="false">IF(X4&gt;ProjectLife+1,0,IF(Operations!X31=0,0,(Operations!X34*Operations!X44)/Operations!X31*1000))</f>
        <v>0</v>
      </c>
      <c r="Y23" s="422"/>
      <c r="Z23" s="422"/>
      <c r="AA23" s="422"/>
      <c r="AB23" s="418"/>
      <c r="AC23" s="418"/>
      <c r="AD23" s="418"/>
    </row>
    <row r="24" customFormat="false" ht="12.6" hidden="false" customHeight="true" outlineLevel="0" collapsed="false">
      <c r="A24" s="417" t="s">
        <v>370</v>
      </c>
      <c r="B24" s="418"/>
      <c r="C24" s="424" t="n">
        <f aca="false">IF(C4&gt;ProjectLife+1,0,IF(Operations!C31=0,0,VEP*((1+VEP_ESCAL)^('PPA Assumptions &amp; Summary'!C5-'Project Assumptions'!$N$6))))</f>
        <v>0.890120663650076</v>
      </c>
      <c r="D24" s="424" t="n">
        <f aca="false">IF(D4&gt;ProjectLife+1,0,IF(Operations!D31=0,0,VEP*((1+VEP_ESCAL)^('PPA Assumptions &amp; Summary'!D5-'Project Assumptions'!$N$6))))</f>
        <v>0.916824283559578</v>
      </c>
      <c r="E24" s="424" t="n">
        <f aca="false">IF(E4&gt;ProjectLife+1,0,IF(Operations!E31=0,0,VEP*((1+VEP_ESCAL)^('PPA Assumptions &amp; Summary'!E5-'Project Assumptions'!$N$6))))</f>
        <v>0.944329012066365</v>
      </c>
      <c r="F24" s="424" t="n">
        <f aca="false">IF(F4&gt;ProjectLife+1,0,IF(Operations!F31=0,0,VEP*((1+VEP_ESCAL)^('PPA Assumptions &amp; Summary'!F5-'Project Assumptions'!$N$6))))</f>
        <v>0.972658882428356</v>
      </c>
      <c r="G24" s="424" t="n">
        <f aca="false">IF(G4&gt;ProjectLife+1,0,IF(Operations!G31=0,0,VEP*((1+VEP_ESCAL)^('PPA Assumptions &amp; Summary'!G5-'Project Assumptions'!$N$6))))</f>
        <v>1.00183864890121</v>
      </c>
      <c r="H24" s="424" t="n">
        <f aca="false">IF(H4&gt;ProjectLife+1,0,IF(Operations!H31=0,0,VEP*((1+VEP_ESCAL)^('PPA Assumptions &amp; Summary'!H5-'Project Assumptions'!$N$6))))</f>
        <v>1.03189380836824</v>
      </c>
      <c r="I24" s="424" t="n">
        <f aca="false">IF(I4&gt;ProjectLife+1,0,IF(Operations!I31=0,0,VEP*((1+VEP_ESCAL)^('PPA Assumptions &amp; Summary'!I5-'Project Assumptions'!$N$6))))</f>
        <v>1.06285062261929</v>
      </c>
      <c r="J24" s="424" t="n">
        <f aca="false">IF(J4&gt;ProjectLife+1,0,IF(Operations!J31=0,0,VEP*((1+VEP_ESCAL)^('PPA Assumptions &amp; Summary'!J5-'Project Assumptions'!$N$6))))</f>
        <v>1.09473614129787</v>
      </c>
      <c r="K24" s="424" t="n">
        <f aca="false">IF(K4&gt;ProjectLife+1,0,IF(Operations!K31=0,0,VEP*((1+VEP_ESCAL)^('PPA Assumptions &amp; Summary'!K5-'Project Assumptions'!$N$6))))</f>
        <v>1.12757822553681</v>
      </c>
      <c r="L24" s="424" t="n">
        <f aca="false">IF(L4&gt;ProjectLife+1,0,IF(Operations!L31=0,0,VEP*((1+VEP_ESCAL)^('PPA Assumptions &amp; Summary'!L5-'Project Assumptions'!$N$6))))</f>
        <v>1.16140557230291</v>
      </c>
      <c r="M24" s="424" t="n">
        <f aca="false">IF(M4&gt;ProjectLife+1,0,IF(Operations!M31=0,0,VEP*((1+VEP_ESCAL)^('PPA Assumptions &amp; Summary'!M5-'Project Assumptions'!$N$6))))</f>
        <v>1.196247739472</v>
      </c>
      <c r="N24" s="424" t="n">
        <f aca="false">IF(N4&gt;ProjectLife+1,0,IF(Operations!N31=0,0,VEP*((1+VEP_ESCAL)^('PPA Assumptions &amp; Summary'!N5-'Project Assumptions'!$N$6))))</f>
        <v>1.23213517165616</v>
      </c>
      <c r="O24" s="424" t="n">
        <f aca="false">IF(O4&gt;ProjectLife+1,0,IF(Operations!O31=0,0,VEP*((1+VEP_ESCAL)^('PPA Assumptions &amp; Summary'!O5-'Project Assumptions'!$N$6))))</f>
        <v>1.26909922680584</v>
      </c>
      <c r="P24" s="424" t="n">
        <f aca="false">IF(P4&gt;ProjectLife+1,0,IF(Operations!P31=0,0,VEP*((1+VEP_ESCAL)^('PPA Assumptions &amp; Summary'!P5-'Project Assumptions'!$N$6))))</f>
        <v>1.30717220361002</v>
      </c>
      <c r="Q24" s="424" t="n">
        <f aca="false">IF(Q4&gt;ProjectLife+1,0,IF(Operations!Q31=0,0,VEP*((1+VEP_ESCAL)^('PPA Assumptions &amp; Summary'!Q5-'Project Assumptions'!$N$6))))</f>
        <v>1.34638736971832</v>
      </c>
      <c r="R24" s="424" t="n">
        <f aca="false">IF(R4&gt;ProjectLife+1,0,IF(Operations!R31=0,0,VEP*((1+VEP_ESCAL)^('PPA Assumptions &amp; Summary'!R5-'Project Assumptions'!$N$6))))</f>
        <v>1.38677899080987</v>
      </c>
      <c r="S24" s="424" t="n">
        <f aca="false">IF(S4&gt;ProjectLife+1,0,IF(Operations!S31=0,0,VEP*((1+VEP_ESCAL)^('PPA Assumptions &amp; Summary'!S5-'Project Assumptions'!$N$6))))</f>
        <v>1.42838236053416</v>
      </c>
      <c r="T24" s="424" t="n">
        <f aca="false">IF(T4&gt;ProjectLife+1,0,IF(Operations!T31=0,0,VEP*((1+VEP_ESCAL)^('PPA Assumptions &amp; Summary'!T5-'Project Assumptions'!$N$6))))</f>
        <v>1.47123383135019</v>
      </c>
      <c r="U24" s="424" t="n">
        <f aca="false">IF(U4&gt;ProjectLife+1,0,IF(Operations!U31=0,0,VEP*((1+VEP_ESCAL)^('PPA Assumptions &amp; Summary'!U5-'Project Assumptions'!$N$6))))</f>
        <v>1.51537084629069</v>
      </c>
      <c r="V24" s="424" t="n">
        <f aca="false">IF(V4&gt;ProjectLife+1,0,IF(Operations!V31=0,0,VEP*((1+VEP_ESCAL)^('PPA Assumptions &amp; Summary'!V5-'Project Assumptions'!$N$6))))</f>
        <v>1.56083197167941</v>
      </c>
      <c r="W24" s="424" t="n">
        <f aca="false">IF(W4&gt;ProjectLife+1,0,IF(Operations!W31=0,0,VEP*((1+VEP_ESCAL)^('PPA Assumptions &amp; Summary'!W5-'Project Assumptions'!$N$6))))</f>
        <v>1.6076569308298</v>
      </c>
      <c r="X24" s="425" t="n">
        <f aca="false">IF(X4&gt;ProjectLife+1,0,IF(Operations!X31=0,0,VEP*((1+VEP_ESCAL)^('PPA Assumptions &amp; Summary'!X5-'Project Assumptions'!$N$6))))</f>
        <v>0</v>
      </c>
      <c r="Y24" s="424"/>
      <c r="Z24" s="424"/>
      <c r="AA24" s="424"/>
      <c r="AB24" s="418"/>
      <c r="AC24" s="418"/>
      <c r="AD24" s="418"/>
    </row>
    <row r="25" customFormat="false" ht="12.6" hidden="false" customHeight="true" outlineLevel="0" collapsed="false">
      <c r="A25" s="426" t="s">
        <v>371</v>
      </c>
      <c r="B25" s="427"/>
      <c r="C25" s="428" t="n">
        <f aca="false">IF(C4&gt;ProjectLife,0,SUM(C23:C24))</f>
        <v>31.5025206636501</v>
      </c>
      <c r="D25" s="428" t="n">
        <f aca="false">IF(D4&gt;ProjectLife,0,SUM(D23:D24))</f>
        <v>31.5292242835596</v>
      </c>
      <c r="E25" s="428" t="n">
        <f aca="false">IF(E4&gt;ProjectLife,0,SUM(E23:E24))</f>
        <v>31.5567290120664</v>
      </c>
      <c r="F25" s="428" t="n">
        <f aca="false">IF(F4&gt;ProjectLife,0,SUM(F23:F24))</f>
        <v>31.5850588824284</v>
      </c>
      <c r="G25" s="428" t="n">
        <f aca="false">IF(G4&gt;ProjectLife,0,SUM(G23:G24))</f>
        <v>31.6142386489012</v>
      </c>
      <c r="H25" s="428" t="n">
        <f aca="false">IF(H4&gt;ProjectLife,0,SUM(H23:H24))</f>
        <v>31.6442938083682</v>
      </c>
      <c r="I25" s="428" t="n">
        <f aca="false">IF(I4&gt;ProjectLife,0,SUM(I23:I24))</f>
        <v>31.6752506226193</v>
      </c>
      <c r="J25" s="428" t="n">
        <f aca="false">IF(J4&gt;ProjectLife,0,SUM(J23:J24))</f>
        <v>31.7071361412979</v>
      </c>
      <c r="K25" s="428" t="n">
        <f aca="false">IF(K4&gt;ProjectLife,0,SUM(K23:K24))</f>
        <v>31.7399782255368</v>
      </c>
      <c r="L25" s="428" t="n">
        <f aca="false">IF(L4&gt;ProjectLife,0,SUM(L23:L24))</f>
        <v>31.7738055723029</v>
      </c>
      <c r="M25" s="428" t="n">
        <f aca="false">IF(M4&gt;ProjectLife,0,SUM(M23:M24))</f>
        <v>31.808647739472</v>
      </c>
      <c r="N25" s="428" t="n">
        <f aca="false">IF(N4&gt;ProjectLife,0,SUM(N23:N24))</f>
        <v>31.8445351716561</v>
      </c>
      <c r="O25" s="428" t="n">
        <f aca="false">IF(O4&gt;ProjectLife,0,SUM(O23:O24))</f>
        <v>31.8814992268058</v>
      </c>
      <c r="P25" s="428" t="n">
        <f aca="false">IF(P4&gt;ProjectLife,0,SUM(P23:P24))</f>
        <v>31.91957220361</v>
      </c>
      <c r="Q25" s="428" t="n">
        <f aca="false">IF(Q4&gt;ProjectLife,0,SUM(Q23:Q24))</f>
        <v>31.9587873697183</v>
      </c>
      <c r="R25" s="428" t="n">
        <f aca="false">IF(R4&gt;ProjectLife,0,SUM(R23:R24))</f>
        <v>31.9991789908099</v>
      </c>
      <c r="S25" s="428" t="n">
        <f aca="false">IF(S4&gt;ProjectLife,0,SUM(S23:S24))</f>
        <v>32.0407823605342</v>
      </c>
      <c r="T25" s="428" t="n">
        <f aca="false">IF(T4&gt;ProjectLife,0,SUM(T23:T24))</f>
        <v>32.0836338313502</v>
      </c>
      <c r="U25" s="428" t="n">
        <f aca="false">IF(U4&gt;ProjectLife,0,SUM(U23:U24))</f>
        <v>32.1277708462907</v>
      </c>
      <c r="V25" s="428" t="n">
        <f aca="false">IF(V4&gt;ProjectLife,0,SUM(V23:V24))</f>
        <v>32.1732319716794</v>
      </c>
      <c r="W25" s="428" t="n">
        <f aca="false">IF(W4&gt;ProjectLife+1,0,SUM(W23:W24))</f>
        <v>32.2200569308298</v>
      </c>
      <c r="X25" s="429" t="n">
        <f aca="false">IF(X4&gt;ProjectLife,0,SUM(X23:X24))</f>
        <v>0</v>
      </c>
      <c r="Y25" s="422"/>
      <c r="Z25" s="422"/>
      <c r="AA25" s="422"/>
      <c r="AB25" s="418"/>
      <c r="AC25" s="418"/>
      <c r="AD25" s="418"/>
    </row>
    <row r="26" customFormat="false" ht="12.6" hidden="false" customHeight="true" outlineLevel="0" collapsed="false">
      <c r="A26" s="430"/>
      <c r="B26" s="418"/>
      <c r="C26" s="377"/>
      <c r="D26" s="377"/>
      <c r="E26" s="377"/>
      <c r="F26" s="377"/>
      <c r="G26" s="377"/>
      <c r="H26" s="377"/>
      <c r="I26" s="377"/>
      <c r="J26" s="377"/>
      <c r="K26" s="377"/>
      <c r="L26" s="377"/>
      <c r="M26" s="377"/>
      <c r="N26" s="377"/>
      <c r="O26" s="377"/>
      <c r="P26" s="377"/>
      <c r="Q26" s="377"/>
      <c r="R26" s="377"/>
      <c r="S26" s="377"/>
      <c r="T26" s="377"/>
      <c r="U26" s="377"/>
      <c r="V26" s="377"/>
      <c r="W26" s="377"/>
      <c r="X26" s="377"/>
      <c r="Y26" s="377"/>
      <c r="Z26" s="377"/>
      <c r="AA26" s="377"/>
      <c r="AB26" s="418"/>
      <c r="AC26" s="418"/>
      <c r="AD26" s="418"/>
    </row>
    <row r="27" customFormat="false" ht="15.75" hidden="false" customHeight="false" outlineLevel="0" collapsed="false">
      <c r="A27" s="431" t="s">
        <v>372</v>
      </c>
      <c r="B27" s="432"/>
      <c r="C27" s="432"/>
      <c r="D27" s="432"/>
      <c r="E27" s="432"/>
      <c r="F27" s="432"/>
      <c r="G27" s="432"/>
      <c r="H27" s="432"/>
      <c r="I27" s="432"/>
      <c r="J27" s="432"/>
      <c r="K27" s="432"/>
      <c r="L27" s="432"/>
      <c r="M27" s="432"/>
      <c r="N27" s="432"/>
      <c r="O27" s="432"/>
      <c r="P27" s="432"/>
      <c r="Q27" s="432"/>
      <c r="R27" s="432"/>
      <c r="S27" s="432"/>
      <c r="T27" s="432"/>
      <c r="U27" s="432"/>
      <c r="V27" s="432"/>
      <c r="W27" s="432"/>
      <c r="X27" s="433"/>
      <c r="Y27" s="434"/>
      <c r="Z27" s="434"/>
      <c r="AA27" s="434"/>
      <c r="AB27" s="385"/>
      <c r="AC27" s="385"/>
      <c r="AD27" s="385"/>
    </row>
    <row r="28" customFormat="false" ht="11.25" hidden="false" customHeight="false" outlineLevel="0" collapsed="false">
      <c r="A28" s="435" t="s">
        <v>373</v>
      </c>
      <c r="B28" s="434" t="s">
        <v>374</v>
      </c>
      <c r="C28" s="434"/>
      <c r="D28" s="434"/>
      <c r="E28" s="434"/>
      <c r="F28" s="434"/>
      <c r="G28" s="434"/>
      <c r="H28" s="434"/>
      <c r="I28" s="434"/>
      <c r="J28" s="434"/>
      <c r="K28" s="434"/>
      <c r="L28" s="434"/>
      <c r="M28" s="434"/>
      <c r="N28" s="434"/>
      <c r="O28" s="434"/>
      <c r="P28" s="434"/>
      <c r="Q28" s="434"/>
      <c r="R28" s="434"/>
      <c r="S28" s="434"/>
      <c r="T28" s="434"/>
      <c r="U28" s="434"/>
      <c r="V28" s="434"/>
      <c r="W28" s="434"/>
      <c r="X28" s="436"/>
      <c r="Y28" s="434"/>
      <c r="Z28" s="434"/>
      <c r="AA28" s="434"/>
      <c r="AB28" s="385"/>
      <c r="AC28" s="385"/>
      <c r="AD28" s="385"/>
    </row>
    <row r="29" customFormat="false" ht="12.75" hidden="false" customHeight="false" outlineLevel="0" collapsed="false">
      <c r="A29" s="412" t="s">
        <v>375</v>
      </c>
      <c r="B29" s="437" t="n">
        <f aca="false">AVERAGE(C29:V29)</f>
        <v>698.171222181252</v>
      </c>
      <c r="C29" s="438" t="n">
        <f aca="false">'Book Income Statement'!D28</f>
        <v>472.12</v>
      </c>
      <c r="D29" s="438" t="n">
        <f aca="false">'Book Income Statement'!E28</f>
        <v>495.910254977376</v>
      </c>
      <c r="E29" s="438" t="n">
        <f aca="false">'Book Income Statement'!F28</f>
        <v>517.870030217195</v>
      </c>
      <c r="F29" s="438" t="n">
        <f aca="false">'Book Income Statement'!G28</f>
        <v>533.406131123711</v>
      </c>
      <c r="G29" s="438" t="n">
        <f aca="false">'Book Income Statement'!H28</f>
        <v>577.909135218536</v>
      </c>
      <c r="H29" s="438" t="n">
        <f aca="false">'Book Income Statement'!I28</f>
        <v>611.122184947635</v>
      </c>
      <c r="I29" s="438" t="n">
        <f aca="false">'Book Income Statement'!J28</f>
        <v>629.455850496064</v>
      </c>
      <c r="J29" s="438" t="n">
        <f aca="false">'Book Income Statement'!K28</f>
        <v>648.339526010946</v>
      </c>
      <c r="K29" s="438" t="n">
        <f aca="false">'Book Income Statement'!L28</f>
        <v>667.789711791274</v>
      </c>
      <c r="L29" s="438" t="n">
        <f aca="false">'Book Income Statement'!M28</f>
        <v>687.823403145012</v>
      </c>
      <c r="M29" s="438" t="n">
        <f aca="false">'Book Income Statement'!N28</f>
        <v>708.458105239363</v>
      </c>
      <c r="N29" s="438" t="n">
        <f aca="false">'Book Income Statement'!O28</f>
        <v>729.711848396544</v>
      </c>
      <c r="O29" s="438" t="n">
        <f aca="false">'Book Income Statement'!P28</f>
        <v>751.60320384844</v>
      </c>
      <c r="P29" s="438" t="n">
        <f aca="false">'Book Income Statement'!Q28</f>
        <v>774.151299963893</v>
      </c>
      <c r="Q29" s="438" t="n">
        <f aca="false">'Book Income Statement'!R28</f>
        <v>797.37583896281</v>
      </c>
      <c r="R29" s="438" t="n">
        <f aca="false">'Book Income Statement'!S28</f>
        <v>821.297114131694</v>
      </c>
      <c r="S29" s="438" t="n">
        <f aca="false">'Book Income Statement'!T28</f>
        <v>845.936027555645</v>
      </c>
      <c r="T29" s="438" t="n">
        <f aca="false">'Book Income Statement'!U28</f>
        <v>871.314108382314</v>
      </c>
      <c r="U29" s="438" t="n">
        <f aca="false">'Book Income Statement'!V28</f>
        <v>897.453531633784</v>
      </c>
      <c r="V29" s="438" t="n">
        <f aca="false">'Book Income Statement'!W28</f>
        <v>924.377137582798</v>
      </c>
      <c r="W29" s="438" t="n">
        <f aca="false">'Book Income Statement'!X28</f>
        <v>952.108451710282</v>
      </c>
      <c r="X29" s="439" t="n">
        <f aca="false">'Book Income Statement'!Y28</f>
        <v>0</v>
      </c>
      <c r="Y29" s="438"/>
      <c r="Z29" s="438"/>
      <c r="AA29" s="438"/>
    </row>
    <row r="30" customFormat="false" ht="12.75" hidden="false" customHeight="false" outlineLevel="0" collapsed="false">
      <c r="A30" s="412" t="s">
        <v>376</v>
      </c>
      <c r="B30" s="440" t="n">
        <f aca="false">AVERAGE(C30:V30)</f>
        <v>1812.78294452458</v>
      </c>
      <c r="C30" s="438" t="n">
        <f aca="false">'Book Income Statement'!D34</f>
        <v>1349.28</v>
      </c>
      <c r="D30" s="438" t="n">
        <f aca="false">'Book Income Statement'!E34</f>
        <v>1389.7584</v>
      </c>
      <c r="E30" s="438" t="n">
        <f aca="false">'Book Income Statement'!F34</f>
        <v>1431.451152</v>
      </c>
      <c r="F30" s="438" t="n">
        <f aca="false">'Book Income Statement'!G34</f>
        <v>1474.39468656</v>
      </c>
      <c r="G30" s="438" t="n">
        <f aca="false">'Book Income Statement'!H34</f>
        <v>1518.6265271568</v>
      </c>
      <c r="H30" s="438" t="n">
        <f aca="false">'Book Income Statement'!I34</f>
        <v>1564.1853229715</v>
      </c>
      <c r="I30" s="438" t="n">
        <f aca="false">'Book Income Statement'!J34</f>
        <v>1611.11088266065</v>
      </c>
      <c r="J30" s="438" t="n">
        <f aca="false">'Book Income Statement'!K34</f>
        <v>1659.44420914047</v>
      </c>
      <c r="K30" s="438" t="n">
        <f aca="false">'Book Income Statement'!L34</f>
        <v>1709.22753541468</v>
      </c>
      <c r="L30" s="438" t="n">
        <f aca="false">'Book Income Statement'!M34</f>
        <v>1760.50436147712</v>
      </c>
      <c r="M30" s="438" t="n">
        <f aca="false">'Book Income Statement'!N34</f>
        <v>1813.31949232144</v>
      </c>
      <c r="N30" s="438" t="n">
        <f aca="false">'Book Income Statement'!O34</f>
        <v>1867.71907709108</v>
      </c>
      <c r="O30" s="438" t="n">
        <f aca="false">'Book Income Statement'!P34</f>
        <v>1923.75064940381</v>
      </c>
      <c r="P30" s="438" t="n">
        <f aca="false">'Book Income Statement'!Q34</f>
        <v>1981.46316888593</v>
      </c>
      <c r="Q30" s="438" t="n">
        <f aca="false">'Book Income Statement'!R34</f>
        <v>2040.90706395251</v>
      </c>
      <c r="R30" s="438" t="n">
        <f aca="false">'Book Income Statement'!S34</f>
        <v>2102.13427587108</v>
      </c>
      <c r="S30" s="438" t="n">
        <f aca="false">'Book Income Statement'!T34</f>
        <v>2165.19830414721</v>
      </c>
      <c r="T30" s="438" t="n">
        <f aca="false">'Book Income Statement'!U34</f>
        <v>2230.15425327163</v>
      </c>
      <c r="U30" s="438" t="n">
        <f aca="false">'Book Income Statement'!V34</f>
        <v>2297.05888086978</v>
      </c>
      <c r="V30" s="438" t="n">
        <f aca="false">'Book Income Statement'!W34</f>
        <v>2365.97064729587</v>
      </c>
      <c r="W30" s="438" t="n">
        <f aca="false">'Book Income Statement'!X34</f>
        <v>2436.94976671475</v>
      </c>
      <c r="X30" s="439" t="n">
        <f aca="false">'Book Income Statement'!Y34</f>
        <v>0</v>
      </c>
      <c r="Y30" s="438"/>
      <c r="Z30" s="438"/>
      <c r="AA30" s="438"/>
    </row>
    <row r="31" customFormat="false" ht="12.75" hidden="false" customHeight="false" outlineLevel="0" collapsed="false">
      <c r="A31" s="412" t="s">
        <v>377</v>
      </c>
      <c r="B31" s="440" t="n">
        <f aca="false">AVERAGE(C31:V31)</f>
        <v>2772.99138970023</v>
      </c>
      <c r="C31" s="438" t="n">
        <f aca="false">'Book Income Statement'!D42+'Book Income Statement'!D51</f>
        <v>774.683478529412</v>
      </c>
      <c r="D31" s="438" t="n">
        <f aca="false">'Book Income Statement'!E42+'Book Income Statement'!E51</f>
        <v>1851.40801166471</v>
      </c>
      <c r="E31" s="438" t="n">
        <f aca="false">'Book Income Statement'!F42+'Book Income Statement'!F51</f>
        <v>1906.95025201465</v>
      </c>
      <c r="F31" s="438" t="n">
        <f aca="false">'Book Income Statement'!G42+'Book Income Statement'!G51</f>
        <v>1964.15875957509</v>
      </c>
      <c r="G31" s="438" t="n">
        <f aca="false">'Book Income Statement'!H42+'Book Income Statement'!H51</f>
        <v>2264.91224236234</v>
      </c>
      <c r="H31" s="438" t="n">
        <f aca="false">'Book Income Statement'!I42+'Book Income Statement'!I51</f>
        <v>2510.77645363321</v>
      </c>
      <c r="I31" s="438" t="n">
        <f aca="false">'Book Income Statement'!J42+'Book Income Statement'!J51</f>
        <v>2586.09974724221</v>
      </c>
      <c r="J31" s="438" t="n">
        <f aca="false">'Book Income Statement'!K42+'Book Income Statement'!K51</f>
        <v>2663.68273965947</v>
      </c>
      <c r="K31" s="438" t="n">
        <f aca="false">'Book Income Statement'!L42+'Book Income Statement'!L51</f>
        <v>2743.59322184926</v>
      </c>
      <c r="L31" s="438" t="n">
        <f aca="false">'Book Income Statement'!M42+'Book Income Statement'!M51</f>
        <v>2825.90101850473</v>
      </c>
      <c r="M31" s="438" t="n">
        <f aca="false">'Book Income Statement'!N42+'Book Income Statement'!N51</f>
        <v>2910.67804905988</v>
      </c>
      <c r="N31" s="438" t="n">
        <f aca="false">'Book Income Statement'!O42+'Book Income Statement'!O51</f>
        <v>2997.99839053167</v>
      </c>
      <c r="O31" s="438" t="n">
        <f aca="false">'Book Income Statement'!P42+'Book Income Statement'!P51</f>
        <v>3087.93834224762</v>
      </c>
      <c r="P31" s="438" t="n">
        <f aca="false">'Book Income Statement'!Q42+'Book Income Statement'!Q51</f>
        <v>3180.57649251505</v>
      </c>
      <c r="Q31" s="438" t="n">
        <f aca="false">'Book Income Statement'!R42+'Book Income Statement'!R51</f>
        <v>3275.9937872905</v>
      </c>
      <c r="R31" s="438" t="n">
        <f aca="false">'Book Income Statement'!S42+'Book Income Statement'!S51</f>
        <v>3374.27360090922</v>
      </c>
      <c r="S31" s="438" t="n">
        <f aca="false">'Book Income Statement'!T42+'Book Income Statement'!T51</f>
        <v>3475.5018089365</v>
      </c>
      <c r="T31" s="438" t="n">
        <f aca="false">'Book Income Statement'!U42+'Book Income Statement'!U51</f>
        <v>3579.76686320459</v>
      </c>
      <c r="U31" s="438" t="n">
        <f aca="false">'Book Income Statement'!V42+'Book Income Statement'!V51</f>
        <v>3687.15986910073</v>
      </c>
      <c r="V31" s="438" t="n">
        <f aca="false">'Book Income Statement'!W42+'Book Income Statement'!W51</f>
        <v>3797.77466517375</v>
      </c>
      <c r="W31" s="438" t="n">
        <f aca="false">'Book Income Statement'!X42+'Book Income Statement'!X51</f>
        <v>3911.70790512896</v>
      </c>
      <c r="X31" s="439" t="n">
        <f aca="false">'Book Income Statement'!Y42+'Book Income Statement'!Y51</f>
        <v>0</v>
      </c>
      <c r="Z31" s="441"/>
      <c r="AA31" s="441"/>
    </row>
    <row r="32" customFormat="false" ht="12.75" hidden="false" customHeight="false" outlineLevel="0" collapsed="false">
      <c r="A32" s="412" t="s">
        <v>378</v>
      </c>
      <c r="B32" s="440" t="n">
        <f aca="false">AVERAGE(C32:V32)</f>
        <v>596.036761518168</v>
      </c>
      <c r="C32" s="438" t="n">
        <f aca="false">'Book Income Statement'!D53</f>
        <v>0</v>
      </c>
      <c r="D32" s="438" t="n">
        <f aca="false">'Book Income Statement'!E53</f>
        <v>549.163698374115</v>
      </c>
      <c r="E32" s="438" t="n">
        <f aca="false">'Book Income Statement'!F53</f>
        <v>538.069482245345</v>
      </c>
      <c r="F32" s="438" t="n">
        <f aca="false">'Book Income Statement'!G53</f>
        <v>526.975266116575</v>
      </c>
      <c r="G32" s="438" t="n">
        <f aca="false">'Book Income Statement'!H53</f>
        <v>515.881049987805</v>
      </c>
      <c r="H32" s="438" t="n">
        <f aca="false">'Book Income Statement'!I53</f>
        <v>504.786833859035</v>
      </c>
      <c r="I32" s="438" t="n">
        <f aca="false">'Book Income Statement'!J53</f>
        <v>493.692617730265</v>
      </c>
      <c r="J32" s="438" t="n">
        <f aca="false">'Book Income Statement'!K53</f>
        <v>477.05129353711</v>
      </c>
      <c r="K32" s="438" t="n">
        <f aca="false">'Book Income Statement'!L53</f>
        <v>460.409969343955</v>
      </c>
      <c r="L32" s="438" t="n">
        <f aca="false">'Book Income Statement'!M53</f>
        <v>443.7686451508</v>
      </c>
      <c r="M32" s="438" t="n">
        <f aca="false">'Book Income Statement'!N53</f>
        <v>421.58021289326</v>
      </c>
      <c r="N32" s="438" t="n">
        <f aca="false">'Book Income Statement'!O53</f>
        <v>1198.17534190716</v>
      </c>
      <c r="O32" s="438" t="n">
        <f aca="false">'Book Income Statement'!P53</f>
        <v>1114.96872094139</v>
      </c>
      <c r="P32" s="438" t="n">
        <f aca="false">'Book Income Statement'!Q53</f>
        <v>1015.12077578246</v>
      </c>
      <c r="Q32" s="438" t="n">
        <f aca="false">'Book Income Statement'!R53</f>
        <v>915.272830623525</v>
      </c>
      <c r="R32" s="438" t="n">
        <f aca="false">'Book Income Statement'!S53</f>
        <v>815.424885464595</v>
      </c>
      <c r="S32" s="438" t="n">
        <f aca="false">'Book Income Statement'!T53</f>
        <v>682.294291919355</v>
      </c>
      <c r="T32" s="438" t="n">
        <f aca="false">'Book Income Statement'!U53</f>
        <v>532.52237418096</v>
      </c>
      <c r="U32" s="438" t="n">
        <f aca="false">'Book Income Statement'!V53</f>
        <v>382.750456442565</v>
      </c>
      <c r="V32" s="438" t="n">
        <f aca="false">'Book Income Statement'!W53</f>
        <v>332.8264838631</v>
      </c>
      <c r="W32" s="438" t="n">
        <f aca="false">'Book Income Statement'!X53</f>
        <v>332.8264838631</v>
      </c>
      <c r="X32" s="439" t="n">
        <f aca="false">'Book Income Statement'!Y53</f>
        <v>0</v>
      </c>
      <c r="Z32" s="441"/>
      <c r="AA32" s="441"/>
    </row>
    <row r="33" customFormat="false" ht="12.75" hidden="false" customHeight="false" outlineLevel="0" collapsed="false">
      <c r="A33" s="412" t="s">
        <v>379</v>
      </c>
      <c r="B33" s="440" t="n">
        <f aca="false">AVERAGE(C33:V33)</f>
        <v>0</v>
      </c>
      <c r="C33" s="438" t="n">
        <f aca="false">'Book Income Statement'!D56</f>
        <v>0</v>
      </c>
      <c r="D33" s="438" t="n">
        <f aca="false">'Book Income Statement'!E56</f>
        <v>0</v>
      </c>
      <c r="E33" s="438" t="n">
        <f aca="false">'Book Income Statement'!F56</f>
        <v>0</v>
      </c>
      <c r="F33" s="438" t="n">
        <f aca="false">'Book Income Statement'!G56</f>
        <v>0</v>
      </c>
      <c r="G33" s="438" t="n">
        <f aca="false">'Book Income Statement'!H56</f>
        <v>0</v>
      </c>
      <c r="H33" s="438" t="n">
        <f aca="false">'Book Income Statement'!I56</f>
        <v>0</v>
      </c>
      <c r="I33" s="438" t="n">
        <f aca="false">'Book Income Statement'!J56</f>
        <v>0</v>
      </c>
      <c r="J33" s="438" t="n">
        <f aca="false">'Book Income Statement'!K56</f>
        <v>0</v>
      </c>
      <c r="K33" s="438" t="n">
        <f aca="false">'Book Income Statement'!L56</f>
        <v>0</v>
      </c>
      <c r="L33" s="438" t="n">
        <f aca="false">'Book Income Statement'!M56</f>
        <v>0</v>
      </c>
      <c r="M33" s="438" t="n">
        <f aca="false">'Book Income Statement'!N56</f>
        <v>0</v>
      </c>
      <c r="N33" s="438" t="n">
        <f aca="false">'Book Income Statement'!O56</f>
        <v>0</v>
      </c>
      <c r="O33" s="438" t="n">
        <f aca="false">'Book Income Statement'!P56</f>
        <v>0</v>
      </c>
      <c r="P33" s="438" t="n">
        <f aca="false">'Book Income Statement'!Q56</f>
        <v>0</v>
      </c>
      <c r="Q33" s="438" t="n">
        <f aca="false">'Book Income Statement'!R56</f>
        <v>0</v>
      </c>
      <c r="R33" s="438" t="n">
        <f aca="false">'Book Income Statement'!S56</f>
        <v>0</v>
      </c>
      <c r="S33" s="438" t="n">
        <f aca="false">'Book Income Statement'!T56</f>
        <v>0</v>
      </c>
      <c r="T33" s="438" t="n">
        <f aca="false">'Book Income Statement'!U56</f>
        <v>0</v>
      </c>
      <c r="U33" s="438" t="n">
        <f aca="false">'Book Income Statement'!V56</f>
        <v>0</v>
      </c>
      <c r="V33" s="438" t="n">
        <f aca="false">'Book Income Statement'!W56</f>
        <v>0</v>
      </c>
      <c r="W33" s="438" t="n">
        <f aca="false">'Book Income Statement'!X56</f>
        <v>0</v>
      </c>
      <c r="X33" s="439" t="n">
        <f aca="false">'Book Income Statement'!Y56</f>
        <v>0</v>
      </c>
      <c r="Z33" s="441"/>
      <c r="AA33" s="441"/>
    </row>
    <row r="34" customFormat="false" ht="15" hidden="false" customHeight="false" outlineLevel="0" collapsed="false">
      <c r="A34" s="412" t="s">
        <v>380</v>
      </c>
      <c r="B34" s="442" t="n">
        <f aca="false">AVERAGE(C34:V34)</f>
        <v>11043.2851285</v>
      </c>
      <c r="C34" s="443" t="n">
        <f aca="false">'Returns Summary'!C23</f>
        <v>13884.4678</v>
      </c>
      <c r="D34" s="443" t="n">
        <f aca="false">'Returns Summary'!D23</f>
        <v>13565.062</v>
      </c>
      <c r="E34" s="443" t="n">
        <f aca="false">'Returns Summary'!E23</f>
        <v>14992.0562</v>
      </c>
      <c r="F34" s="443" t="n">
        <f aca="false">'Returns Summary'!F23</f>
        <v>16286.84792</v>
      </c>
      <c r="G34" s="443" t="n">
        <f aca="false">'Returns Summary'!G23</f>
        <v>12232.53716</v>
      </c>
      <c r="H34" s="443" t="n">
        <f aca="false">'Returns Summary'!H23</f>
        <v>11863.7963</v>
      </c>
      <c r="I34" s="443" t="n">
        <f aca="false">'Returns Summary'!I23</f>
        <v>12132.80544</v>
      </c>
      <c r="J34" s="443" t="n">
        <f aca="false">'Returns Summary'!J23</f>
        <v>11711.89663</v>
      </c>
      <c r="K34" s="443" t="n">
        <f aca="false">'Returns Summary'!K23</f>
        <v>14783.78782</v>
      </c>
      <c r="L34" s="443" t="n">
        <f aca="false">'Returns Summary'!L23</f>
        <v>16482.62405</v>
      </c>
      <c r="M34" s="443" t="n">
        <f aca="false">'Returns Summary'!M23</f>
        <v>6880.93985</v>
      </c>
      <c r="N34" s="443" t="n">
        <f aca="false">'Returns Summary'!N23</f>
        <v>7310.01805</v>
      </c>
      <c r="O34" s="443" t="n">
        <f aca="false">'Returns Summary'!O23</f>
        <v>7049.1783</v>
      </c>
      <c r="P34" s="443" t="n">
        <f aca="false">'Returns Summary'!P23</f>
        <v>6788.33855</v>
      </c>
      <c r="Q34" s="443" t="n">
        <f aca="false">'Returns Summary'!Q23</f>
        <v>6527.4988</v>
      </c>
      <c r="R34" s="443" t="n">
        <f aca="false">'Returns Summary'!R23</f>
        <v>6266.65905</v>
      </c>
      <c r="S34" s="443" t="n">
        <f aca="false">'Returns Summary'!S23</f>
        <v>9194.5693</v>
      </c>
      <c r="T34" s="443" t="n">
        <f aca="false">'Returns Summary'!T23</f>
        <v>9948.3898</v>
      </c>
      <c r="U34" s="443" t="n">
        <f aca="false">'Returns Summary'!U23</f>
        <v>11235.6244</v>
      </c>
      <c r="V34" s="443" t="n">
        <f aca="false">'Returns Summary'!V23</f>
        <v>11728.60515</v>
      </c>
      <c r="W34" s="443" t="n">
        <f aca="false">'Returns Summary'!W23</f>
        <v>0</v>
      </c>
      <c r="X34" s="444" t="n">
        <f aca="false">'Returns Summary'!X23</f>
        <v>0</v>
      </c>
      <c r="Z34" s="445"/>
      <c r="AA34" s="445"/>
    </row>
    <row r="35" customFormat="false" ht="12.75" hidden="false" customHeight="false" outlineLevel="0" collapsed="false">
      <c r="A35" s="412" t="s">
        <v>381</v>
      </c>
      <c r="B35" s="446" t="n">
        <f aca="false">SUM(B29:B34)</f>
        <v>16923.2674464242</v>
      </c>
      <c r="C35" s="438" t="n">
        <f aca="false">SUM(C29:C34)</f>
        <v>16480.5512785294</v>
      </c>
      <c r="D35" s="438" t="n">
        <f aca="false">SUM(D29:D34)</f>
        <v>17851.3023650162</v>
      </c>
      <c r="E35" s="438" t="n">
        <f aca="false">SUM(E29:E34)</f>
        <v>19386.3971164772</v>
      </c>
      <c r="F35" s="438" t="n">
        <f aca="false">SUM(F29:F34)</f>
        <v>20785.7827633754</v>
      </c>
      <c r="G35" s="438" t="n">
        <f aca="false">SUM(G29:G34)</f>
        <v>17109.8661147255</v>
      </c>
      <c r="H35" s="438" t="n">
        <f aca="false">SUM(H29:H34)</f>
        <v>17054.6670954114</v>
      </c>
      <c r="I35" s="438" t="n">
        <f aca="false">SUM(I29:I34)</f>
        <v>17453.1645381292</v>
      </c>
      <c r="J35" s="438" t="n">
        <f aca="false">SUM(J29:J34)</f>
        <v>17160.414398348</v>
      </c>
      <c r="K35" s="438" t="n">
        <f aca="false">SUM(K29:K34)</f>
        <v>20364.8082583992</v>
      </c>
      <c r="L35" s="438" t="n">
        <f aca="false">SUM(L29:L34)</f>
        <v>22200.6214782777</v>
      </c>
      <c r="M35" s="438" t="n">
        <f aca="false">SUM(M29:M34)</f>
        <v>12734.9757095139</v>
      </c>
      <c r="N35" s="438" t="n">
        <f aca="false">SUM(N29:N34)</f>
        <v>14103.6227079265</v>
      </c>
      <c r="O35" s="438" t="n">
        <f aca="false">SUM(O29:O34)</f>
        <v>13927.4392164413</v>
      </c>
      <c r="P35" s="438" t="n">
        <f aca="false">SUM(P29:P34)</f>
        <v>13739.6502871473</v>
      </c>
      <c r="Q35" s="438" t="n">
        <f aca="false">SUM(Q29:Q34)</f>
        <v>13557.0483208293</v>
      </c>
      <c r="R35" s="438" t="n">
        <f aca="false">SUM(R29:R34)</f>
        <v>13379.7889263766</v>
      </c>
      <c r="S35" s="438" t="n">
        <f aca="false">SUM(S29:S34)</f>
        <v>16363.4997325587</v>
      </c>
      <c r="T35" s="438" t="n">
        <f aca="false">SUM(T29:T34)</f>
        <v>17162.1473990395</v>
      </c>
      <c r="U35" s="438" t="n">
        <f aca="false">SUM(U29:U34)</f>
        <v>18500.0471380469</v>
      </c>
      <c r="V35" s="438" t="n">
        <f aca="false">SUM(V29:V34)</f>
        <v>19149.5540839155</v>
      </c>
      <c r="W35" s="438" t="n">
        <f aca="false">SUM(W29:W34)</f>
        <v>7633.59260741709</v>
      </c>
      <c r="X35" s="439" t="n">
        <f aca="false">SUM(X29:X34)</f>
        <v>0</v>
      </c>
      <c r="Y35" s="438"/>
      <c r="Z35" s="438"/>
      <c r="AA35" s="438"/>
    </row>
    <row r="36" customFormat="false" ht="12.75" hidden="false" customHeight="false" outlineLevel="0" collapsed="false">
      <c r="A36" s="412"/>
      <c r="B36" s="385"/>
      <c r="C36" s="441"/>
      <c r="D36" s="441"/>
      <c r="E36" s="441"/>
      <c r="F36" s="441"/>
      <c r="G36" s="441"/>
      <c r="H36" s="441"/>
      <c r="I36" s="441"/>
      <c r="J36" s="441"/>
      <c r="K36" s="441"/>
      <c r="L36" s="441"/>
      <c r="M36" s="441"/>
      <c r="N36" s="441"/>
      <c r="O36" s="441"/>
      <c r="P36" s="441"/>
      <c r="Q36" s="441"/>
      <c r="R36" s="441"/>
      <c r="S36" s="441"/>
      <c r="T36" s="441"/>
      <c r="U36" s="441"/>
      <c r="V36" s="441"/>
      <c r="W36" s="441"/>
      <c r="X36" s="447"/>
      <c r="Y36" s="441"/>
      <c r="Z36" s="441"/>
      <c r="AA36" s="441"/>
    </row>
    <row r="37" customFormat="false" ht="12.75" hidden="false" customHeight="false" outlineLevel="0" collapsed="false">
      <c r="A37" s="448" t="s">
        <v>382</v>
      </c>
      <c r="B37" s="434" t="s">
        <v>374</v>
      </c>
      <c r="C37" s="441"/>
      <c r="D37" s="441"/>
      <c r="E37" s="441"/>
      <c r="F37" s="441"/>
      <c r="G37" s="441"/>
      <c r="H37" s="441"/>
      <c r="I37" s="441"/>
      <c r="J37" s="441"/>
      <c r="K37" s="441"/>
      <c r="L37" s="441"/>
      <c r="M37" s="441"/>
      <c r="N37" s="441"/>
      <c r="O37" s="441"/>
      <c r="P37" s="441"/>
      <c r="Q37" s="441"/>
      <c r="R37" s="441"/>
      <c r="S37" s="441"/>
      <c r="T37" s="441"/>
      <c r="U37" s="441"/>
      <c r="V37" s="441"/>
      <c r="W37" s="441"/>
      <c r="X37" s="447"/>
      <c r="Y37" s="441"/>
      <c r="Z37" s="441"/>
      <c r="AA37" s="441"/>
    </row>
    <row r="38" customFormat="false" ht="12.75" hidden="false" customHeight="false" outlineLevel="0" collapsed="false">
      <c r="A38" s="412" t="s">
        <v>383</v>
      </c>
      <c r="B38" s="449" t="n">
        <f aca="false">AVERAGE(C38:V38)</f>
        <v>1385.84121250168</v>
      </c>
      <c r="C38" s="450" t="n">
        <f aca="false">'Book Income Statement'!D38+'Book Income Statement'!D37+'Book Income Statement'!D41+'Book Income Statement'!D39</f>
        <v>439.329656862745</v>
      </c>
      <c r="D38" s="450" t="n">
        <f aca="false">'Book Income Statement'!E38+'Book Income Statement'!E37+'Book Income Statement'!E41+'Book Income Statement'!E39</f>
        <v>1086.02291176471</v>
      </c>
      <c r="E38" s="450" t="n">
        <f aca="false">'Book Income Statement'!F38+'Book Income Statement'!F37+'Book Income Statement'!F41+'Book Income Statement'!F39</f>
        <v>1118.60359911765</v>
      </c>
      <c r="F38" s="450" t="n">
        <f aca="false">'Book Income Statement'!G38+'Book Income Statement'!G37+'Book Income Statement'!G41+'Book Income Statement'!G39</f>
        <v>1152.16170709118</v>
      </c>
      <c r="G38" s="450" t="n">
        <f aca="false">'Book Income Statement'!H38+'Book Income Statement'!H37+'Book Income Statement'!H41+'Book Income Statement'!H39</f>
        <v>1186.72655830391</v>
      </c>
      <c r="H38" s="450" t="n">
        <f aca="false">'Book Income Statement'!I38+'Book Income Statement'!I37+'Book Income Statement'!I41+'Book Income Statement'!I39</f>
        <v>1222.32835505303</v>
      </c>
      <c r="I38" s="450" t="n">
        <f aca="false">'Book Income Statement'!J38+'Book Income Statement'!J37+'Book Income Statement'!J41+'Book Income Statement'!J39</f>
        <v>1258.99820570462</v>
      </c>
      <c r="J38" s="450" t="n">
        <f aca="false">'Book Income Statement'!K38+'Book Income Statement'!K37+'Book Income Statement'!K41+'Book Income Statement'!K39</f>
        <v>1296.76815187576</v>
      </c>
      <c r="K38" s="450" t="n">
        <f aca="false">'Book Income Statement'!L38+'Book Income Statement'!L37+'Book Income Statement'!L41+'Book Income Statement'!L39</f>
        <v>1335.67119643203</v>
      </c>
      <c r="L38" s="450" t="n">
        <f aca="false">'Book Income Statement'!M38+'Book Income Statement'!M37+'Book Income Statement'!M41+'Book Income Statement'!M39</f>
        <v>1375.74133232499</v>
      </c>
      <c r="M38" s="450" t="n">
        <f aca="false">'Book Income Statement'!N38+'Book Income Statement'!N37+'Book Income Statement'!N41+'Book Income Statement'!N39</f>
        <v>1417.01357229474</v>
      </c>
      <c r="N38" s="450" t="n">
        <f aca="false">'Book Income Statement'!O38+'Book Income Statement'!O37+'Book Income Statement'!O41+'Book Income Statement'!O39</f>
        <v>1459.52397946358</v>
      </c>
      <c r="O38" s="450" t="n">
        <f aca="false">'Book Income Statement'!P38+'Book Income Statement'!P37+'Book Income Statement'!P41+'Book Income Statement'!P39</f>
        <v>1503.30969884749</v>
      </c>
      <c r="P38" s="450" t="n">
        <f aca="false">'Book Income Statement'!Q38+'Book Income Statement'!Q37+'Book Income Statement'!Q41+'Book Income Statement'!Q39</f>
        <v>1548.40898981292</v>
      </c>
      <c r="Q38" s="450" t="n">
        <f aca="false">'Book Income Statement'!R38+'Book Income Statement'!R37+'Book Income Statement'!R41+'Book Income Statement'!R39</f>
        <v>1594.86125950731</v>
      </c>
      <c r="R38" s="450" t="n">
        <f aca="false">'Book Income Statement'!S38+'Book Income Statement'!S37+'Book Income Statement'!S41+'Book Income Statement'!S39</f>
        <v>1642.70709729252</v>
      </c>
      <c r="S38" s="450" t="n">
        <f aca="false">'Book Income Statement'!T38+'Book Income Statement'!T37+'Book Income Statement'!T41+'Book Income Statement'!T39</f>
        <v>1691.9883102113</v>
      </c>
      <c r="T38" s="450" t="n">
        <f aca="false">'Book Income Statement'!U38+'Book Income Statement'!U37+'Book Income Statement'!U41+'Book Income Statement'!U39</f>
        <v>1742.74795951764</v>
      </c>
      <c r="U38" s="450" t="n">
        <f aca="false">'Book Income Statement'!V38+'Book Income Statement'!V37+'Book Income Statement'!V41+'Book Income Statement'!V39</f>
        <v>1795.03039830317</v>
      </c>
      <c r="V38" s="450" t="n">
        <f aca="false">'Book Income Statement'!W38+'Book Income Statement'!W37+'Book Income Statement'!W41+'Book Income Statement'!W39</f>
        <v>1848.88131025226</v>
      </c>
      <c r="W38" s="450" t="n">
        <f aca="false">'Book Income Statement'!X38+'Book Income Statement'!X37+'Book Income Statement'!X41+'Book Income Statement'!X39</f>
        <v>1904.34774955983</v>
      </c>
      <c r="X38" s="451" t="n">
        <f aca="false">'Book Income Statement'!Y38+'Book Income Statement'!Y37+'Book Income Statement'!Y41+'Book Income Statement'!Y39</f>
        <v>0</v>
      </c>
      <c r="Y38" s="441"/>
      <c r="Z38" s="441"/>
      <c r="AA38" s="441"/>
    </row>
    <row r="39" customFormat="false" ht="12.75" hidden="false" customHeight="false" outlineLevel="0" collapsed="false">
      <c r="A39" s="412" t="s">
        <v>384</v>
      </c>
      <c r="B39" s="452" t="n">
        <f aca="false">AVERAGE(C39:V39)</f>
        <v>977.971533932786</v>
      </c>
      <c r="C39" s="453" t="n">
        <f aca="false">'Book Income Statement'!D51</f>
        <v>335.353821666667</v>
      </c>
      <c r="D39" s="453" t="n">
        <f aca="false">'Book Income Statement'!E51</f>
        <v>765.3850999</v>
      </c>
      <c r="E39" s="453" t="n">
        <f aca="false">'Book Income Statement'!F51</f>
        <v>788.346652897</v>
      </c>
      <c r="F39" s="453" t="n">
        <f aca="false">'Book Income Statement'!G51</f>
        <v>811.99705248391</v>
      </c>
      <c r="G39" s="453" t="n">
        <f aca="false">'Book Income Statement'!H51</f>
        <v>836.356964058427</v>
      </c>
      <c r="H39" s="453" t="n">
        <f aca="false">'Book Income Statement'!I51</f>
        <v>861.44767298018</v>
      </c>
      <c r="I39" s="453" t="n">
        <f aca="false">'Book Income Statement'!J51</f>
        <v>887.291103169586</v>
      </c>
      <c r="J39" s="453" t="n">
        <f aca="false">'Book Income Statement'!K51</f>
        <v>913.909836264673</v>
      </c>
      <c r="K39" s="453" t="n">
        <f aca="false">'Book Income Statement'!L51</f>
        <v>941.327131352613</v>
      </c>
      <c r="L39" s="453" t="n">
        <f aca="false">'Book Income Statement'!M51</f>
        <v>969.566945293192</v>
      </c>
      <c r="M39" s="453" t="n">
        <f aca="false">'Book Income Statement'!N51</f>
        <v>998.653953651988</v>
      </c>
      <c r="N39" s="453" t="n">
        <f aca="false">'Book Income Statement'!O51</f>
        <v>1028.61357226155</v>
      </c>
      <c r="O39" s="453" t="n">
        <f aca="false">'Book Income Statement'!P51</f>
        <v>1059.47197942939</v>
      </c>
      <c r="P39" s="453" t="n">
        <f aca="false">'Book Income Statement'!Q51</f>
        <v>1091.25613881228</v>
      </c>
      <c r="Q39" s="453" t="n">
        <f aca="false">'Book Income Statement'!R51</f>
        <v>1123.99382297664</v>
      </c>
      <c r="R39" s="453" t="n">
        <f aca="false">'Book Income Statement'!S51</f>
        <v>1157.71363766594</v>
      </c>
      <c r="S39" s="453" t="n">
        <f aca="false">'Book Income Statement'!T51</f>
        <v>1192.44504679592</v>
      </c>
      <c r="T39" s="453" t="n">
        <f aca="false">'Book Income Statement'!U51</f>
        <v>1228.2183981998</v>
      </c>
      <c r="U39" s="453" t="n">
        <f aca="false">'Book Income Statement'!V51</f>
        <v>1265.06495014579</v>
      </c>
      <c r="V39" s="453" t="n">
        <f aca="false">'Book Income Statement'!W51</f>
        <v>1303.01689865017</v>
      </c>
      <c r="W39" s="453" t="n">
        <f aca="false">'Book Income Statement'!X51</f>
        <v>1342.10740560967</v>
      </c>
      <c r="X39" s="454" t="n">
        <f aca="false">'Book Income Statement'!Y51</f>
        <v>0</v>
      </c>
      <c r="Y39" s="441"/>
      <c r="Z39" s="441"/>
      <c r="AA39" s="441"/>
    </row>
    <row r="40" customFormat="false" ht="12.75" hidden="false" customHeight="false" outlineLevel="0" collapsed="false">
      <c r="A40" s="402"/>
      <c r="B40" s="149"/>
      <c r="C40" s="149"/>
      <c r="D40" s="149"/>
      <c r="E40" s="149"/>
      <c r="F40" s="149"/>
      <c r="G40" s="149"/>
      <c r="H40" s="149"/>
      <c r="I40" s="149"/>
      <c r="J40" s="149"/>
      <c r="K40" s="149"/>
      <c r="L40" s="149"/>
      <c r="M40" s="149"/>
      <c r="N40" s="149"/>
      <c r="O40" s="149"/>
      <c r="P40" s="149"/>
      <c r="Q40" s="149"/>
      <c r="R40" s="149"/>
      <c r="S40" s="149"/>
      <c r="T40" s="149"/>
      <c r="U40" s="149"/>
      <c r="V40" s="149"/>
      <c r="W40" s="149"/>
      <c r="X40" s="455"/>
    </row>
    <row r="41" customFormat="false" ht="12.75" hidden="false" customHeight="false" outlineLevel="0" collapsed="false">
      <c r="A41" s="435" t="s">
        <v>385</v>
      </c>
      <c r="B41" s="434" t="s">
        <v>374</v>
      </c>
      <c r="C41" s="441"/>
      <c r="D41" s="441"/>
      <c r="E41" s="441"/>
      <c r="F41" s="441"/>
      <c r="G41" s="441"/>
      <c r="H41" s="441"/>
      <c r="I41" s="441"/>
      <c r="J41" s="441"/>
      <c r="K41" s="441"/>
      <c r="L41" s="441"/>
      <c r="M41" s="441"/>
      <c r="N41" s="441"/>
      <c r="O41" s="441"/>
      <c r="P41" s="441"/>
      <c r="Q41" s="441"/>
      <c r="R41" s="441"/>
      <c r="S41" s="441"/>
      <c r="T41" s="441"/>
      <c r="U41" s="441"/>
      <c r="V41" s="441"/>
      <c r="W41" s="441"/>
      <c r="X41" s="447"/>
      <c r="Y41" s="441"/>
      <c r="Z41" s="441"/>
      <c r="AA41" s="441"/>
    </row>
    <row r="42" customFormat="false" ht="12.6" hidden="false" customHeight="true" outlineLevel="0" collapsed="false">
      <c r="A42" s="412" t="s">
        <v>386</v>
      </c>
      <c r="B42" s="456" t="n">
        <f aca="false">AVERAGE(C42:V42)</f>
        <v>0.137861919717431</v>
      </c>
      <c r="C42" s="457" t="n">
        <f aca="false">IF(Operations!C3&gt;ProjectLife,0,C29/'Project Assumptions'!$I$10/SUM('Book Income Statement'!D6:D7))</f>
        <v>0.213628959276018</v>
      </c>
      <c r="D42" s="457" t="n">
        <f aca="false">IF(Operations!D3&gt;ProjectLife,0,D29/'Project Assumptions'!$I$10/SUM('Book Income Statement'!E6:E7))</f>
        <v>0.0934974085553122</v>
      </c>
      <c r="E42" s="457" t="n">
        <f aca="false">IF(Operations!E3&gt;ProjectLife,0,E29/'Project Assumptions'!$I$10/SUM('Book Income Statement'!F6:F7))</f>
        <v>0.0976376376729251</v>
      </c>
      <c r="F42" s="457" t="n">
        <f aca="false">IF(Operations!F3&gt;ProjectLife,0,F29/'Project Assumptions'!$I$10/SUM('Book Income Statement'!G6:G7))</f>
        <v>0.100566766803113</v>
      </c>
      <c r="G42" s="457" t="n">
        <f aca="false">IF(Operations!G3&gt;ProjectLife,0,G29/'Project Assumptions'!$I$10/SUM('Book Income Statement'!H6:H7))</f>
        <v>0.108957227605305</v>
      </c>
      <c r="H42" s="457" t="n">
        <f aca="false">IF(Operations!H3&gt;ProjectLife,0,H29/'Project Assumptions'!$I$10/SUM('Book Income Statement'!I6:I7))</f>
        <v>0.115219114809132</v>
      </c>
      <c r="I42" s="457" t="n">
        <f aca="false">IF(Operations!I3&gt;ProjectLife,0,I29/'Project Assumptions'!$I$10/SUM('Book Income Statement'!J6:J7))</f>
        <v>0.118675688253406</v>
      </c>
      <c r="J42" s="457" t="n">
        <f aca="false">IF(Operations!J3&gt;ProjectLife,0,J29/'Project Assumptions'!$I$10/SUM('Book Income Statement'!K6:K7))</f>
        <v>0.122235958901008</v>
      </c>
      <c r="K42" s="457" t="n">
        <f aca="false">IF(Operations!K3&gt;ProjectLife,0,K29/'Project Assumptions'!$I$10/SUM('Book Income Statement'!L6:L7))</f>
        <v>0.125903037668038</v>
      </c>
      <c r="L42" s="457" t="n">
        <f aca="false">IF(Operations!L3&gt;ProjectLife,0,L29/'Project Assumptions'!$I$10/SUM('Book Income Statement'!M6:M7))</f>
        <v>0.129680128798079</v>
      </c>
      <c r="M42" s="457" t="n">
        <f aca="false">IF(Operations!M3&gt;ProjectLife,0,M29/'Project Assumptions'!$I$10/SUM('Book Income Statement'!N6:N7))</f>
        <v>0.133570532662022</v>
      </c>
      <c r="N42" s="457" t="n">
        <f aca="false">IF(Operations!N3&gt;ProjectLife,0,N29/'Project Assumptions'!$I$10/SUM('Book Income Statement'!O6:O7))</f>
        <v>0.137577648641882</v>
      </c>
      <c r="O42" s="457" t="n">
        <f aca="false">IF(Operations!O3&gt;ProjectLife,0,O29/'Project Assumptions'!$I$10/SUM('Book Income Statement'!P6:P7))</f>
        <v>0.141704978101139</v>
      </c>
      <c r="P42" s="457" t="n">
        <f aca="false">IF(Operations!P3&gt;ProjectLife,0,P29/'Project Assumptions'!$I$10/SUM('Book Income Statement'!Q6:Q7))</f>
        <v>0.145956127444173</v>
      </c>
      <c r="Q42" s="457" t="n">
        <f aca="false">IF(Operations!Q3&gt;ProjectLife,0,Q29/'Project Assumptions'!$I$10/SUM('Book Income Statement'!R6:R7))</f>
        <v>0.150334811267498</v>
      </c>
      <c r="R42" s="457" t="n">
        <f aca="false">IF(Operations!R3&gt;ProjectLife,0,R29/'Project Assumptions'!$I$10/SUM('Book Income Statement'!S6:S7))</f>
        <v>0.154844855605523</v>
      </c>
      <c r="S42" s="457" t="n">
        <f aca="false">IF(Operations!S3&gt;ProjectLife,0,S29/'Project Assumptions'!$I$10/SUM('Book Income Statement'!T6:T7))</f>
        <v>0.159490201273689</v>
      </c>
      <c r="T42" s="457" t="n">
        <f aca="false">IF(Operations!T3&gt;ProjectLife,0,T29/'Project Assumptions'!$I$10/SUM('Book Income Statement'!U6:U7))</f>
        <v>0.164274907311899</v>
      </c>
      <c r="U42" s="457" t="n">
        <f aca="false">IF(Operations!U3&gt;ProjectLife,0,U29/'Project Assumptions'!$I$10/SUM('Book Income Statement'!V6:V7))</f>
        <v>0.169203154531256</v>
      </c>
      <c r="V42" s="457" t="n">
        <f aca="false">IF(Operations!V3&gt;ProjectLife,0,V29/'Project Assumptions'!$I$10/SUM('Book Income Statement'!W6:W7))</f>
        <v>0.174279249167194</v>
      </c>
      <c r="W42" s="457" t="n">
        <f aca="false">IF(Operations!W3&gt;ProjectLife+1,0,W29/'Project Assumptions'!$I$10/SUM('Book Income Statement'!X6:X7))</f>
        <v>0.17950762664221</v>
      </c>
      <c r="X42" s="458" t="n">
        <v>0</v>
      </c>
      <c r="Y42" s="457"/>
      <c r="Z42" s="457"/>
      <c r="AA42" s="457"/>
      <c r="AB42" s="1"/>
      <c r="AC42" s="1"/>
      <c r="AD42" s="1"/>
    </row>
    <row r="43" customFormat="false" ht="11.25" hidden="false" customHeight="false" outlineLevel="0" collapsed="false">
      <c r="A43" s="412" t="s">
        <v>387</v>
      </c>
      <c r="B43" s="459" t="n">
        <f aca="false">AVERAGE(C43:V43)</f>
        <v>0.359583813070245</v>
      </c>
      <c r="C43" s="457" t="n">
        <f aca="false">IF(Operations!C3&gt;ProjectLife,0,C30/'Project Assumptions'!$I$10/SUM('Book Income Statement'!D6:D7))</f>
        <v>0.610533936651584</v>
      </c>
      <c r="D43" s="457" t="n">
        <f aca="false">IF(Operations!D3&gt;ProjectLife,0,D30/'Project Assumptions'!$I$10/SUM('Book Income Statement'!E6:E7))</f>
        <v>0.262020814479638</v>
      </c>
      <c r="E43" s="457" t="n">
        <f aca="false">IF(Operations!E3&gt;ProjectLife,0,E30/'Project Assumptions'!$I$10/SUM('Book Income Statement'!F6:F7))</f>
        <v>0.269881438914027</v>
      </c>
      <c r="F43" s="457" t="n">
        <f aca="false">IF(Operations!F3&gt;ProjectLife,0,F30/'Project Assumptions'!$I$10/SUM('Book Income Statement'!G6:G7))</f>
        <v>0.277977882081448</v>
      </c>
      <c r="G43" s="457" t="n">
        <f aca="false">IF(Operations!G3&gt;ProjectLife,0,G30/'Project Assumptions'!$I$10/SUM('Book Income Statement'!H6:H7))</f>
        <v>0.286317218543891</v>
      </c>
      <c r="H43" s="457" t="n">
        <f aca="false">IF(Operations!H3&gt;ProjectLife,0,H30/'Project Assumptions'!$I$10/SUM('Book Income Statement'!I6:I7))</f>
        <v>0.294906735100208</v>
      </c>
      <c r="I43" s="457" t="n">
        <f aca="false">IF(Operations!I3&gt;ProjectLife,0,I30/'Project Assumptions'!$I$10/SUM('Book Income Statement'!J6:J7))</f>
        <v>0.303753937153214</v>
      </c>
      <c r="J43" s="457" t="n">
        <f aca="false">IF(Operations!J3&gt;ProjectLife,0,J30/'Project Assumptions'!$I$10/SUM('Book Income Statement'!K6:K7))</f>
        <v>0.312866555267811</v>
      </c>
      <c r="K43" s="457" t="n">
        <f aca="false">IF(Operations!K3&gt;ProjectLife,0,K30/'Project Assumptions'!$I$10/SUM('Book Income Statement'!L6:L7))</f>
        <v>0.322252551925845</v>
      </c>
      <c r="L43" s="457" t="n">
        <f aca="false">IF(Operations!L3&gt;ProjectLife,0,L30/'Project Assumptions'!$I$10/SUM('Book Income Statement'!M6:M7))</f>
        <v>0.331920128483621</v>
      </c>
      <c r="M43" s="457" t="n">
        <f aca="false">IF(Operations!M3&gt;ProjectLife,0,M30/'Project Assumptions'!$I$10/SUM('Book Income Statement'!N6:N7))</f>
        <v>0.341877732338129</v>
      </c>
      <c r="N43" s="457" t="n">
        <f aca="false">IF(Operations!N3&gt;ProjectLife,0,N30/'Project Assumptions'!$I$10/SUM('Book Income Statement'!O6:O7))</f>
        <v>0.352134064308273</v>
      </c>
      <c r="O43" s="457" t="n">
        <f aca="false">IF(Operations!O3&gt;ProjectLife,0,O30/'Project Assumptions'!$I$10/SUM('Book Income Statement'!P6:P7))</f>
        <v>0.362698086237521</v>
      </c>
      <c r="P43" s="457" t="n">
        <f aca="false">IF(Operations!P3&gt;ProjectLife,0,P30/'Project Assumptions'!$I$10/SUM('Book Income Statement'!Q6:Q7))</f>
        <v>0.373579028824647</v>
      </c>
      <c r="Q43" s="457" t="n">
        <f aca="false">IF(Operations!Q3&gt;ProjectLife,0,Q30/'Project Assumptions'!$I$10/SUM('Book Income Statement'!R6:R7))</f>
        <v>0.384786399689386</v>
      </c>
      <c r="R43" s="457" t="n">
        <f aca="false">IF(Operations!R3&gt;ProjectLife,0,R30/'Project Assumptions'!$I$10/SUM('Book Income Statement'!S6:S7))</f>
        <v>0.396329991680068</v>
      </c>
      <c r="S43" s="457" t="n">
        <f aca="false">IF(Operations!S3&gt;ProjectLife,0,S30/'Project Assumptions'!$I$10/SUM('Book Income Statement'!T6:T7))</f>
        <v>0.40821989143047</v>
      </c>
      <c r="T43" s="457" t="n">
        <f aca="false">IF(Operations!T3&gt;ProjectLife,0,T30/'Project Assumptions'!$I$10/SUM('Book Income Statement'!U6:U7))</f>
        <v>0.420466488173384</v>
      </c>
      <c r="U43" s="457" t="n">
        <f aca="false">IF(Operations!U3&gt;ProjectLife,0,U30/'Project Assumptions'!$I$10/SUM('Book Income Statement'!V6:V7))</f>
        <v>0.433080482818586</v>
      </c>
      <c r="V43" s="457" t="n">
        <f aca="false">IF(Operations!V3&gt;ProjectLife,0,V30/'Project Assumptions'!$I$10/SUM('Book Income Statement'!W6:W7))</f>
        <v>0.446072897303143</v>
      </c>
      <c r="W43" s="457" t="n">
        <f aca="false">IF(Operations!W3&gt;ProjectLife+1,0,W30/'Project Assumptions'!$I$10/SUM('Book Income Statement'!X6:X7))</f>
        <v>0.459455084222238</v>
      </c>
      <c r="X43" s="458" t="n">
        <v>0</v>
      </c>
      <c r="Y43" s="457"/>
      <c r="Z43" s="457"/>
      <c r="AA43" s="457"/>
      <c r="AB43" s="1"/>
      <c r="AC43" s="1"/>
      <c r="AD43" s="1"/>
    </row>
    <row r="44" customFormat="false" ht="13.5" hidden="false" customHeight="false" outlineLevel="0" collapsed="false">
      <c r="A44" s="412" t="s">
        <v>388</v>
      </c>
      <c r="B44" s="460" t="n">
        <f aca="false">AVERAGE(C44:V44)</f>
        <v>0.533035300376562</v>
      </c>
      <c r="C44" s="461" t="n">
        <f aca="false">IF(Operations!C3&gt;ProjectLife,0,C31/('Project Assumptions'!$I$10*SUM('Book Income Statement'!D6:D7)))</f>
        <v>0.350535510646793</v>
      </c>
      <c r="D44" s="461" t="n">
        <f aca="false">IF(Operations!D3&gt;ProjectLife,0,D31/('Project Assumptions'!$I$10*SUM('Book Income Statement'!E6:E7)))</f>
        <v>0.34905882572864</v>
      </c>
      <c r="E44" s="461" t="n">
        <f aca="false">IF(Operations!E3&gt;ProjectLife,0,E31/('Project Assumptions'!$I$10*SUM('Book Income Statement'!F6:F7)))</f>
        <v>0.359530590500499</v>
      </c>
      <c r="F44" s="461" t="n">
        <f aca="false">IF(Operations!F3&gt;ProjectLife,0,F31/('Project Assumptions'!$I$10*SUM('Book Income Statement'!G6:G7)))</f>
        <v>0.370316508215514</v>
      </c>
      <c r="G44" s="461" t="n">
        <f aca="false">IF(Operations!G3&gt;ProjectLife,0,G31/('Project Assumptions'!$I$10*SUM('Book Income Statement'!H6:H7)))</f>
        <v>0.427019653537394</v>
      </c>
      <c r="H44" s="461" t="n">
        <f aca="false">IF(Operations!H3&gt;ProjectLife,0,H31/('Project Assumptions'!$I$10*SUM('Book Income Statement'!I6:I7)))</f>
        <v>0.473374142841857</v>
      </c>
      <c r="I44" s="461" t="n">
        <f aca="false">IF(Operations!I3&gt;ProjectLife,0,I31/('Project Assumptions'!$I$10*SUM('Book Income Statement'!J6:J7)))</f>
        <v>0.487575367127113</v>
      </c>
      <c r="J44" s="461" t="n">
        <f aca="false">IF(Operations!J3&gt;ProjectLife,0,J31/('Project Assumptions'!$I$10*SUM('Book Income Statement'!K6:K7)))</f>
        <v>0.502202628140926</v>
      </c>
      <c r="K44" s="461" t="n">
        <f aca="false">IF(Operations!K3&gt;ProjectLife,0,K31/('Project Assumptions'!$I$10*SUM('Book Income Statement'!L6:L7)))</f>
        <v>0.517268706985154</v>
      </c>
      <c r="L44" s="461" t="n">
        <f aca="false">IF(Operations!L3&gt;ProjectLife,0,L31/('Project Assumptions'!$I$10*SUM('Book Income Statement'!M6:M7)))</f>
        <v>0.532786768194709</v>
      </c>
      <c r="M44" s="461" t="n">
        <f aca="false">IF(Operations!M3&gt;ProjectLife,0,M31/('Project Assumptions'!$I$10*SUM('Book Income Statement'!N6:N7)))</f>
        <v>0.54877037124055</v>
      </c>
      <c r="N44" s="461" t="n">
        <f aca="false">IF(Operations!N3&gt;ProjectLife,0,N31/('Project Assumptions'!$I$10*SUM('Book Income Statement'!O6:O7)))</f>
        <v>0.565233482377766</v>
      </c>
      <c r="O44" s="461" t="n">
        <f aca="false">IF(Operations!O3&gt;ProjectLife,0,O31/('Project Assumptions'!$I$10*SUM('Book Income Statement'!P6:P7)))</f>
        <v>0.582190486849099</v>
      </c>
      <c r="P44" s="461" t="n">
        <f aca="false">IF(Operations!P3&gt;ProjectLife,0,P31/('Project Assumptions'!$I$10*SUM('Book Income Statement'!Q6:Q7)))</f>
        <v>0.599656201454572</v>
      </c>
      <c r="Q44" s="461" t="n">
        <f aca="false">IF(Operations!Q3&gt;ProjectLife,0,Q31/('Project Assumptions'!$I$10*SUM('Book Income Statement'!R6:R7)))</f>
        <v>0.61764588749821</v>
      </c>
      <c r="R44" s="461" t="n">
        <f aca="false">IF(Operations!R3&gt;ProjectLife,0,R31/('Project Assumptions'!$I$10*SUM('Book Income Statement'!S6:S7)))</f>
        <v>0.636175264123156</v>
      </c>
      <c r="S44" s="461" t="n">
        <f aca="false">IF(Operations!S3&gt;ProjectLife,0,S31/('Project Assumptions'!$I$10*SUM('Book Income Statement'!T6:T7)))</f>
        <v>0.655260522046851</v>
      </c>
      <c r="T44" s="461" t="n">
        <f aca="false">IF(Operations!T3&gt;ProjectLife,0,T31/('Project Assumptions'!$I$10*SUM('Book Income Statement'!U6:U7)))</f>
        <v>0.674918337708256</v>
      </c>
      <c r="U44" s="461" t="n">
        <f aca="false">IF(Operations!U3&gt;ProjectLife,0,U31/('Project Assumptions'!$I$10*SUM('Book Income Statement'!V6:V7)))</f>
        <v>0.695165887839504</v>
      </c>
      <c r="V44" s="461" t="n">
        <f aca="false">IF(Operations!V3&gt;ProjectLife,0,V31/('Project Assumptions'!$I$10*SUM('Book Income Statement'!W6:W7)))</f>
        <v>0.716020864474689</v>
      </c>
      <c r="W44" s="461" t="n">
        <f aca="false">IF(Operations!W3&gt;ProjectLife+1,0,W31/('Project Assumptions'!$I$10*SUM('Book Income Statement'!X6:X7)))</f>
        <v>0.73750149040893</v>
      </c>
      <c r="X44" s="462" t="n">
        <v>0</v>
      </c>
      <c r="Y44" s="461"/>
      <c r="Z44" s="461"/>
      <c r="AA44" s="461"/>
      <c r="AB44" s="1"/>
      <c r="AC44" s="1"/>
      <c r="AD44" s="1"/>
    </row>
    <row r="45" customFormat="false" ht="12.6" hidden="false" customHeight="true" outlineLevel="0" collapsed="false">
      <c r="A45" s="412" t="s">
        <v>389</v>
      </c>
      <c r="B45" s="459" t="n">
        <f aca="false">AVERAGE(C45:V45)</f>
        <v>1.03048103316424</v>
      </c>
      <c r="C45" s="457" t="n">
        <f aca="false">SUM(C42:C44)</f>
        <v>1.17469840657439</v>
      </c>
      <c r="D45" s="457" t="n">
        <f aca="false">SUM(D42:D44)</f>
        <v>0.70457704876359</v>
      </c>
      <c r="E45" s="457" t="n">
        <f aca="false">SUM(E42:E44)</f>
        <v>0.727049667087451</v>
      </c>
      <c r="F45" s="457" t="n">
        <f aca="false">SUM(F42:F44)</f>
        <v>0.748861157100075</v>
      </c>
      <c r="G45" s="457" t="n">
        <f aca="false">SUM(G42:G44)</f>
        <v>0.82229409968659</v>
      </c>
      <c r="H45" s="457" t="n">
        <f aca="false">SUM(H42:H44)</f>
        <v>0.883499992751197</v>
      </c>
      <c r="I45" s="457" t="n">
        <f aca="false">SUM(I42:I44)</f>
        <v>0.910004992533733</v>
      </c>
      <c r="J45" s="457" t="n">
        <f aca="false">SUM(J42:J44)</f>
        <v>0.937305142309745</v>
      </c>
      <c r="K45" s="457" t="n">
        <f aca="false">SUM(K42:K44)</f>
        <v>0.965424296579037</v>
      </c>
      <c r="L45" s="457" t="n">
        <f aca="false">SUM(L42:L44)</f>
        <v>0.994387025476408</v>
      </c>
      <c r="M45" s="457" t="n">
        <f aca="false">SUM(M42:M44)</f>
        <v>1.0242186362407</v>
      </c>
      <c r="N45" s="457" t="n">
        <f aca="false">SUM(N42:N44)</f>
        <v>1.05494519532792</v>
      </c>
      <c r="O45" s="457" t="n">
        <f aca="false">SUM(O42:O44)</f>
        <v>1.08659355118776</v>
      </c>
      <c r="P45" s="457" t="n">
        <f aca="false">SUM(P42:P44)</f>
        <v>1.11919135772339</v>
      </c>
      <c r="Q45" s="457" t="n">
        <f aca="false">SUM(Q42:Q44)</f>
        <v>1.15276709845509</v>
      </c>
      <c r="R45" s="457" t="n">
        <f aca="false">SUM(R42:R44)</f>
        <v>1.18735011140875</v>
      </c>
      <c r="S45" s="457" t="n">
        <f aca="false">SUM(S42:S44)</f>
        <v>1.22297061475101</v>
      </c>
      <c r="T45" s="457" t="n">
        <f aca="false">SUM(T42:T44)</f>
        <v>1.25965973319354</v>
      </c>
      <c r="U45" s="457" t="n">
        <f aca="false">SUM(U42:U44)</f>
        <v>1.29744952518935</v>
      </c>
      <c r="V45" s="457" t="n">
        <f aca="false">SUM(V42:V44)</f>
        <v>1.33637301094503</v>
      </c>
      <c r="W45" s="457" t="n">
        <f aca="false">SUM(W42:W44)</f>
        <v>1.37646420127338</v>
      </c>
      <c r="X45" s="458" t="n">
        <f aca="false">SUM(X42:X44)</f>
        <v>0</v>
      </c>
      <c r="Y45" s="457"/>
      <c r="Z45" s="457"/>
      <c r="AA45" s="457"/>
      <c r="AB45" s="1"/>
      <c r="AC45" s="1"/>
      <c r="AD45" s="1"/>
    </row>
    <row r="46" customFormat="false" ht="12.6" hidden="false" customHeight="true" outlineLevel="0" collapsed="false">
      <c r="A46" s="412"/>
      <c r="B46" s="463"/>
      <c r="C46" s="30"/>
      <c r="D46" s="30"/>
      <c r="E46" s="30"/>
      <c r="F46" s="30"/>
      <c r="G46" s="30"/>
      <c r="H46" s="30"/>
      <c r="I46" s="30"/>
      <c r="J46" s="30"/>
      <c r="K46" s="30"/>
      <c r="L46" s="30"/>
      <c r="M46" s="30"/>
      <c r="N46" s="30"/>
      <c r="O46" s="30"/>
      <c r="P46" s="30"/>
      <c r="Q46" s="30"/>
      <c r="R46" s="30"/>
      <c r="S46" s="30"/>
      <c r="T46" s="30"/>
      <c r="U46" s="30"/>
      <c r="V46" s="30"/>
      <c r="W46" s="30"/>
      <c r="X46" s="464"/>
      <c r="Y46" s="465"/>
      <c r="Z46" s="465"/>
      <c r="AA46" s="465"/>
      <c r="AB46" s="1"/>
      <c r="AC46" s="1"/>
      <c r="AD46" s="1"/>
    </row>
    <row r="47" customFormat="false" ht="11.25" hidden="false" customHeight="false" outlineLevel="0" collapsed="false">
      <c r="A47" s="412" t="s">
        <v>390</v>
      </c>
      <c r="B47" s="459" t="n">
        <f aca="false">AVERAGE(C47:V47)</f>
        <v>1.03048103316424</v>
      </c>
      <c r="C47" s="457" t="n">
        <f aca="false">C45</f>
        <v>1.17469840657439</v>
      </c>
      <c r="D47" s="457" t="n">
        <f aca="false">D45</f>
        <v>0.70457704876359</v>
      </c>
      <c r="E47" s="457" t="n">
        <f aca="false">E45</f>
        <v>0.727049667087451</v>
      </c>
      <c r="F47" s="457" t="n">
        <f aca="false">F45</f>
        <v>0.748861157100075</v>
      </c>
      <c r="G47" s="457" t="n">
        <f aca="false">G45</f>
        <v>0.82229409968659</v>
      </c>
      <c r="H47" s="457" t="n">
        <f aca="false">H45</f>
        <v>0.883499992751197</v>
      </c>
      <c r="I47" s="457" t="n">
        <f aca="false">I45</f>
        <v>0.910004992533733</v>
      </c>
      <c r="J47" s="457" t="n">
        <f aca="false">J45</f>
        <v>0.937305142309745</v>
      </c>
      <c r="K47" s="457" t="n">
        <f aca="false">K45</f>
        <v>0.965424296579037</v>
      </c>
      <c r="L47" s="457" t="n">
        <f aca="false">L45</f>
        <v>0.994387025476408</v>
      </c>
      <c r="M47" s="457" t="n">
        <f aca="false">M45</f>
        <v>1.0242186362407</v>
      </c>
      <c r="N47" s="457" t="n">
        <f aca="false">N45</f>
        <v>1.05494519532792</v>
      </c>
      <c r="O47" s="457" t="n">
        <f aca="false">O45</f>
        <v>1.08659355118776</v>
      </c>
      <c r="P47" s="457" t="n">
        <f aca="false">P45</f>
        <v>1.11919135772339</v>
      </c>
      <c r="Q47" s="457" t="n">
        <f aca="false">Q45</f>
        <v>1.15276709845509</v>
      </c>
      <c r="R47" s="457" t="n">
        <f aca="false">R45</f>
        <v>1.18735011140875</v>
      </c>
      <c r="S47" s="457" t="n">
        <f aca="false">S45</f>
        <v>1.22297061475101</v>
      </c>
      <c r="T47" s="457" t="n">
        <f aca="false">T45</f>
        <v>1.25965973319354</v>
      </c>
      <c r="U47" s="457" t="n">
        <f aca="false">U45</f>
        <v>1.29744952518935</v>
      </c>
      <c r="V47" s="457" t="n">
        <f aca="false">V45</f>
        <v>1.33637301094503</v>
      </c>
      <c r="W47" s="457" t="n">
        <f aca="false">W45</f>
        <v>1.37646420127338</v>
      </c>
      <c r="X47" s="458" t="n">
        <v>0</v>
      </c>
      <c r="Y47" s="457"/>
      <c r="Z47" s="457"/>
      <c r="AA47" s="457"/>
      <c r="AB47" s="1"/>
      <c r="AC47" s="1"/>
      <c r="AD47" s="1"/>
    </row>
    <row r="48" customFormat="false" ht="11.25" hidden="false" customHeight="false" outlineLevel="0" collapsed="false">
      <c r="A48" s="412" t="s">
        <v>391</v>
      </c>
      <c r="B48" s="459" t="n">
        <f aca="false">AVERAGE(C48:V48)</f>
        <v>0.112374955037362</v>
      </c>
      <c r="C48" s="457" t="n">
        <f aca="false">IF(Operations!C3&gt;ProjectLife,0,C32/'Project Assumptions'!$I$10/SUM('Book Income Statement'!D6:D7))</f>
        <v>0</v>
      </c>
      <c r="D48" s="457" t="n">
        <f aca="false">IF(Operations!D3&gt;ProjectLife,0,D32/'Project Assumptions'!$I$10/SUM('Book Income Statement'!E6:E7))</f>
        <v>0.103537650523023</v>
      </c>
      <c r="E48" s="457" t="n">
        <f aca="false">IF(Operations!E3&gt;ProjectLife,0,E32/'Project Assumptions'!$I$10/SUM('Book Income Statement'!F6:F7))</f>
        <v>0.101445980815487</v>
      </c>
      <c r="F48" s="457" t="n">
        <f aca="false">IF(Operations!F3&gt;ProjectLife,0,F32/'Project Assumptions'!$I$10/SUM('Book Income Statement'!G6:G7))</f>
        <v>0.0993543111079515</v>
      </c>
      <c r="G48" s="457" t="n">
        <f aca="false">IF(Operations!G3&gt;ProjectLife,0,G32/'Project Assumptions'!$I$10/SUM('Book Income Statement'!H6:H7))</f>
        <v>0.0972626414004157</v>
      </c>
      <c r="H48" s="457" t="n">
        <f aca="false">IF(Operations!H3&gt;ProjectLife,0,H32/'Project Assumptions'!$I$10/SUM('Book Income Statement'!I6:I7))</f>
        <v>0.0951709716928799</v>
      </c>
      <c r="I48" s="457" t="n">
        <f aca="false">IF(Operations!I3&gt;ProjectLife,0,I32/'Project Assumptions'!$I$10/SUM('Book Income Statement'!J6:J7))</f>
        <v>0.0930793019853441</v>
      </c>
      <c r="J48" s="457" t="n">
        <f aca="false">IF(Operations!J3&gt;ProjectLife,0,J32/'Project Assumptions'!$I$10/SUM('Book Income Statement'!K6:K7))</f>
        <v>0.0899417974240403</v>
      </c>
      <c r="K48" s="457" t="n">
        <f aca="false">IF(Operations!K3&gt;ProjectLife,0,K32/'Project Assumptions'!$I$10/SUM('Book Income Statement'!L6:L7))</f>
        <v>0.0868042928627366</v>
      </c>
      <c r="L48" s="457" t="n">
        <f aca="false">IF(Operations!L3&gt;ProjectLife,0,L32/'Project Assumptions'!$I$10/SUM('Book Income Statement'!M6:M7))</f>
        <v>0.0836667883014329</v>
      </c>
      <c r="M48" s="457" t="n">
        <f aca="false">IF(Operations!M3&gt;ProjectLife,0,M32/'Project Assumptions'!$I$10/SUM('Book Income Statement'!N6:N7))</f>
        <v>0.0794834488863612</v>
      </c>
      <c r="N48" s="457" t="n">
        <f aca="false">IF(Operations!N3&gt;ProjectLife,0,N32/'Project Assumptions'!$I$10/SUM('Book Income Statement'!O6:O7))</f>
        <v>0.225900328413869</v>
      </c>
      <c r="O48" s="457" t="n">
        <f aca="false">IF(Operations!O3&gt;ProjectLife,0,O32/'Project Assumptions'!$I$10/SUM('Book Income Statement'!P6:P7))</f>
        <v>0.21021280560735</v>
      </c>
      <c r="P48" s="457" t="n">
        <f aca="false">IF(Operations!P3&gt;ProjectLife,0,P32/'Project Assumptions'!$I$10/SUM('Book Income Statement'!Q6:Q7))</f>
        <v>0.191387778239528</v>
      </c>
      <c r="Q48" s="457" t="n">
        <f aca="false">IF(Operations!Q3&gt;ProjectLife,0,Q32/'Project Assumptions'!$I$10/SUM('Book Income Statement'!R6:R7))</f>
        <v>0.172562750871705</v>
      </c>
      <c r="R48" s="457" t="n">
        <f aca="false">IF(Operations!R3&gt;ProjectLife,0,R32/'Project Assumptions'!$I$10/SUM('Book Income Statement'!S6:S7))</f>
        <v>0.153737723503883</v>
      </c>
      <c r="S48" s="457" t="n">
        <f aca="false">IF(Operations!S3&gt;ProjectLife,0,S32/'Project Assumptions'!$I$10/SUM('Book Income Statement'!T6:T7))</f>
        <v>0.128637687013453</v>
      </c>
      <c r="T48" s="457" t="n">
        <f aca="false">IF(Operations!T3&gt;ProjectLife,0,T32/'Project Assumptions'!$I$10/SUM('Book Income Statement'!U6:U7))</f>
        <v>0.100400145961719</v>
      </c>
      <c r="U48" s="457" t="n">
        <f aca="false">IF(Operations!U3&gt;ProjectLife,0,U32/'Project Assumptions'!$I$10/SUM('Book Income Statement'!V6:V7))</f>
        <v>0.0721626049099859</v>
      </c>
      <c r="V48" s="457" t="n">
        <f aca="false">IF(Operations!V3&gt;ProjectLife,0,V32/'Project Assumptions'!$I$10/SUM('Book Income Statement'!W6:W7))</f>
        <v>0.0627500912260747</v>
      </c>
      <c r="W48" s="457" t="n">
        <f aca="false">IF(Operations!W3&gt;ProjectLife+1,0,W32/'Project Assumptions'!$I$10/SUM('Book Income Statement'!X6:X7))</f>
        <v>0.0627500912260747</v>
      </c>
      <c r="X48" s="458" t="n">
        <v>0</v>
      </c>
      <c r="Y48" s="457"/>
      <c r="Z48" s="457"/>
      <c r="AA48" s="457"/>
      <c r="AB48" s="1"/>
      <c r="AC48" s="1"/>
      <c r="AD48" s="1"/>
    </row>
    <row r="49" customFormat="false" ht="11.25" hidden="false" customHeight="false" outlineLevel="0" collapsed="false">
      <c r="A49" s="412" t="s">
        <v>392</v>
      </c>
      <c r="B49" s="459" t="n">
        <f aca="false">AVERAGE(C49:V49)</f>
        <v>0</v>
      </c>
      <c r="C49" s="457" t="n">
        <f aca="false">IF(Operations!C3&gt;ProjectLife,0,C33/'Project Assumptions'!$I$10/SUM('Book Income Statement'!D6:D7))</f>
        <v>0</v>
      </c>
      <c r="D49" s="457" t="n">
        <f aca="false">IF(Operations!D3&gt;ProjectLife,0,D33/'Project Assumptions'!$I$10/SUM('Book Income Statement'!E6:E7))</f>
        <v>0</v>
      </c>
      <c r="E49" s="457" t="n">
        <f aca="false">IF(Operations!E3&gt;ProjectLife,0,E33/'Project Assumptions'!$I$10/SUM('Book Income Statement'!F6:F7))</f>
        <v>0</v>
      </c>
      <c r="F49" s="457" t="n">
        <f aca="false">IF(Operations!F3&gt;ProjectLife,0,F33/'Project Assumptions'!$I$10/SUM('Book Income Statement'!G6:G7))</f>
        <v>0</v>
      </c>
      <c r="G49" s="457" t="n">
        <f aca="false">IF(Operations!G3&gt;ProjectLife,0,G33/'Project Assumptions'!$I$10/SUM('Book Income Statement'!H6:H7))</f>
        <v>0</v>
      </c>
      <c r="H49" s="457" t="n">
        <f aca="false">IF(Operations!H3&gt;ProjectLife,0,H33/'Project Assumptions'!$I$10/SUM('Book Income Statement'!I6:I7))</f>
        <v>0</v>
      </c>
      <c r="I49" s="457" t="n">
        <f aca="false">IF(Operations!I3&gt;ProjectLife,0,I33/'Project Assumptions'!$I$10/SUM('Book Income Statement'!J6:J7))</f>
        <v>0</v>
      </c>
      <c r="J49" s="457" t="n">
        <f aca="false">IF(Operations!J3&gt;ProjectLife,0,J33/'Project Assumptions'!$I$10/SUM('Book Income Statement'!K6:K7))</f>
        <v>0</v>
      </c>
      <c r="K49" s="457" t="n">
        <f aca="false">IF(Operations!K3&gt;ProjectLife,0,K33/'Project Assumptions'!$I$10/SUM('Book Income Statement'!L6:L7))</f>
        <v>0</v>
      </c>
      <c r="L49" s="457" t="n">
        <f aca="false">IF(Operations!L3&gt;ProjectLife,0,L33/'Project Assumptions'!$I$10/SUM('Book Income Statement'!M6:M7))</f>
        <v>0</v>
      </c>
      <c r="M49" s="457" t="n">
        <f aca="false">IF(Operations!M3&gt;ProjectLife,0,M33/'Project Assumptions'!$I$10/SUM('Book Income Statement'!N6:N7))</f>
        <v>0</v>
      </c>
      <c r="N49" s="457" t="n">
        <f aca="false">IF(Operations!N3&gt;ProjectLife,0,N33/'Project Assumptions'!$I$10/SUM('Book Income Statement'!O6:O7))</f>
        <v>0</v>
      </c>
      <c r="O49" s="457" t="n">
        <f aca="false">IF(Operations!O3&gt;ProjectLife,0,O33/'Project Assumptions'!$I$10/SUM('Book Income Statement'!P6:P7))</f>
        <v>0</v>
      </c>
      <c r="P49" s="457" t="n">
        <f aca="false">IF(Operations!P3&gt;ProjectLife,0,P33/'Project Assumptions'!$I$10/SUM('Book Income Statement'!Q6:Q7))</f>
        <v>0</v>
      </c>
      <c r="Q49" s="457" t="n">
        <f aca="false">IF(Operations!Q3&gt;ProjectLife,0,Q33/'Project Assumptions'!$I$10/SUM('Book Income Statement'!R6:R7))</f>
        <v>0</v>
      </c>
      <c r="R49" s="457" t="n">
        <f aca="false">IF(Operations!R3&gt;ProjectLife,0,R33/'Project Assumptions'!$I$10/SUM('Book Income Statement'!S6:S7))</f>
        <v>0</v>
      </c>
      <c r="S49" s="457" t="n">
        <f aca="false">IF(Operations!S3&gt;ProjectLife,0,S33/'Project Assumptions'!$I$10/SUM('Book Income Statement'!T6:T7))</f>
        <v>0</v>
      </c>
      <c r="T49" s="457" t="n">
        <f aca="false">IF(Operations!T3&gt;ProjectLife,0,T33/'Project Assumptions'!$I$10/SUM('Book Income Statement'!U6:U7))</f>
        <v>0</v>
      </c>
      <c r="U49" s="457" t="n">
        <f aca="false">IF(Operations!U3&gt;ProjectLife,0,U33/'Project Assumptions'!$I$10/SUM('Book Income Statement'!V6:V7))</f>
        <v>0</v>
      </c>
      <c r="V49" s="457" t="n">
        <f aca="false">IF(Operations!V3&gt;ProjectLife,0,V33/'Project Assumptions'!$I$10/SUM('Book Income Statement'!W6:W7))</f>
        <v>0</v>
      </c>
      <c r="W49" s="457" t="n">
        <f aca="false">IF(Operations!W3&gt;ProjectLife+1,0,W33/'Project Assumptions'!$I$10/SUM('Book Income Statement'!X6:X7))</f>
        <v>0</v>
      </c>
      <c r="X49" s="458" t="n">
        <v>0</v>
      </c>
      <c r="Y49" s="457"/>
      <c r="Z49" s="457"/>
      <c r="AA49" s="457"/>
      <c r="AB49" s="1"/>
      <c r="AC49" s="1"/>
      <c r="AD49" s="1"/>
    </row>
    <row r="50" customFormat="false" ht="13.5" hidden="false" customHeight="false" outlineLevel="0" collapsed="false">
      <c r="A50" s="412" t="s">
        <v>393</v>
      </c>
      <c r="B50" s="460" t="n">
        <f aca="false">AVERAGE(C50:V50)</f>
        <v>2.26530879986802</v>
      </c>
      <c r="C50" s="461" t="n">
        <f aca="false">IF(Operations!C3&gt;ProjectLife,0,'Returns Summary'!C23/'Project Assumptions'!$I$10/SUM('Book Income Statement'!D6:D7))</f>
        <v>6.28256461538462</v>
      </c>
      <c r="D50" s="461" t="n">
        <f aca="false">IF(Operations!D3&gt;ProjectLife,0,'Returns Summary'!D23/'Project Assumptions'!$I$10/SUM('Book Income Statement'!E6:E7))</f>
        <v>2.55751546003017</v>
      </c>
      <c r="E50" s="461" t="n">
        <f aca="false">IF(Operations!E3&gt;ProjectLife,0,'Returns Summary'!E23/'Project Assumptions'!$I$10/SUM('Book Income Statement'!F6:F7))</f>
        <v>2.82655659879336</v>
      </c>
      <c r="F50" s="461" t="n">
        <f aca="false">IF(Operations!F3&gt;ProjectLife,0,'Returns Summary'!F23/'Project Assumptions'!$I$10/SUM('Book Income Statement'!G6:G7))</f>
        <v>3.07067268476621</v>
      </c>
      <c r="G50" s="461" t="n">
        <f aca="false">IF(Operations!G3&gt;ProjectLife,0,'Returns Summary'!G23/'Project Assumptions'!$I$10/SUM('Book Income Statement'!H6:H7))</f>
        <v>2.30628528657617</v>
      </c>
      <c r="H50" s="461" t="n">
        <f aca="false">IF(Operations!H3&gt;ProjectLife,0,'Returns Summary'!H23/'Project Assumptions'!$I$10/SUM('Book Income Statement'!I6:I7))</f>
        <v>2.23676400829563</v>
      </c>
      <c r="I50" s="461" t="n">
        <f aca="false">IF(Operations!I3&gt;ProjectLife,0,'Returns Summary'!I23/'Project Assumptions'!$I$10/SUM('Book Income Statement'!J6:J7))</f>
        <v>2.2874821719457</v>
      </c>
      <c r="J50" s="461" t="n">
        <f aca="false">IF(Operations!J3&gt;ProjectLife,0,'Returns Summary'!J23/'Project Assumptions'!$I$10/SUM('Book Income Statement'!K6:K7))</f>
        <v>2.20812530731523</v>
      </c>
      <c r="K50" s="461" t="n">
        <f aca="false">IF(Operations!K3&gt;ProjectLife,0,'Returns Summary'!K23/'Project Assumptions'!$I$10/SUM('Book Income Statement'!L6:L7))</f>
        <v>2.78729031297134</v>
      </c>
      <c r="L50" s="461" t="n">
        <f aca="false">IF(Operations!L3&gt;ProjectLife,0,'Returns Summary'!L23/'Project Assumptions'!$I$10/SUM('Book Income Statement'!M6:M7))</f>
        <v>3.10758371983409</v>
      </c>
      <c r="M50" s="461" t="n">
        <f aca="false">IF(Operations!M3&gt;ProjectLife,0,'Returns Summary'!M23/'Project Assumptions'!$I$10/SUM('Book Income Statement'!N6:N7))</f>
        <v>1.29731143476621</v>
      </c>
      <c r="N50" s="461" t="n">
        <f aca="false">IF(Operations!N3&gt;ProjectLife,0,'Returns Summary'!N23/'Project Assumptions'!$I$10/SUM('Book Income Statement'!O6:O7))</f>
        <v>1.37820853129713</v>
      </c>
      <c r="O50" s="461" t="n">
        <f aca="false">IF(Operations!O3&gt;ProjectLife,0,'Returns Summary'!O23/'Project Assumptions'!$I$10/SUM('Book Income Statement'!P6:P7))</f>
        <v>1.32903059954751</v>
      </c>
      <c r="P50" s="461" t="n">
        <f aca="false">IF(Operations!P3&gt;ProjectLife,0,'Returns Summary'!P23/'Project Assumptions'!$I$10/SUM('Book Income Statement'!Q6:Q7))</f>
        <v>1.27985266779789</v>
      </c>
      <c r="Q50" s="461" t="n">
        <f aca="false">IF(Operations!Q3&gt;ProjectLife,0,'Returns Summary'!Q23/'Project Assumptions'!$I$10/SUM('Book Income Statement'!R6:R7))</f>
        <v>1.23067473604827</v>
      </c>
      <c r="R50" s="461" t="n">
        <f aca="false">IF(Operations!R3&gt;ProjectLife,0,'Returns Summary'!R23/'Project Assumptions'!$I$10/SUM('Book Income Statement'!S6:S7))</f>
        <v>1.18149680429864</v>
      </c>
      <c r="S50" s="461" t="n">
        <f aca="false">IF(Operations!S3&gt;ProjectLife,0,'Returns Summary'!S23/'Project Assumptions'!$I$10/SUM('Book Income Statement'!T6:T7))</f>
        <v>1.73351608220211</v>
      </c>
      <c r="T50" s="461" t="n">
        <f aca="false">IF(Operations!T3&gt;ProjectLife,0,'Returns Summary'!T23/'Project Assumptions'!$I$10/SUM('Book Income Statement'!U6:U7))</f>
        <v>1.8756391025641</v>
      </c>
      <c r="U50" s="461" t="n">
        <f aca="false">IF(Operations!U3&gt;ProjectLife,0,'Returns Summary'!U23/'Project Assumptions'!$I$10/SUM('Book Income Statement'!V6:V7))</f>
        <v>2.11833039215686</v>
      </c>
      <c r="V50" s="461" t="n">
        <f aca="false">IF(Operations!V3&gt;ProjectLife,0,'Returns Summary'!V23/'Project Assumptions'!$I$10/SUM('Book Income Statement'!W6:W7))</f>
        <v>2.21127548076923</v>
      </c>
      <c r="W50" s="461" t="n">
        <f aca="false">IF(Operations!W3&gt;ProjectLife+1,0,'Returns Summary'!W23/'Project Assumptions'!$I$10/SUM('Book Income Statement'!X6:X7))</f>
        <v>0</v>
      </c>
      <c r="X50" s="462" t="n">
        <v>0</v>
      </c>
      <c r="Y50" s="461"/>
      <c r="Z50" s="461"/>
      <c r="AA50" s="461"/>
      <c r="AB50" s="1"/>
      <c r="AC50" s="1"/>
      <c r="AD50" s="1"/>
    </row>
    <row r="51" customFormat="false" ht="12.6" hidden="false" customHeight="true" outlineLevel="0" collapsed="false">
      <c r="A51" s="412" t="s">
        <v>394</v>
      </c>
      <c r="B51" s="459" t="n">
        <f aca="false">AVERAGE(C51:V51)</f>
        <v>3.40816478806962</v>
      </c>
      <c r="C51" s="457" t="n">
        <f aca="false">SUM(C47:C50)</f>
        <v>7.45726302195901</v>
      </c>
      <c r="D51" s="457" t="n">
        <f aca="false">SUM(D47:D50)</f>
        <v>3.36563015931678</v>
      </c>
      <c r="E51" s="457" t="n">
        <f aca="false">SUM(E47:E50)</f>
        <v>3.6550522466963</v>
      </c>
      <c r="F51" s="457" t="n">
        <f aca="false">SUM(F47:F50)</f>
        <v>3.91888815297424</v>
      </c>
      <c r="G51" s="457" t="n">
        <f aca="false">SUM(G47:G50)</f>
        <v>3.22584202766318</v>
      </c>
      <c r="H51" s="457" t="n">
        <f aca="false">SUM(H47:H50)</f>
        <v>3.2154349727397</v>
      </c>
      <c r="I51" s="457" t="n">
        <f aca="false">SUM(I47:I50)</f>
        <v>3.29056646646478</v>
      </c>
      <c r="J51" s="457" t="n">
        <f aca="false">SUM(J47:J50)</f>
        <v>3.23537224704902</v>
      </c>
      <c r="K51" s="457" t="n">
        <f aca="false">SUM(K47:K50)</f>
        <v>3.83951890241312</v>
      </c>
      <c r="L51" s="457" t="n">
        <f aca="false">SUM(L47:L50)</f>
        <v>4.18563753361193</v>
      </c>
      <c r="M51" s="457" t="n">
        <f aca="false">SUM(M47:M50)</f>
        <v>2.40101351989328</v>
      </c>
      <c r="N51" s="457" t="n">
        <f aca="false">SUM(N47:N50)</f>
        <v>2.65905405503893</v>
      </c>
      <c r="O51" s="457" t="n">
        <f aca="false">SUM(O47:O50)</f>
        <v>2.62583695634262</v>
      </c>
      <c r="P51" s="457" t="n">
        <f aca="false">SUM(P47:P50)</f>
        <v>2.59043180376081</v>
      </c>
      <c r="Q51" s="457" t="n">
        <f aca="false">SUM(Q47:Q50)</f>
        <v>2.55600458537506</v>
      </c>
      <c r="R51" s="457" t="n">
        <f aca="false">SUM(R47:R50)</f>
        <v>2.52258463921127</v>
      </c>
      <c r="S51" s="457" t="n">
        <f aca="false">SUM(S47:S50)</f>
        <v>3.08512438396657</v>
      </c>
      <c r="T51" s="457" t="n">
        <f aca="false">SUM(T47:T50)</f>
        <v>3.23569898171936</v>
      </c>
      <c r="U51" s="457" t="n">
        <f aca="false">SUM(U47:U50)</f>
        <v>3.48794252225619</v>
      </c>
      <c r="V51" s="457" t="n">
        <f aca="false">SUM(V47:V50)</f>
        <v>3.61039858294033</v>
      </c>
      <c r="W51" s="457" t="n">
        <f aca="false">SUM(W47:W50)</f>
        <v>1.43921429249945</v>
      </c>
      <c r="X51" s="458" t="n">
        <f aca="false">SUM(X47:X50)</f>
        <v>0</v>
      </c>
      <c r="Y51" s="457"/>
      <c r="Z51" s="457"/>
      <c r="AA51" s="457"/>
      <c r="AB51" s="1"/>
      <c r="AC51" s="1"/>
      <c r="AD51" s="1"/>
    </row>
    <row r="52" customFormat="false" ht="12.6" hidden="false" customHeight="true" outlineLevel="0" collapsed="false">
      <c r="A52" s="412"/>
      <c r="B52" s="459"/>
      <c r="C52" s="457"/>
      <c r="D52" s="457"/>
      <c r="E52" s="457"/>
      <c r="F52" s="457"/>
      <c r="G52" s="457"/>
      <c r="H52" s="457"/>
      <c r="I52" s="457"/>
      <c r="J52" s="457"/>
      <c r="K52" s="457"/>
      <c r="L52" s="457"/>
      <c r="M52" s="457"/>
      <c r="N52" s="457"/>
      <c r="O52" s="457"/>
      <c r="P52" s="457"/>
      <c r="Q52" s="457"/>
      <c r="R52" s="457"/>
      <c r="S52" s="457"/>
      <c r="T52" s="457"/>
      <c r="U52" s="457"/>
      <c r="V52" s="457"/>
      <c r="W52" s="457"/>
      <c r="X52" s="458"/>
      <c r="Y52" s="457"/>
      <c r="Z52" s="457"/>
      <c r="AA52" s="457"/>
      <c r="AB52" s="1"/>
      <c r="AC52" s="1"/>
      <c r="AD52" s="1"/>
    </row>
    <row r="53" customFormat="false" ht="12.6" hidden="false" customHeight="true" outlineLevel="0" collapsed="false">
      <c r="A53" s="412" t="s">
        <v>395</v>
      </c>
      <c r="B53" s="459" t="n">
        <f aca="false">AVERAGE(C53:V53)</f>
        <v>0.267080371131612</v>
      </c>
      <c r="C53" s="457" t="n">
        <f aca="false">'PPA Assumptions &amp; Summary'!C38/'Project Assumptions'!$I$10/SUM('Book Income Statement'!D6:D7)</f>
        <v>0.198791699937894</v>
      </c>
      <c r="D53" s="457" t="n">
        <f aca="false">'PPA Assumptions &amp; Summary'!D38/'Project Assumptions'!$I$10/SUM('Book Income Statement'!E6:E7)</f>
        <v>0.204755450936031</v>
      </c>
      <c r="E53" s="457" t="n">
        <f aca="false">'PPA Assumptions &amp; Summary'!E38/'Project Assumptions'!$I$10/SUM('Book Income Statement'!F6:F7)</f>
        <v>0.210898114464111</v>
      </c>
      <c r="F53" s="457" t="n">
        <f aca="false">'PPA Assumptions &amp; Summary'!F38/'Project Assumptions'!$I$10/SUM('Book Income Statement'!G6:G7)</f>
        <v>0.217225057898035</v>
      </c>
      <c r="G53" s="457" t="n">
        <f aca="false">'PPA Assumptions &amp; Summary'!G38/'Project Assumptions'!$I$10/SUM('Book Income Statement'!H6:H7)</f>
        <v>0.223741809634976</v>
      </c>
      <c r="H53" s="457" t="n">
        <f aca="false">'PPA Assumptions &amp; Summary'!H38/'Project Assumptions'!$I$10/SUM('Book Income Statement'!I6:I7)</f>
        <v>0.230454063924025</v>
      </c>
      <c r="I53" s="457" t="n">
        <f aca="false">'PPA Assumptions &amp; Summary'!I38/'Project Assumptions'!$I$10/SUM('Book Income Statement'!J6:J7)</f>
        <v>0.237367685841746</v>
      </c>
      <c r="J53" s="457" t="n">
        <f aca="false">'PPA Assumptions &amp; Summary'!J38/'Project Assumptions'!$I$10/SUM('Book Income Statement'!K6:K7)</f>
        <v>0.244488716416998</v>
      </c>
      <c r="K53" s="457" t="n">
        <f aca="false">'PPA Assumptions &amp; Summary'!K38/'Project Assumptions'!$I$10/SUM('Book Income Statement'!L6:L7)</f>
        <v>0.251823377909508</v>
      </c>
      <c r="L53" s="457" t="n">
        <f aca="false">'PPA Assumptions &amp; Summary'!L38/'Project Assumptions'!$I$10/SUM('Book Income Statement'!M6:M7)</f>
        <v>0.259378079246794</v>
      </c>
      <c r="M53" s="457" t="n">
        <f aca="false">'PPA Assumptions &amp; Summary'!M38/'Project Assumptions'!$I$10/SUM('Book Income Statement'!N6:N7)</f>
        <v>0.267159421624197</v>
      </c>
      <c r="N53" s="457" t="n">
        <f aca="false">'PPA Assumptions &amp; Summary'!N38/'Project Assumptions'!$I$10/SUM('Book Income Statement'!O6:O7)</f>
        <v>0.275174204272923</v>
      </c>
      <c r="O53" s="457" t="n">
        <f aca="false">'PPA Assumptions &amp; Summary'!O38/'Project Assumptions'!$I$10/SUM('Book Income Statement'!P6:P7)</f>
        <v>0.283429430401111</v>
      </c>
      <c r="P53" s="457" t="n">
        <f aca="false">'PPA Assumptions &amp; Summary'!P38/'Project Assumptions'!$I$10/SUM('Book Income Statement'!Q6:Q7)</f>
        <v>0.291932313313144</v>
      </c>
      <c r="Q53" s="457" t="n">
        <f aca="false">'PPA Assumptions &amp; Summary'!Q38/'Project Assumptions'!$I$10/SUM('Book Income Statement'!R6:R7)</f>
        <v>0.300690282712539</v>
      </c>
      <c r="R53" s="457" t="n">
        <f aca="false">'PPA Assumptions &amp; Summary'!R38/'Project Assumptions'!$I$10/SUM('Book Income Statement'!S6:S7)</f>
        <v>0.309710991193915</v>
      </c>
      <c r="S53" s="457" t="n">
        <f aca="false">'PPA Assumptions &amp; Summary'!S38/'Project Assumptions'!$I$10/SUM('Book Income Statement'!T6:T7)</f>
        <v>0.319002320929732</v>
      </c>
      <c r="T53" s="457" t="n">
        <f aca="false">'PPA Assumptions &amp; Summary'!T38/'Project Assumptions'!$I$10/SUM('Book Income Statement'!U6:U7)</f>
        <v>0.328572390557624</v>
      </c>
      <c r="U53" s="457" t="n">
        <f aca="false">'PPA Assumptions &amp; Summary'!U38/'Project Assumptions'!$I$10/SUM('Book Income Statement'!V6:V7)</f>
        <v>0.338429562274353</v>
      </c>
      <c r="V53" s="457" t="n">
        <f aca="false">'PPA Assumptions &amp; Summary'!V38/'Project Assumptions'!$I$10/SUM('Book Income Statement'!W6:W7)</f>
        <v>0.348582449142584</v>
      </c>
      <c r="W53" s="457" t="n">
        <f aca="false">'PPA Assumptions &amp; Summary'!W38/'Project Assumptions'!$I$10/SUM('Book Income Statement'!X6:X7)</f>
        <v>0.359039922616861</v>
      </c>
      <c r="X53" s="458" t="n">
        <v>0</v>
      </c>
      <c r="Y53" s="466"/>
      <c r="Z53" s="466"/>
      <c r="AA53" s="466"/>
      <c r="AB53" s="1"/>
      <c r="AC53" s="1"/>
      <c r="AD53" s="1"/>
    </row>
    <row r="54" customFormat="false" ht="12.6" hidden="false" customHeight="true" outlineLevel="0" collapsed="false">
      <c r="A54" s="412" t="s">
        <v>384</v>
      </c>
      <c r="B54" s="467" t="n">
        <f aca="false">AVERAGE(C54:V54)</f>
        <v>0.188809634511586</v>
      </c>
      <c r="C54" s="457" t="n">
        <f aca="false">'PPA Assumptions &amp; Summary'!C39/'Project Assumptions'!$I$10/SUM('Book Income Statement'!D6:D7)</f>
        <v>0.151743810708899</v>
      </c>
      <c r="D54" s="457" t="n">
        <f aca="false">'PPA Assumptions &amp; Summary'!D39/'Project Assumptions'!$I$10/SUM('Book Income Statement'!E6:E7)</f>
        <v>0.144303374792609</v>
      </c>
      <c r="E54" s="457" t="n">
        <f aca="false">'PPA Assumptions &amp; Summary'!E39/'Project Assumptions'!$I$10/SUM('Book Income Statement'!F6:F7)</f>
        <v>0.148632476036388</v>
      </c>
      <c r="F54" s="457" t="n">
        <f aca="false">'PPA Assumptions &amp; Summary'!F39/'Project Assumptions'!$I$10/SUM('Book Income Statement'!G6:G7)</f>
        <v>0.153091450317479</v>
      </c>
      <c r="G54" s="457" t="n">
        <f aca="false">'PPA Assumptions &amp; Summary'!G39/'Project Assumptions'!$I$10/SUM('Book Income Statement'!H6:H7)</f>
        <v>0.157684193827004</v>
      </c>
      <c r="H54" s="457" t="n">
        <f aca="false">'PPA Assumptions &amp; Summary'!H39/'Project Assumptions'!$I$10/SUM('Book Income Statement'!I6:I7)</f>
        <v>0.162414719641814</v>
      </c>
      <c r="I54" s="457" t="n">
        <f aca="false">'PPA Assumptions &amp; Summary'!I39/'Project Assumptions'!$I$10/SUM('Book Income Statement'!J6:J7)</f>
        <v>0.167287161231068</v>
      </c>
      <c r="J54" s="457" t="n">
        <f aca="false">'PPA Assumptions &amp; Summary'!J39/'Project Assumptions'!$I$10/SUM('Book Income Statement'!K6:K7)</f>
        <v>0.172305776068</v>
      </c>
      <c r="K54" s="457" t="n">
        <f aca="false">'PPA Assumptions &amp; Summary'!K39/'Project Assumptions'!$I$10/SUM('Book Income Statement'!L6:L7)</f>
        <v>0.17747494935004</v>
      </c>
      <c r="L54" s="457" t="n">
        <f aca="false">'PPA Assumptions &amp; Summary'!L39/'Project Assumptions'!$I$10/SUM('Book Income Statement'!M6:M7)</f>
        <v>0.182799197830541</v>
      </c>
      <c r="M54" s="457" t="n">
        <f aca="false">'PPA Assumptions &amp; Summary'!M39/'Project Assumptions'!$I$10/SUM('Book Income Statement'!N6:N7)</f>
        <v>0.188283173765458</v>
      </c>
      <c r="N54" s="457" t="n">
        <f aca="false">'PPA Assumptions &amp; Summary'!N39/'Project Assumptions'!$I$10/SUM('Book Income Statement'!O6:O7)</f>
        <v>0.193931668978421</v>
      </c>
      <c r="O54" s="457" t="n">
        <f aca="false">'PPA Assumptions &amp; Summary'!O39/'Project Assumptions'!$I$10/SUM('Book Income Statement'!P6:P7)</f>
        <v>0.199749619047774</v>
      </c>
      <c r="P54" s="457" t="n">
        <f aca="false">'PPA Assumptions &amp; Summary'!P39/'Project Assumptions'!$I$10/SUM('Book Income Statement'!Q6:Q7)</f>
        <v>0.205742107619207</v>
      </c>
      <c r="Q54" s="457" t="n">
        <f aca="false">'PPA Assumptions &amp; Summary'!Q39/'Project Assumptions'!$I$10/SUM('Book Income Statement'!R6:R7)</f>
        <v>0.211914370847784</v>
      </c>
      <c r="R54" s="457" t="n">
        <f aca="false">'PPA Assumptions &amp; Summary'!R39/'Project Assumptions'!$I$10/SUM('Book Income Statement'!S6:S7)</f>
        <v>0.218271801973217</v>
      </c>
      <c r="S54" s="457" t="n">
        <f aca="false">'PPA Assumptions &amp; Summary'!S39/'Project Assumptions'!$I$10/SUM('Book Income Statement'!T6:T7)</f>
        <v>0.224819956032414</v>
      </c>
      <c r="T54" s="457" t="n">
        <f aca="false">'PPA Assumptions &amp; Summary'!T39/'Project Assumptions'!$I$10/SUM('Book Income Statement'!U6:U7)</f>
        <v>0.231564554713386</v>
      </c>
      <c r="U54" s="457" t="n">
        <f aca="false">'PPA Assumptions &amp; Summary'!U39/'Project Assumptions'!$I$10/SUM('Book Income Statement'!V6:V7)</f>
        <v>0.238511491354788</v>
      </c>
      <c r="V54" s="457" t="n">
        <f aca="false">'PPA Assumptions &amp; Summary'!V39/'Project Assumptions'!$I$10/SUM('Book Income Statement'!W6:W7)</f>
        <v>0.245666836095431</v>
      </c>
      <c r="W54" s="457" t="n">
        <f aca="false">'PPA Assumptions &amp; Summary'!W39/'Project Assumptions'!$I$10/SUM('Book Income Statement'!X6:X7)</f>
        <v>0.253036841178294</v>
      </c>
      <c r="X54" s="458" t="n">
        <v>0</v>
      </c>
      <c r="Y54" s="457"/>
      <c r="Z54" s="457"/>
      <c r="AA54" s="457"/>
      <c r="AB54" s="1"/>
      <c r="AC54" s="1"/>
      <c r="AD54" s="1"/>
    </row>
    <row r="55" customFormat="false" ht="12.75" hidden="false" customHeight="false" outlineLevel="0" collapsed="false">
      <c r="A55" s="402"/>
      <c r="B55" s="149"/>
      <c r="C55" s="149"/>
      <c r="D55" s="149"/>
      <c r="E55" s="149"/>
      <c r="F55" s="149"/>
      <c r="G55" s="149"/>
      <c r="H55" s="149"/>
      <c r="I55" s="149"/>
      <c r="J55" s="149"/>
      <c r="K55" s="149"/>
      <c r="L55" s="149"/>
      <c r="M55" s="149"/>
      <c r="N55" s="149"/>
      <c r="O55" s="149"/>
      <c r="P55" s="149"/>
      <c r="Q55" s="149"/>
      <c r="R55" s="149"/>
      <c r="S55" s="149"/>
      <c r="T55" s="149"/>
      <c r="U55" s="149"/>
      <c r="V55" s="149"/>
      <c r="W55" s="149"/>
      <c r="X55" s="455"/>
    </row>
    <row r="56" customFormat="false" ht="12.75" hidden="false" customHeight="false" outlineLevel="0" collapsed="false">
      <c r="A56" s="435" t="s">
        <v>396</v>
      </c>
      <c r="B56" s="434" t="s">
        <v>374</v>
      </c>
      <c r="C56" s="441"/>
      <c r="D56" s="441"/>
      <c r="E56" s="441"/>
      <c r="F56" s="441"/>
      <c r="G56" s="441"/>
      <c r="H56" s="441"/>
      <c r="I56" s="441"/>
      <c r="J56" s="441"/>
      <c r="K56" s="441"/>
      <c r="L56" s="441"/>
      <c r="M56" s="441"/>
      <c r="N56" s="441"/>
      <c r="O56" s="441"/>
      <c r="P56" s="441"/>
      <c r="Q56" s="441"/>
      <c r="R56" s="441"/>
      <c r="S56" s="441"/>
      <c r="T56" s="441"/>
      <c r="U56" s="441"/>
      <c r="V56" s="441"/>
      <c r="W56" s="441"/>
      <c r="X56" s="447"/>
      <c r="Y56" s="441"/>
      <c r="Z56" s="441"/>
      <c r="AA56" s="441"/>
    </row>
    <row r="57" customFormat="false" ht="11.25" hidden="false" customHeight="false" outlineLevel="0" collapsed="false">
      <c r="A57" s="412" t="s">
        <v>397</v>
      </c>
      <c r="B57" s="456" t="n">
        <f aca="false">AVERAGE(C57:V57)</f>
        <v>1.19589377863287</v>
      </c>
      <c r="C57" s="457" t="n">
        <f aca="false">IF(Operations!C3&gt;ProjectLife,0,C29*1000/(Operations!C31))</f>
        <v>0.890120663650076</v>
      </c>
      <c r="D57" s="457" t="n">
        <f aca="false">IF(Operations!D3&gt;ProjectLife,0,D29*1000/(Operations!D31))</f>
        <v>0.916824283559578</v>
      </c>
      <c r="E57" s="457" t="n">
        <f aca="false">IF(Operations!E3&gt;ProjectLife,0,E29*1000/(Operations!E31))</f>
        <v>0.944329012066365</v>
      </c>
      <c r="F57" s="457" t="n">
        <f aca="false">IF(Operations!F3&gt;ProjectLife,0,F29*1000/(Operations!F31))</f>
        <v>0.972658882428356</v>
      </c>
      <c r="G57" s="457" t="n">
        <f aca="false">IF(Operations!G3&gt;ProjectLife,0,G29*1000/(Operations!G31))</f>
        <v>1.00183864890121</v>
      </c>
      <c r="H57" s="457" t="n">
        <f aca="false">IF(Operations!H3&gt;ProjectLife,0,H29*1000/(Operations!H31))</f>
        <v>1.03189380836824</v>
      </c>
      <c r="I57" s="457" t="n">
        <f aca="false">IF(Operations!I3&gt;ProjectLife,0,I29*1000/(Operations!I31))</f>
        <v>1.06285062261929</v>
      </c>
      <c r="J57" s="457" t="n">
        <f aca="false">IF(Operations!J3&gt;ProjectLife,0,J29*1000/(Operations!J31))</f>
        <v>1.09473614129787</v>
      </c>
      <c r="K57" s="457" t="n">
        <f aca="false">IF(Operations!K3&gt;ProjectLife,0,K29*1000/(Operations!K31))</f>
        <v>1.12757822553681</v>
      </c>
      <c r="L57" s="457" t="n">
        <f aca="false">IF(Operations!L3&gt;ProjectLife,0,L29*1000/(Operations!L31))</f>
        <v>1.16140557230291</v>
      </c>
      <c r="M57" s="457" t="n">
        <f aca="false">IF(Operations!M3&gt;ProjectLife,0,M29*1000/(Operations!M31))</f>
        <v>1.196247739472</v>
      </c>
      <c r="N57" s="457" t="n">
        <f aca="false">IF(Operations!N3&gt;ProjectLife,0,N29*1000/(Operations!N31))</f>
        <v>1.23213517165616</v>
      </c>
      <c r="O57" s="457" t="n">
        <f aca="false">IF(Operations!O3&gt;ProjectLife,0,O29*1000/(Operations!O31))</f>
        <v>1.26909922680584</v>
      </c>
      <c r="P57" s="457" t="n">
        <f aca="false">IF(Operations!P3&gt;ProjectLife,0,P29*1000/(Operations!P31))</f>
        <v>1.30717220361002</v>
      </c>
      <c r="Q57" s="457" t="n">
        <f aca="false">IF(Operations!Q3&gt;ProjectLife,0,Q29*1000/(Operations!Q31))</f>
        <v>1.34638736971832</v>
      </c>
      <c r="R57" s="457" t="n">
        <f aca="false">IF(Operations!R3&gt;ProjectLife,0,R29*1000/(Operations!R31))</f>
        <v>1.38677899080987</v>
      </c>
      <c r="S57" s="457" t="n">
        <f aca="false">IF(Operations!S3&gt;ProjectLife,0,S29*1000/(Operations!S31))</f>
        <v>1.42838236053416</v>
      </c>
      <c r="T57" s="457" t="n">
        <f aca="false">IF(Operations!T3&gt;ProjectLife,0,T29*1000/(Operations!T31))</f>
        <v>1.47123383135019</v>
      </c>
      <c r="U57" s="457" t="n">
        <f aca="false">IF(Operations!U3&gt;ProjectLife,0,U29*1000/(Operations!U31))</f>
        <v>1.51537084629069</v>
      </c>
      <c r="V57" s="457" t="n">
        <f aca="false">IF(Operations!V3&gt;ProjectLife,0,V29*1000/(Operations!V31))</f>
        <v>1.56083197167941</v>
      </c>
      <c r="W57" s="457" t="n">
        <f aca="false">IF(Operations!W3&gt;ProjectLife+1,0,W29*1000/(Operations!W31))</f>
        <v>1.6076569308298</v>
      </c>
      <c r="X57" s="458" t="n">
        <v>0</v>
      </c>
      <c r="Y57" s="457"/>
      <c r="Z57" s="457"/>
      <c r="AA57" s="457"/>
      <c r="AB57" s="1"/>
      <c r="AC57" s="1"/>
      <c r="AD57" s="1"/>
    </row>
    <row r="58" customFormat="false" ht="13.5" hidden="false" customHeight="false" outlineLevel="0" collapsed="false">
      <c r="A58" s="412" t="s">
        <v>398</v>
      </c>
      <c r="B58" s="460" t="n">
        <f aca="false">AVERAGE(C58:V58)</f>
        <v>4.73594126161477</v>
      </c>
      <c r="C58" s="461" t="n">
        <f aca="false">IF(Operations!C3&gt;ProjectLife,0,C31*1000/Operations!C31)</f>
        <v>1.46056462769497</v>
      </c>
      <c r="D58" s="461" t="n">
        <f aca="false">IF(Operations!D3&gt;ProjectLife,0,D31*1000/Operations!D31)</f>
        <v>3.42282864053375</v>
      </c>
      <c r="E58" s="461" t="n">
        <f aca="false">IF(Operations!E3&gt;ProjectLife,0,E31*1000/Operations!E31)</f>
        <v>3.47729805254312</v>
      </c>
      <c r="F58" s="461" t="n">
        <f aca="false">IF(Operations!F3&gt;ProjectLife,0,F31*1000/Operations!F31)</f>
        <v>3.58161699411941</v>
      </c>
      <c r="G58" s="461" t="n">
        <f aca="false">IF(Operations!G3&gt;ProjectLife,0,G31*1000/Operations!G31)</f>
        <v>3.92635534288628</v>
      </c>
      <c r="H58" s="461" t="n">
        <f aca="false">IF(Operations!H3&gt;ProjectLife,0,H31*1000/Operations!H31)</f>
        <v>4.23950355676073</v>
      </c>
      <c r="I58" s="461" t="n">
        <f aca="false">IF(Operations!I3&gt;ProjectLife,0,I31*1000/Operations!I31)</f>
        <v>4.36668866346355</v>
      </c>
      <c r="J58" s="461" t="n">
        <f aca="false">IF(Operations!J3&gt;ProjectLife,0,J31*1000/Operations!J31)</f>
        <v>4.49768932336746</v>
      </c>
      <c r="K58" s="461" t="n">
        <f aca="false">IF(Operations!K3&gt;ProjectLife,0,K31*1000/Operations!K31)</f>
        <v>4.63262000306848</v>
      </c>
      <c r="L58" s="461" t="n">
        <f aca="false">IF(Operations!L3&gt;ProjectLife,0,L31*1000/Operations!L31)</f>
        <v>4.77159860316053</v>
      </c>
      <c r="M58" s="461" t="n">
        <f aca="false">IF(Operations!M3&gt;ProjectLife,0,M31*1000/Operations!M31)</f>
        <v>4.91474656125535</v>
      </c>
      <c r="N58" s="461" t="n">
        <f aca="false">IF(Operations!N3&gt;ProjectLife,0,N31*1000/Operations!N31)</f>
        <v>5.06218895809301</v>
      </c>
      <c r="O58" s="461" t="n">
        <f aca="false">IF(Operations!O3&gt;ProjectLife,0,O31*1000/Operations!O31)</f>
        <v>5.2140546268358</v>
      </c>
      <c r="P58" s="461" t="n">
        <f aca="false">IF(Operations!P3&gt;ProjectLife,0,P31*1000/Operations!P31)</f>
        <v>5.37047626564088</v>
      </c>
      <c r="Q58" s="461" t="n">
        <f aca="false">IF(Operations!Q3&gt;ProjectLife,0,Q31*1000/Operations!Q31)</f>
        <v>5.5315905536101</v>
      </c>
      <c r="R58" s="461" t="n">
        <f aca="false">IF(Operations!R3&gt;ProjectLife,0,R31*1000/Operations!R31)</f>
        <v>5.6975382702184</v>
      </c>
      <c r="S58" s="461" t="n">
        <f aca="false">IF(Operations!S3&gt;ProjectLife,0,S31*1000/Operations!S31)</f>
        <v>5.86846441832496</v>
      </c>
      <c r="T58" s="461" t="n">
        <f aca="false">IF(Operations!T3&gt;ProjectLife,0,T31*1000/Operations!T31)</f>
        <v>6.04451835087471</v>
      </c>
      <c r="U58" s="461" t="n">
        <f aca="false">IF(Operations!U3&gt;ProjectLife,0,U31*1000/Operations!U31)</f>
        <v>6.22585390140095</v>
      </c>
      <c r="V58" s="461" t="n">
        <f aca="false">IF(Operations!V3&gt;ProjectLife,0,V31*1000/Operations!V31)</f>
        <v>6.41262951844298</v>
      </c>
      <c r="W58" s="461" t="n">
        <f aca="false">IF(Operations!W3&gt;ProjectLife+1,0,W31*1000/Operations!W31)</f>
        <v>6.60500840399627</v>
      </c>
      <c r="X58" s="462" t="n">
        <v>0</v>
      </c>
      <c r="Y58" s="461"/>
      <c r="Z58" s="461"/>
      <c r="AA58" s="461"/>
      <c r="AB58" s="1"/>
      <c r="AC58" s="1"/>
      <c r="AD58" s="1"/>
    </row>
    <row r="59" customFormat="false" ht="11.25" hidden="false" customHeight="false" outlineLevel="0" collapsed="false">
      <c r="A59" s="468" t="s">
        <v>399</v>
      </c>
      <c r="B59" s="467" t="n">
        <f aca="false">AVERAGE(C59:V59)</f>
        <v>5.93183504024764</v>
      </c>
      <c r="C59" s="469" t="n">
        <f aca="false">IF(Operations!C3&gt;ProjectLife,0,SUM(C57:C58))</f>
        <v>2.35068529134505</v>
      </c>
      <c r="D59" s="470" t="n">
        <f aca="false">IF(Operations!D3&gt;ProjectLife,0,SUM(D57:D58))</f>
        <v>4.33965292409333</v>
      </c>
      <c r="E59" s="470" t="n">
        <f aca="false">IF(Operations!E3&gt;ProjectLife,0,SUM(E57:E58))</f>
        <v>4.42162706460949</v>
      </c>
      <c r="F59" s="470" t="n">
        <f aca="false">IF(Operations!F3&gt;ProjectLife,0,SUM(F57:F58))</f>
        <v>4.55427587654777</v>
      </c>
      <c r="G59" s="470" t="n">
        <f aca="false">IF(Operations!G3&gt;ProjectLife,0,SUM(G57:G58))</f>
        <v>4.92819399178748</v>
      </c>
      <c r="H59" s="470" t="n">
        <f aca="false">IF(Operations!H3&gt;ProjectLife,0,SUM(H57:H58))</f>
        <v>5.27139736512897</v>
      </c>
      <c r="I59" s="470" t="n">
        <f aca="false">IF(Operations!I3&gt;ProjectLife,0,SUM(I57:I58))</f>
        <v>5.42953928608284</v>
      </c>
      <c r="J59" s="470" t="n">
        <f aca="false">IF(Operations!J3&gt;ProjectLife,0,SUM(J57:J58))</f>
        <v>5.59242546466533</v>
      </c>
      <c r="K59" s="470" t="n">
        <f aca="false">IF(Operations!K3&gt;ProjectLife,0,SUM(K57:K58))</f>
        <v>5.76019822860528</v>
      </c>
      <c r="L59" s="470" t="n">
        <f aca="false">IF(Operations!L3&gt;ProjectLife,0,SUM(L57:L58))</f>
        <v>5.93300417546344</v>
      </c>
      <c r="M59" s="470" t="n">
        <f aca="false">IF(Operations!M3&gt;ProjectLife,0,SUM(M57:M58))</f>
        <v>6.11099430072735</v>
      </c>
      <c r="N59" s="470" t="n">
        <f aca="false">IF(Operations!N3&gt;ProjectLife,0,SUM(N57:N58))</f>
        <v>6.29432412974917</v>
      </c>
      <c r="O59" s="470" t="n">
        <f aca="false">IF(Operations!O3&gt;ProjectLife,0,SUM(O57:O58))</f>
        <v>6.48315385364164</v>
      </c>
      <c r="P59" s="470" t="n">
        <f aca="false">IF(Operations!P3&gt;ProjectLife,0,SUM(P57:P58))</f>
        <v>6.67764846925089</v>
      </c>
      <c r="Q59" s="470" t="n">
        <f aca="false">IF(Operations!Q3&gt;ProjectLife,0,SUM(Q57:Q58))</f>
        <v>6.87797792332842</v>
      </c>
      <c r="R59" s="470" t="n">
        <f aca="false">IF(Operations!R3&gt;ProjectLife,0,SUM(R57:R58))</f>
        <v>7.08431726102827</v>
      </c>
      <c r="S59" s="470" t="n">
        <f aca="false">IF(Operations!S3&gt;ProjectLife,0,SUM(S57:S58))</f>
        <v>7.29684677885912</v>
      </c>
      <c r="T59" s="470" t="n">
        <f aca="false">IF(Operations!T3&gt;ProjectLife,0,SUM(T57:T58))</f>
        <v>7.51575218222489</v>
      </c>
      <c r="U59" s="470" t="n">
        <f aca="false">IF(Operations!U3&gt;ProjectLife,0,SUM(U57:U58))</f>
        <v>7.74122474769164</v>
      </c>
      <c r="V59" s="470" t="n">
        <f aca="false">IF(Operations!V3&gt;ProjectLife,0,SUM(V57:V58))</f>
        <v>7.97346149012239</v>
      </c>
      <c r="W59" s="470" t="n">
        <f aca="false">IF(Operations!W3&gt;ProjectLife+1,0,SUM(W57:W58))</f>
        <v>8.21266533482606</v>
      </c>
      <c r="X59" s="471" t="n">
        <v>0</v>
      </c>
      <c r="Y59" s="457"/>
      <c r="Z59" s="457"/>
      <c r="AA59" s="457"/>
      <c r="AB59" s="1"/>
      <c r="AC59" s="1"/>
      <c r="AD59" s="1"/>
    </row>
    <row r="60" customFormat="false" ht="12.6" hidden="false" customHeight="true" outlineLevel="0" collapsed="false">
      <c r="A60" s="1"/>
      <c r="B60" s="1"/>
      <c r="C60" s="472"/>
      <c r="D60" s="457"/>
      <c r="E60" s="457"/>
      <c r="F60" s="457"/>
      <c r="G60" s="457"/>
      <c r="H60" s="457"/>
      <c r="I60" s="457"/>
      <c r="J60" s="457"/>
      <c r="K60" s="457"/>
      <c r="L60" s="457"/>
      <c r="M60" s="457"/>
      <c r="N60" s="457"/>
      <c r="O60" s="457"/>
      <c r="P60" s="457"/>
      <c r="Q60" s="457"/>
      <c r="R60" s="457"/>
      <c r="S60" s="457"/>
      <c r="T60" s="457"/>
      <c r="U60" s="457"/>
      <c r="V60" s="457"/>
      <c r="W60" s="457"/>
      <c r="X60" s="457"/>
      <c r="Y60" s="457"/>
      <c r="Z60" s="457"/>
      <c r="AA60" s="457"/>
      <c r="AB60" s="1"/>
      <c r="AC60" s="1"/>
      <c r="AD60" s="1"/>
    </row>
    <row r="61" customFormat="false" ht="12.6" hidden="false" customHeight="true" outlineLevel="0" collapsed="false">
      <c r="A61" s="1"/>
      <c r="B61" s="1"/>
      <c r="C61" s="472"/>
      <c r="D61" s="473"/>
      <c r="E61" s="473"/>
      <c r="F61" s="473"/>
      <c r="G61" s="473"/>
      <c r="H61" s="473"/>
      <c r="I61" s="473"/>
      <c r="J61" s="473"/>
      <c r="K61" s="473"/>
      <c r="L61" s="473"/>
      <c r="M61" s="473"/>
      <c r="N61" s="473"/>
      <c r="O61" s="473"/>
      <c r="P61" s="473"/>
      <c r="Q61" s="473"/>
      <c r="R61" s="473"/>
      <c r="S61" s="473"/>
      <c r="T61" s="473"/>
      <c r="U61" s="473"/>
      <c r="V61" s="473"/>
      <c r="W61" s="457"/>
      <c r="X61" s="457"/>
      <c r="Y61" s="457"/>
      <c r="Z61" s="457"/>
      <c r="AA61" s="457"/>
      <c r="AB61" s="1"/>
      <c r="AC61" s="1"/>
      <c r="AD61" s="1"/>
    </row>
    <row r="62" customFormat="false" ht="12.6" hidden="false" customHeight="true" outlineLevel="0" collapsed="false">
      <c r="A62" s="431" t="s">
        <v>400</v>
      </c>
      <c r="B62" s="432" t="s">
        <v>374</v>
      </c>
      <c r="C62" s="474"/>
      <c r="D62" s="475"/>
      <c r="E62" s="475"/>
      <c r="F62" s="475"/>
      <c r="G62" s="475"/>
      <c r="H62" s="475"/>
      <c r="I62" s="475"/>
      <c r="J62" s="475"/>
      <c r="K62" s="475"/>
      <c r="L62" s="475"/>
      <c r="M62" s="475"/>
      <c r="N62" s="475"/>
      <c r="O62" s="475"/>
      <c r="P62" s="475"/>
      <c r="Q62" s="475"/>
      <c r="R62" s="475"/>
      <c r="S62" s="475"/>
      <c r="T62" s="475"/>
      <c r="U62" s="475"/>
      <c r="V62" s="475"/>
      <c r="W62" s="475"/>
      <c r="X62" s="476"/>
    </row>
    <row r="63" customFormat="false" ht="12.6" hidden="false" customHeight="true" outlineLevel="0" collapsed="false">
      <c r="A63" s="477" t="s">
        <v>401</v>
      </c>
      <c r="B63" s="478" t="n">
        <f aca="false">AVERAGE(C63:V63)</f>
        <v>6.27692929170708</v>
      </c>
      <c r="C63" s="410" t="n">
        <f aca="false">D63/(1+'Project Assumptions'!H32)</f>
        <v>5.49333333333333</v>
      </c>
      <c r="D63" s="457" t="n">
        <f aca="false">D68*(1+'Project Assumptions'!$H$32)^('PPA Assumptions &amp; Summary'!D5-1998)/12</f>
        <v>5.65813333333333</v>
      </c>
      <c r="E63" s="457" t="n">
        <f aca="false">E68*(1+'Project Assumptions'!$H$32)^('PPA Assumptions &amp; Summary'!E5-1998)/12</f>
        <v>5.64575616666667</v>
      </c>
      <c r="F63" s="457" t="n">
        <f aca="false">F68*(1+'Project Assumptions'!$H$32)^('PPA Assumptions &amp; Summary'!F5-1998)/12</f>
        <v>5.72133645083333</v>
      </c>
      <c r="G63" s="457" t="n">
        <f aca="false">G68*(1+'Project Assumptions'!$H$32)^('PPA Assumptions &amp; Summary'!G5-1998)/12</f>
        <v>5.69976419864167</v>
      </c>
      <c r="H63" s="457" t="n">
        <f aca="false">H68*(1+'Project Assumptions'!$H$32)^('PPA Assumptions &amp; Summary'!H5-1998)/12</f>
        <v>5.77125276655683</v>
      </c>
      <c r="I63" s="457" t="n">
        <f aca="false">I68*(1+'Project Assumptions'!$H$32)^('PPA Assumptions &amp; Summary'!I5-1998)/12</f>
        <v>5.84190086076813</v>
      </c>
      <c r="J63" s="457" t="n">
        <f aca="false">J68*(1+'Project Assumptions'!$H$32)^('PPA Assumptions &amp; Summary'!J5-1998)/12</f>
        <v>5.91159371314221</v>
      </c>
      <c r="K63" s="457" t="n">
        <f aca="false">K68*(1+'Project Assumptions'!$H$32)^('PPA Assumptions &amp; Summary'!K5-1998)/12</f>
        <v>6.08894152453648</v>
      </c>
      <c r="L63" s="457" t="n">
        <f aca="false">L68*(1+'Project Assumptions'!$H$32)^('PPA Assumptions &amp; Summary'!L5-1998)/12</f>
        <v>6.15961673866056</v>
      </c>
      <c r="M63" s="457" t="n">
        <f aca="false">M68*(1+'Project Assumptions'!$H$32)^('PPA Assumptions &amp; Summary'!M5-1998)/12</f>
        <v>6.34440524082038</v>
      </c>
      <c r="N63" s="457" t="n">
        <f aca="false">N68*(1+'Project Assumptions'!$H$32)^('PPA Assumptions &amp; Summary'!N5-1998)/12</f>
        <v>6.41592399080781</v>
      </c>
      <c r="O63" s="457" t="n">
        <f aca="false">O68*(1+'Project Assumptions'!$H$32)^('PPA Assumptions &amp; Summary'!O5-1998)/12</f>
        <v>6.60840171053204</v>
      </c>
      <c r="P63" s="457" t="n">
        <f aca="false">P68*(1+'Project Assumptions'!$H$32)^('PPA Assumptions &amp; Summary'!P5-1998)/12</f>
        <v>6.68060461811008</v>
      </c>
      <c r="Q63" s="457" t="n">
        <f aca="false">Q68*(1+'Project Assumptions'!$H$32)^('PPA Assumptions &amp; Summary'!Q5-1998)/12</f>
        <v>6.75119213860332</v>
      </c>
      <c r="R63" s="457" t="n">
        <f aca="false">R68*(1+'Project Assumptions'!$H$32)^('PPA Assumptions &amp; Summary'!R5-1998)/12</f>
        <v>6.82000236616985</v>
      </c>
      <c r="S63" s="457" t="n">
        <f aca="false">S68*(1+'Project Assumptions'!$H$32)^('PPA Assumptions &amp; Summary'!S5-1998)/12</f>
        <v>6.88686513446563</v>
      </c>
      <c r="T63" s="457" t="n">
        <f aca="false">T68*(1+'Project Assumptions'!$H$32)^('PPA Assumptions &amp; Summary'!T5-1998)/12</f>
        <v>6.95160166672961</v>
      </c>
      <c r="U63" s="457" t="n">
        <f aca="false">U68*(1+'Project Assumptions'!$H$32)^('PPA Assumptions &amp; Summary'!U5-1998)/12</f>
        <v>7.01402421230841</v>
      </c>
      <c r="V63" s="457" t="n">
        <f aca="false">V68*(1+'Project Assumptions'!$H$32)^('PPA Assumptions &amp; Summary'!V5-1998)/12</f>
        <v>7.07393566912187</v>
      </c>
      <c r="W63" s="457" t="n">
        <f aca="false">W68*(1+'Project Assumptions'!$H$32)^('PPA Assumptions &amp; Summary'!W5-1998)/12</f>
        <v>7.13112919155307</v>
      </c>
      <c r="X63" s="458" t="n">
        <f aca="false">X68*(1+'Project Assumptions'!$H$32)^('PPA Assumptions &amp; Summary'!X5-1998)/12</f>
        <v>7.18538778322793</v>
      </c>
    </row>
    <row r="64" customFormat="false" ht="12.6" hidden="false" customHeight="true" outlineLevel="0" collapsed="false">
      <c r="A64" s="477" t="s">
        <v>402</v>
      </c>
      <c r="B64" s="479" t="n">
        <f aca="false">AVERAGE(C64:V64)</f>
        <v>4.942060722122</v>
      </c>
      <c r="C64" s="410" t="n">
        <f aca="false">D64/(1+'Project Assumptions'!H32)</f>
        <v>4.3775</v>
      </c>
      <c r="D64" s="457" t="n">
        <f aca="false">D69*(1+'Project Assumptions'!$H$32)^('PPA Assumptions &amp; Summary'!D5-1998)/12</f>
        <v>4.508825</v>
      </c>
      <c r="E64" s="457" t="n">
        <f aca="false">E69*(1+'Project Assumptions'!$H$32)^('PPA Assumptions &amp; Summary'!E5-1998)/12</f>
        <v>4.73515033333333</v>
      </c>
      <c r="F64" s="457" t="n">
        <f aca="false">F69*(1+'Project Assumptions'!$H$32)^('PPA Assumptions &amp; Summary'!F5-1998)/12</f>
        <v>4.87720484333333</v>
      </c>
      <c r="G64" s="457" t="n">
        <f aca="false">G69*(1+'Project Assumptions'!$H$32)^('PPA Assumptions &amp; Summary'!G5-1998)/12</f>
        <v>5.02352098863333</v>
      </c>
      <c r="H64" s="457" t="n">
        <f aca="false">H69*(1+'Project Assumptions'!$H$32)^('PPA Assumptions &amp; Summary'!H5-1998)/12</f>
        <v>5.17422661829233</v>
      </c>
      <c r="I64" s="457" t="n">
        <f aca="false">I69*(1+'Project Assumptions'!$H$32)^('PPA Assumptions &amp; Summary'!I5-1998)/12</f>
        <v>5.3294534168411</v>
      </c>
      <c r="J64" s="457" t="n">
        <f aca="false">J69*(1+'Project Assumptions'!$H$32)^('PPA Assumptions &amp; Summary'!J5-1998)/12</f>
        <v>5.2782086724484</v>
      </c>
      <c r="K64" s="457" t="n">
        <f aca="false">K69*(1+'Project Assumptions'!$H$32)^('PPA Assumptions &amp; Summary'!K5-1998)/12</f>
        <v>5.21909273531698</v>
      </c>
      <c r="L64" s="457" t="n">
        <f aca="false">L69*(1+'Project Assumptions'!$H$32)^('PPA Assumptions &amp; Summary'!L5-1998)/12</f>
        <v>5.03968642254046</v>
      </c>
      <c r="M64" s="457" t="n">
        <f aca="false">M69*(1+'Project Assumptions'!$H$32)^('PPA Assumptions &amp; Summary'!M5-1998)/12</f>
        <v>4.96017137009593</v>
      </c>
      <c r="N64" s="457" t="n">
        <f aca="false">N69*(1+'Project Assumptions'!$H$32)^('PPA Assumptions &amp; Summary'!N5-1998)/12</f>
        <v>4.87134969672445</v>
      </c>
      <c r="O64" s="457" t="n">
        <f aca="false">O69*(1+'Project Assumptions'!$H$32)^('PPA Assumptions &amp; Summary'!O5-1998)/12</f>
        <v>4.89511237817188</v>
      </c>
      <c r="P64" s="457" t="n">
        <f aca="false">P69*(1+'Project Assumptions'!$H$32)^('PPA Assumptions &amp; Summary'!P5-1998)/12</f>
        <v>4.91591660577911</v>
      </c>
      <c r="Q64" s="457" t="n">
        <f aca="false">Q69*(1+'Project Assumptions'!$H$32)^('PPA Assumptions &amp; Summary'!Q5-1998)/12</f>
        <v>4.80373286785236</v>
      </c>
      <c r="R64" s="457" t="n">
        <f aca="false">R69*(1+'Project Assumptions'!$H$32)^('PPA Assumptions &amp; Summary'!R5-1998)/12</f>
        <v>4.81411931729636</v>
      </c>
      <c r="S64" s="457" t="n">
        <f aca="false">S69*(1+'Project Assumptions'!$H$32)^('PPA Assumptions &amp; Summary'!S5-1998)/12</f>
        <v>4.82080559412594</v>
      </c>
      <c r="T64" s="457" t="n">
        <f aca="false">T69*(1+'Project Assumptions'!$H$32)^('PPA Assumptions &amp; Summary'!T5-1998)/12</f>
        <v>4.96542976194972</v>
      </c>
      <c r="U64" s="457" t="n">
        <f aca="false">U69*(1+'Project Assumptions'!$H$32)^('PPA Assumptions &amp; Summary'!U5-1998)/12</f>
        <v>5.11439265480821</v>
      </c>
      <c r="V64" s="457" t="n">
        <f aca="false">V69*(1+'Project Assumptions'!$H$32)^('PPA Assumptions &amp; Summary'!V5-1998)/12</f>
        <v>5.11731516489668</v>
      </c>
      <c r="W64" s="457" t="n">
        <f aca="false">W69*(1+'Project Assumptions'!$H$32)^('PPA Assumptions &amp; Summary'!W5-1998)/12</f>
        <v>5.27083461984358</v>
      </c>
      <c r="X64" s="458" t="n">
        <f aca="false">X69*(1+'Project Assumptions'!$H$32)^('PPA Assumptions &amp; Summary'!X5-1998)/12</f>
        <v>5.42895965843888</v>
      </c>
    </row>
    <row r="65" customFormat="false" ht="12.6" hidden="false" customHeight="true" outlineLevel="0" collapsed="false">
      <c r="A65" s="477" t="s">
        <v>403</v>
      </c>
      <c r="B65" s="479" t="n">
        <f aca="false">AVERAGE(C65:V65)</f>
        <v>5.60949500691454</v>
      </c>
      <c r="C65" s="410" t="n">
        <f aca="false">AVERAGE(C63,C64)</f>
        <v>4.93541666666667</v>
      </c>
      <c r="D65" s="410" t="n">
        <f aca="false">AVERAGE(D63,D64)</f>
        <v>5.08347916666667</v>
      </c>
      <c r="E65" s="410" t="n">
        <f aca="false">AVERAGE(E63,E64)</f>
        <v>5.19045325</v>
      </c>
      <c r="F65" s="410" t="n">
        <f aca="false">AVERAGE(F63,F64)</f>
        <v>5.29927064708333</v>
      </c>
      <c r="G65" s="410" t="n">
        <f aca="false">AVERAGE(G63,G64)</f>
        <v>5.3616425936375</v>
      </c>
      <c r="H65" s="410" t="n">
        <f aca="false">AVERAGE(H63,H64)</f>
        <v>5.47273969242458</v>
      </c>
      <c r="I65" s="410" t="n">
        <f aca="false">AVERAGE(I63,I64)</f>
        <v>5.58567713880462</v>
      </c>
      <c r="J65" s="410" t="n">
        <f aca="false">AVERAGE(J63,J64)</f>
        <v>5.59490119279531</v>
      </c>
      <c r="K65" s="410" t="n">
        <f aca="false">AVERAGE(K63,K64)</f>
        <v>5.65401712992673</v>
      </c>
      <c r="L65" s="410" t="n">
        <f aca="false">AVERAGE(L63,L64)</f>
        <v>5.59965158060051</v>
      </c>
      <c r="M65" s="410" t="n">
        <f aca="false">AVERAGE(M63,M64)</f>
        <v>5.65228830545815</v>
      </c>
      <c r="N65" s="410" t="n">
        <f aca="false">AVERAGE(N63,N64)</f>
        <v>5.64363684376613</v>
      </c>
      <c r="O65" s="410" t="n">
        <f aca="false">AVERAGE(O63,O64)</f>
        <v>5.75175704435196</v>
      </c>
      <c r="P65" s="410" t="n">
        <f aca="false">AVERAGE(P63,P64)</f>
        <v>5.7982606119446</v>
      </c>
      <c r="Q65" s="410" t="n">
        <f aca="false">AVERAGE(Q63,Q64)</f>
        <v>5.77746250322784</v>
      </c>
      <c r="R65" s="410" t="n">
        <f aca="false">AVERAGE(R63,R64)</f>
        <v>5.81706084173311</v>
      </c>
      <c r="S65" s="410" t="n">
        <f aca="false">AVERAGE(S63,S64)</f>
        <v>5.85383536429579</v>
      </c>
      <c r="T65" s="410" t="n">
        <f aca="false">AVERAGE(T63,T64)</f>
        <v>5.95851571433967</v>
      </c>
      <c r="U65" s="410" t="n">
        <f aca="false">AVERAGE(U63,U64)</f>
        <v>6.06420843355831</v>
      </c>
      <c r="V65" s="410" t="n">
        <f aca="false">AVERAGE(V63,V64)</f>
        <v>6.09562541700928</v>
      </c>
      <c r="W65" s="410" t="n">
        <f aca="false">AVERAGE(W63,W64)</f>
        <v>6.20098190569832</v>
      </c>
      <c r="X65" s="411" t="n">
        <f aca="false">AVERAGE(X63,X64)</f>
        <v>6.30717372083341</v>
      </c>
    </row>
    <row r="66" customFormat="false" ht="12.6" hidden="false" customHeight="true" outlineLevel="0" collapsed="false">
      <c r="A66" s="477" t="s">
        <v>404</v>
      </c>
      <c r="B66" s="480" t="n">
        <f aca="false">AVERAGE(C66:V66)</f>
        <v>5.27577786451827</v>
      </c>
      <c r="C66" s="410" t="n">
        <f aca="false">C64+(C65-C64)*'Project Assumptions'!$C$64</f>
        <v>4.65645833333333</v>
      </c>
      <c r="D66" s="410" t="n">
        <f aca="false">D64+(D65-D64)*'Project Assumptions'!$C$64</f>
        <v>4.79615208333333</v>
      </c>
      <c r="E66" s="410" t="n">
        <f aca="false">E64+(E65-E64)*'Project Assumptions'!$C$64</f>
        <v>4.96280179166667</v>
      </c>
      <c r="F66" s="410" t="n">
        <f aca="false">F64+(F65-F64)*'Project Assumptions'!$C$64</f>
        <v>5.08823774520833</v>
      </c>
      <c r="G66" s="410" t="n">
        <f aca="false">G64+(G65-G64)*'Project Assumptions'!$C$64</f>
        <v>5.19258179113542</v>
      </c>
      <c r="H66" s="410" t="n">
        <f aca="false">H64+(H65-H64)*'Project Assumptions'!$C$64</f>
        <v>5.32348315535846</v>
      </c>
      <c r="I66" s="410" t="n">
        <f aca="false">I64+(I65-I64)*'Project Assumptions'!$C$64</f>
        <v>5.45756527782286</v>
      </c>
      <c r="J66" s="410" t="n">
        <f aca="false">J64+(J65-J64)*'Project Assumptions'!$C$64</f>
        <v>5.43655493262185</v>
      </c>
      <c r="K66" s="410" t="n">
        <f aca="false">K64+(K65-K64)*'Project Assumptions'!$C$64</f>
        <v>5.43655493262185</v>
      </c>
      <c r="L66" s="410" t="n">
        <f aca="false">L64+(L65-L64)*'Project Assumptions'!$C$64</f>
        <v>5.31966900157048</v>
      </c>
      <c r="M66" s="410" t="n">
        <f aca="false">M64+(M65-M64)*'Project Assumptions'!$C$64</f>
        <v>5.30622983777704</v>
      </c>
      <c r="N66" s="410" t="n">
        <f aca="false">N64+(N65-N64)*'Project Assumptions'!$C$64</f>
        <v>5.25749327024529</v>
      </c>
      <c r="O66" s="410" t="n">
        <f aca="false">O64+(O65-O64)*'Project Assumptions'!$C$64</f>
        <v>5.32343471126192</v>
      </c>
      <c r="P66" s="410" t="n">
        <f aca="false">P64+(P65-P64)*'Project Assumptions'!$C$64</f>
        <v>5.35708860886185</v>
      </c>
      <c r="Q66" s="410" t="n">
        <f aca="false">Q64+(Q65-Q64)*'Project Assumptions'!$C$64</f>
        <v>5.2905976855401</v>
      </c>
      <c r="R66" s="410" t="n">
        <f aca="false">R64+(R65-R64)*'Project Assumptions'!$C$64</f>
        <v>5.31559007951474</v>
      </c>
      <c r="S66" s="410" t="n">
        <f aca="false">S64+(S65-S64)*'Project Assumptions'!$C$64</f>
        <v>5.33732047921087</v>
      </c>
      <c r="T66" s="410" t="n">
        <f aca="false">T64+(T65-T64)*'Project Assumptions'!$C$64</f>
        <v>5.46197273814469</v>
      </c>
      <c r="U66" s="410" t="n">
        <f aca="false">U64+(U65-U64)*'Project Assumptions'!$C$64</f>
        <v>5.58930054418326</v>
      </c>
      <c r="V66" s="410" t="n">
        <f aca="false">V64+(V65-V64)*'Project Assumptions'!$C$64</f>
        <v>5.60647029095298</v>
      </c>
      <c r="W66" s="410" t="n">
        <f aca="false">W64+(W65-W64)*'Project Assumptions'!$C$64</f>
        <v>5.73590826277095</v>
      </c>
      <c r="X66" s="411" t="n">
        <f aca="false">X64+(X65-X64)*'Project Assumptions'!$C$64</f>
        <v>5.86806668963615</v>
      </c>
    </row>
    <row r="67" customFormat="false" ht="12.6" hidden="false" customHeight="true" outlineLevel="0" collapsed="false">
      <c r="A67" s="412"/>
      <c r="B67" s="385"/>
      <c r="C67" s="410"/>
      <c r="D67" s="410"/>
      <c r="E67" s="410"/>
      <c r="F67" s="410"/>
      <c r="G67" s="410"/>
      <c r="H67" s="410"/>
      <c r="I67" s="410"/>
      <c r="J67" s="410"/>
      <c r="K67" s="410"/>
      <c r="L67" s="410"/>
      <c r="M67" s="410"/>
      <c r="N67" s="410"/>
      <c r="O67" s="410"/>
      <c r="P67" s="410"/>
      <c r="Q67" s="410"/>
      <c r="R67" s="410"/>
      <c r="S67" s="410"/>
      <c r="T67" s="410"/>
      <c r="U67" s="410"/>
      <c r="V67" s="410"/>
      <c r="W67" s="410"/>
      <c r="X67" s="411"/>
      <c r="Y67" s="410"/>
      <c r="Z67" s="410"/>
      <c r="AA67" s="410"/>
      <c r="AB67" s="1"/>
      <c r="AC67" s="1"/>
      <c r="AD67" s="1"/>
    </row>
    <row r="68" customFormat="false" ht="12.6" hidden="false" customHeight="true" outlineLevel="0" collapsed="false">
      <c r="A68" s="481" t="s">
        <v>405</v>
      </c>
      <c r="B68" s="385" t="s">
        <v>406</v>
      </c>
      <c r="C68" s="410"/>
      <c r="D68" s="482" t="n">
        <v>64</v>
      </c>
      <c r="E68" s="482" t="n">
        <v>62</v>
      </c>
      <c r="F68" s="482" t="n">
        <v>61</v>
      </c>
      <c r="G68" s="482" t="n">
        <v>59</v>
      </c>
      <c r="H68" s="482" t="n">
        <v>58</v>
      </c>
      <c r="I68" s="482" t="n">
        <v>57</v>
      </c>
      <c r="J68" s="482" t="n">
        <v>56</v>
      </c>
      <c r="K68" s="482" t="n">
        <v>56</v>
      </c>
      <c r="L68" s="482" t="n">
        <v>55</v>
      </c>
      <c r="M68" s="482" t="n">
        <v>55</v>
      </c>
      <c r="N68" s="482" t="n">
        <v>54</v>
      </c>
      <c r="O68" s="482" t="n">
        <v>54</v>
      </c>
      <c r="P68" s="482" t="n">
        <v>53</v>
      </c>
      <c r="Q68" s="482" t="n">
        <v>52</v>
      </c>
      <c r="R68" s="482" t="n">
        <v>51</v>
      </c>
      <c r="S68" s="482" t="n">
        <v>50</v>
      </c>
      <c r="T68" s="482" t="n">
        <v>49</v>
      </c>
      <c r="U68" s="482" t="n">
        <v>48</v>
      </c>
      <c r="V68" s="482" t="n">
        <v>47</v>
      </c>
      <c r="W68" s="482" t="n">
        <v>46</v>
      </c>
      <c r="X68" s="483" t="n">
        <v>45</v>
      </c>
      <c r="Y68" s="410"/>
      <c r="Z68" s="410"/>
      <c r="AA68" s="410"/>
      <c r="AB68" s="1"/>
      <c r="AC68" s="1"/>
      <c r="AD68" s="1"/>
    </row>
    <row r="69" customFormat="false" ht="12.6" hidden="false" customHeight="true" outlineLevel="0" collapsed="false">
      <c r="A69" s="481" t="s">
        <v>407</v>
      </c>
      <c r="B69" s="385" t="s">
        <v>406</v>
      </c>
      <c r="C69" s="410"/>
      <c r="D69" s="482" t="n">
        <v>51</v>
      </c>
      <c r="E69" s="482" t="n">
        <v>52</v>
      </c>
      <c r="F69" s="482" t="n">
        <v>52</v>
      </c>
      <c r="G69" s="482" t="n">
        <v>52</v>
      </c>
      <c r="H69" s="482" t="n">
        <v>52</v>
      </c>
      <c r="I69" s="482" t="n">
        <v>52</v>
      </c>
      <c r="J69" s="482" t="n">
        <v>50</v>
      </c>
      <c r="K69" s="482" t="n">
        <v>48</v>
      </c>
      <c r="L69" s="482" t="n">
        <v>45</v>
      </c>
      <c r="M69" s="482" t="n">
        <v>43</v>
      </c>
      <c r="N69" s="482" t="n">
        <v>41</v>
      </c>
      <c r="O69" s="482" t="n">
        <v>40</v>
      </c>
      <c r="P69" s="482" t="n">
        <v>39</v>
      </c>
      <c r="Q69" s="482" t="n">
        <v>37</v>
      </c>
      <c r="R69" s="482" t="n">
        <v>36</v>
      </c>
      <c r="S69" s="482" t="n">
        <v>35</v>
      </c>
      <c r="T69" s="482" t="n">
        <v>35</v>
      </c>
      <c r="U69" s="482" t="n">
        <v>35</v>
      </c>
      <c r="V69" s="482" t="n">
        <v>34</v>
      </c>
      <c r="W69" s="482" t="n">
        <v>34</v>
      </c>
      <c r="X69" s="483" t="n">
        <v>34</v>
      </c>
      <c r="Y69" s="410"/>
      <c r="Z69" s="410"/>
      <c r="AA69" s="410"/>
      <c r="AB69" s="1"/>
      <c r="AC69" s="1"/>
      <c r="AD69" s="1"/>
    </row>
    <row r="70" customFormat="false" ht="12.6" hidden="false" customHeight="true" outlineLevel="0" collapsed="false">
      <c r="A70" s="412"/>
      <c r="B70" s="385"/>
      <c r="C70" s="410"/>
      <c r="D70" s="410"/>
      <c r="E70" s="410"/>
      <c r="F70" s="410"/>
      <c r="G70" s="410"/>
      <c r="H70" s="410"/>
      <c r="I70" s="410"/>
      <c r="J70" s="484"/>
      <c r="K70" s="484"/>
      <c r="L70" s="484"/>
      <c r="M70" s="484"/>
      <c r="N70" s="484"/>
      <c r="O70" s="484"/>
      <c r="P70" s="484"/>
      <c r="Q70" s="484"/>
      <c r="R70" s="484"/>
      <c r="S70" s="484"/>
      <c r="T70" s="484"/>
      <c r="U70" s="484"/>
      <c r="V70" s="484"/>
      <c r="W70" s="484"/>
      <c r="X70" s="485"/>
      <c r="Y70" s="484"/>
      <c r="Z70" s="484"/>
      <c r="AA70" s="484"/>
      <c r="AB70" s="484"/>
      <c r="AC70" s="484"/>
      <c r="AD70" s="484"/>
      <c r="AE70" s="486"/>
    </row>
    <row r="71" customFormat="false" ht="12.6" hidden="false" customHeight="true" outlineLevel="0" collapsed="false">
      <c r="A71" s="412"/>
      <c r="B71" s="385"/>
      <c r="C71" s="410"/>
      <c r="D71" s="410"/>
      <c r="E71" s="410"/>
      <c r="F71" s="410"/>
      <c r="G71" s="410"/>
      <c r="H71" s="410"/>
      <c r="I71" s="410"/>
      <c r="J71" s="410"/>
      <c r="K71" s="410"/>
      <c r="L71" s="410"/>
      <c r="M71" s="410"/>
      <c r="N71" s="410"/>
      <c r="O71" s="410"/>
      <c r="P71" s="410"/>
      <c r="Q71" s="410"/>
      <c r="R71" s="410"/>
      <c r="S71" s="410"/>
      <c r="T71" s="410"/>
      <c r="U71" s="410"/>
      <c r="V71" s="410"/>
      <c r="W71" s="410"/>
      <c r="X71" s="411"/>
      <c r="Y71" s="410"/>
      <c r="Z71" s="410"/>
      <c r="AA71" s="410"/>
      <c r="AB71" s="1"/>
      <c r="AC71" s="1"/>
      <c r="AD71" s="1"/>
    </row>
    <row r="72" customFormat="false" ht="12.6" hidden="false" customHeight="true" outlineLevel="0" collapsed="false">
      <c r="A72" s="415" t="s">
        <v>408</v>
      </c>
      <c r="B72" s="385"/>
      <c r="C72" s="149"/>
      <c r="D72" s="149"/>
      <c r="E72" s="149"/>
      <c r="F72" s="149"/>
      <c r="G72" s="149"/>
      <c r="H72" s="149"/>
      <c r="I72" s="149"/>
      <c r="J72" s="149"/>
      <c r="K72" s="149"/>
      <c r="L72" s="149"/>
      <c r="M72" s="149"/>
      <c r="N72" s="149"/>
      <c r="O72" s="149"/>
      <c r="P72" s="149"/>
      <c r="Q72" s="149"/>
      <c r="R72" s="149"/>
      <c r="S72" s="149"/>
      <c r="T72" s="149"/>
      <c r="U72" s="149"/>
      <c r="V72" s="149"/>
      <c r="W72" s="149"/>
      <c r="X72" s="455"/>
    </row>
    <row r="73" customFormat="false" ht="12.6" hidden="false" customHeight="true" outlineLevel="0" collapsed="false">
      <c r="A73" s="417" t="s">
        <v>409</v>
      </c>
      <c r="B73" s="487" t="n">
        <f aca="false">'Project Assumptions'!H32</f>
        <v>0.03</v>
      </c>
      <c r="C73" s="488" t="n">
        <f aca="false">D73/(1+B73)</f>
        <v>42.170775</v>
      </c>
      <c r="D73" s="377" t="n">
        <f aca="false">D78*((1+$B$73)^3)</f>
        <v>43.43589825</v>
      </c>
      <c r="E73" s="377" t="n">
        <f aca="false">E78*((1+$B$73)^3)</f>
        <v>46.36440661</v>
      </c>
      <c r="F73" s="377" t="n">
        <f aca="false">F78*((1+$B$73)^3)</f>
        <v>49.48960583</v>
      </c>
      <c r="G73" s="377" t="n">
        <f aca="false">G78*((1+$B$73)^3)</f>
        <v>52.82242318</v>
      </c>
      <c r="H73" s="377" t="n">
        <f aca="false">H78*((1+$B$73)^3)</f>
        <v>56.37378593</v>
      </c>
      <c r="I73" s="377" t="n">
        <f aca="false">I78*((1+$B$73)^3)</f>
        <v>60.17647589</v>
      </c>
      <c r="J73" s="377" t="n">
        <f aca="false">J78*((1+$B$73)^3)</f>
        <v>60.66820304</v>
      </c>
      <c r="K73" s="377" t="n">
        <f aca="false">K78*((1+$B$73)^3)</f>
        <v>61.15993019</v>
      </c>
      <c r="L73" s="377" t="n">
        <f aca="false">L78*((1+$B$73)^3)</f>
        <v>61.66258461</v>
      </c>
      <c r="M73" s="377" t="n">
        <f aca="false">M78*((1+$B$73)^3)</f>
        <v>62.16523903</v>
      </c>
      <c r="N73" s="377" t="n">
        <f aca="false">N78*((1+$B$73)^3)</f>
        <v>62.67882072</v>
      </c>
      <c r="O73" s="377" t="n">
        <f aca="false">O78*((1+$B$73)^3)</f>
        <v>60.26389405</v>
      </c>
      <c r="P73" s="377" t="n">
        <f aca="false">P78*((1+$B$73)^3)</f>
        <v>57.95824008</v>
      </c>
      <c r="Q73" s="377" t="n">
        <f aca="false">Q78*((1+$B$73)^3)</f>
        <v>55.729077</v>
      </c>
      <c r="R73" s="377" t="n">
        <f aca="false">R78*((1+$B$73)^3)</f>
        <v>53.58733208</v>
      </c>
      <c r="S73" s="377" t="n">
        <f aca="false">S78*((1+$B$73)^3)</f>
        <v>51.53300532</v>
      </c>
      <c r="T73" s="377" t="n">
        <f aca="false">T78*((1+$B$73)^3)</f>
        <v>52.2323506</v>
      </c>
      <c r="U73" s="377" t="n">
        <f aca="false">U78*((1+$B$73)^3)</f>
        <v>52.93169588</v>
      </c>
      <c r="V73" s="377" t="n">
        <f aca="false">V78*((1+$B$73)^3)</f>
        <v>53.6528957</v>
      </c>
      <c r="W73" s="377"/>
      <c r="X73" s="489"/>
      <c r="Y73" s="377"/>
      <c r="Z73" s="377"/>
      <c r="AA73" s="377"/>
      <c r="AB73" s="418"/>
      <c r="AC73" s="418"/>
      <c r="AD73" s="418"/>
    </row>
    <row r="74" customFormat="false" ht="12.75" hidden="false" customHeight="false" outlineLevel="0" collapsed="false">
      <c r="A74" s="417" t="s">
        <v>410</v>
      </c>
      <c r="B74" s="385"/>
      <c r="C74" s="488" t="n">
        <f aca="false">D74/(1+B73)</f>
        <v>42.255647</v>
      </c>
      <c r="D74" s="377" t="n">
        <f aca="false">D79*((1+$B$73)^3)</f>
        <v>43.52331641</v>
      </c>
      <c r="E74" s="377" t="n">
        <f aca="false">E79*((1+$B$73)^3)</f>
        <v>46.25513391</v>
      </c>
      <c r="F74" s="377" t="n">
        <f aca="false">F79*((1+$B$73)^3)</f>
        <v>49.15086046</v>
      </c>
      <c r="G74" s="377" t="n">
        <f aca="false">G79*((1+$B$73)^3)</f>
        <v>52.2323506</v>
      </c>
      <c r="H74" s="377" t="n">
        <f aca="false">H79*((1+$B$73)^3)</f>
        <v>55.5105316</v>
      </c>
      <c r="I74" s="377" t="n">
        <f aca="false">I79*((1+$B$73)^3)</f>
        <v>58.98540346</v>
      </c>
      <c r="J74" s="377" t="n">
        <f aca="false">J79*((1+$B$73)^3)</f>
        <v>59.37878518</v>
      </c>
      <c r="K74" s="377" t="n">
        <f aca="false">K79*((1+$B$73)^3)</f>
        <v>59.7721669</v>
      </c>
      <c r="L74" s="377" t="n">
        <f aca="false">L79*((1+$B$73)^3)</f>
        <v>60.17647589</v>
      </c>
      <c r="M74" s="377" t="n">
        <f aca="false">M79*((1+$B$73)^3)</f>
        <v>60.58078488</v>
      </c>
      <c r="N74" s="377" t="n">
        <f aca="false">N79*((1+$B$73)^3)</f>
        <v>60.98509387</v>
      </c>
      <c r="O74" s="377" t="n">
        <f aca="false">O79*((1+$B$73)^3)</f>
        <v>57.87082192</v>
      </c>
      <c r="P74" s="377" t="n">
        <f aca="false">P79*((1+$B$73)^3)</f>
        <v>54.90953175</v>
      </c>
      <c r="Q74" s="377" t="n">
        <f aca="false">Q79*((1+$B$73)^3)</f>
        <v>52.10122336</v>
      </c>
      <c r="R74" s="377" t="n">
        <f aca="false">R79*((1+$B$73)^3)</f>
        <v>49.44589675</v>
      </c>
      <c r="S74" s="377" t="n">
        <f aca="false">S79*((1+$B$73)^3)</f>
        <v>46.92169738</v>
      </c>
      <c r="T74" s="377" t="n">
        <f aca="false">T79*((1+$B$73)^3)</f>
        <v>47.29322456</v>
      </c>
      <c r="U74" s="377" t="n">
        <f aca="false">U79*((1+$B$73)^3)</f>
        <v>47.66475174</v>
      </c>
      <c r="V74" s="377" t="n">
        <f aca="false">V79*((1+$B$73)^3)</f>
        <v>48.03627892</v>
      </c>
      <c r="W74" s="149"/>
      <c r="X74" s="455"/>
    </row>
    <row r="75" customFormat="false" ht="12.75" hidden="false" customHeight="false" outlineLevel="0" collapsed="false">
      <c r="A75" s="417" t="s">
        <v>411</v>
      </c>
      <c r="B75" s="385"/>
      <c r="C75" s="490" t="n">
        <v>0</v>
      </c>
      <c r="D75" s="490" t="n">
        <v>0</v>
      </c>
      <c r="E75" s="490" t="n">
        <v>0</v>
      </c>
      <c r="F75" s="490" t="n">
        <v>0</v>
      </c>
      <c r="G75" s="490" t="n">
        <v>0</v>
      </c>
      <c r="H75" s="490" t="n">
        <v>0</v>
      </c>
      <c r="I75" s="490" t="n">
        <v>0</v>
      </c>
      <c r="J75" s="490" t="n">
        <v>0</v>
      </c>
      <c r="K75" s="490" t="n">
        <v>0</v>
      </c>
      <c r="L75" s="490" t="n">
        <v>0</v>
      </c>
      <c r="M75" s="490" t="n">
        <v>0</v>
      </c>
      <c r="N75" s="490" t="n">
        <v>0</v>
      </c>
      <c r="O75" s="490" t="n">
        <v>0</v>
      </c>
      <c r="P75" s="490" t="n">
        <v>0</v>
      </c>
      <c r="Q75" s="490" t="n">
        <v>0</v>
      </c>
      <c r="R75" s="490" t="n">
        <v>0</v>
      </c>
      <c r="S75" s="490" t="n">
        <v>0</v>
      </c>
      <c r="T75" s="490" t="n">
        <v>0</v>
      </c>
      <c r="U75" s="490" t="n">
        <v>0</v>
      </c>
      <c r="V75" s="490" t="n">
        <v>0</v>
      </c>
      <c r="W75" s="149"/>
      <c r="X75" s="455"/>
    </row>
    <row r="76" customFormat="false" ht="12.75" hidden="false" customHeight="false" outlineLevel="0" collapsed="false">
      <c r="A76" s="417" t="s">
        <v>412</v>
      </c>
      <c r="B76" s="385"/>
      <c r="C76" s="377" t="n">
        <f aca="false">IF('Project Assumptions'!$C$66="yes",C25,C23)</f>
        <v>30.6124</v>
      </c>
      <c r="D76" s="377" t="n">
        <f aca="false">IF('Project Assumptions'!$C$66="yes",D25,D23)</f>
        <v>30.6124</v>
      </c>
      <c r="E76" s="377" t="n">
        <f aca="false">IF('Project Assumptions'!$C$66="yes",E25,E23)</f>
        <v>30.6124</v>
      </c>
      <c r="F76" s="377" t="n">
        <f aca="false">IF('Project Assumptions'!$C$66="yes",F25,F23)</f>
        <v>30.6124</v>
      </c>
      <c r="G76" s="377" t="n">
        <f aca="false">IF('Project Assumptions'!$C$66="yes",G25,G23)</f>
        <v>30.6124</v>
      </c>
      <c r="H76" s="377" t="n">
        <f aca="false">IF('Project Assumptions'!$C$66="yes",H25,H23)</f>
        <v>30.6124</v>
      </c>
      <c r="I76" s="377" t="n">
        <f aca="false">IF('Project Assumptions'!$C$66="yes",I25,I23)</f>
        <v>30.6124</v>
      </c>
      <c r="J76" s="377" t="n">
        <f aca="false">IF('Project Assumptions'!$C$66="yes",J25,J23)</f>
        <v>30.6124</v>
      </c>
      <c r="K76" s="377" t="n">
        <f aca="false">IF('Project Assumptions'!$C$66="yes",K25,K23)</f>
        <v>30.6124</v>
      </c>
      <c r="L76" s="377" t="n">
        <f aca="false">IF('Project Assumptions'!$C$66="yes",L25,L23)</f>
        <v>30.6124</v>
      </c>
      <c r="M76" s="377" t="n">
        <f aca="false">IF('Project Assumptions'!$C$66="yes",M25,M23)</f>
        <v>30.6124</v>
      </c>
      <c r="N76" s="377" t="n">
        <f aca="false">IF('Project Assumptions'!$C$66="yes",N25,N23)</f>
        <v>30.6124</v>
      </c>
      <c r="O76" s="377" t="n">
        <f aca="false">IF('Project Assumptions'!$C$66="yes",O25,O23)</f>
        <v>30.6124</v>
      </c>
      <c r="P76" s="377" t="n">
        <f aca="false">IF('Project Assumptions'!$C$66="yes",P25,P23)</f>
        <v>30.6124</v>
      </c>
      <c r="Q76" s="377" t="n">
        <f aca="false">IF('Project Assumptions'!$C$66="yes",Q25,Q23)</f>
        <v>30.6124</v>
      </c>
      <c r="R76" s="377" t="n">
        <f aca="false">IF('Project Assumptions'!$C$66="yes",R25,R23)</f>
        <v>30.6124</v>
      </c>
      <c r="S76" s="377" t="n">
        <f aca="false">IF('Project Assumptions'!$C$66="yes",S25,S23)</f>
        <v>30.6124</v>
      </c>
      <c r="T76" s="377" t="n">
        <f aca="false">IF('Project Assumptions'!$C$66="yes",T25,T23)</f>
        <v>30.6124</v>
      </c>
      <c r="U76" s="377" t="n">
        <f aca="false">IF('Project Assumptions'!$C$66="yes",U25,U23)</f>
        <v>30.6124</v>
      </c>
      <c r="V76" s="377" t="n">
        <f aca="false">IF('Project Assumptions'!$C$66="yes",V25,V23)</f>
        <v>30.6124</v>
      </c>
      <c r="W76" s="377"/>
      <c r="X76" s="455"/>
    </row>
    <row r="77" customFormat="false" ht="12.75" hidden="false" customHeight="false" outlineLevel="0" collapsed="false">
      <c r="A77" s="402"/>
      <c r="B77" s="385"/>
      <c r="C77" s="149"/>
      <c r="D77" s="149"/>
      <c r="E77" s="149"/>
      <c r="F77" s="149"/>
      <c r="G77" s="149"/>
      <c r="H77" s="149"/>
      <c r="I77" s="149"/>
      <c r="J77" s="149"/>
      <c r="K77" s="149"/>
      <c r="L77" s="149"/>
      <c r="M77" s="149"/>
      <c r="N77" s="149"/>
      <c r="O77" s="149"/>
      <c r="P77" s="149"/>
      <c r="Q77" s="149"/>
      <c r="R77" s="149"/>
      <c r="S77" s="149"/>
      <c r="T77" s="149"/>
      <c r="U77" s="149"/>
      <c r="V77" s="149"/>
      <c r="W77" s="149"/>
      <c r="X77" s="455"/>
    </row>
    <row r="78" customFormat="false" ht="14.25" hidden="false" customHeight="true" outlineLevel="1" collapsed="false">
      <c r="A78" s="491" t="s">
        <v>413</v>
      </c>
      <c r="B78" s="385"/>
      <c r="C78" s="149"/>
      <c r="D78" s="490" t="n">
        <v>39.75</v>
      </c>
      <c r="E78" s="490" t="n">
        <v>42.43</v>
      </c>
      <c r="F78" s="490" t="n">
        <v>45.29</v>
      </c>
      <c r="G78" s="490" t="n">
        <v>48.34</v>
      </c>
      <c r="H78" s="490" t="n">
        <v>51.59</v>
      </c>
      <c r="I78" s="490" t="n">
        <v>55.07</v>
      </c>
      <c r="J78" s="490" t="n">
        <v>55.52</v>
      </c>
      <c r="K78" s="490" t="n">
        <v>55.97</v>
      </c>
      <c r="L78" s="490" t="n">
        <v>56.43</v>
      </c>
      <c r="M78" s="490" t="n">
        <v>56.89</v>
      </c>
      <c r="N78" s="490" t="n">
        <v>57.36</v>
      </c>
      <c r="O78" s="490" t="n">
        <v>55.15</v>
      </c>
      <c r="P78" s="490" t="n">
        <v>53.04</v>
      </c>
      <c r="Q78" s="490" t="n">
        <v>51</v>
      </c>
      <c r="R78" s="490" t="n">
        <v>49.04</v>
      </c>
      <c r="S78" s="490" t="n">
        <v>47.16</v>
      </c>
      <c r="T78" s="490" t="n">
        <v>47.8</v>
      </c>
      <c r="U78" s="490" t="n">
        <v>48.44</v>
      </c>
      <c r="V78" s="490" t="n">
        <v>49.1</v>
      </c>
      <c r="W78" s="149"/>
      <c r="X78" s="455"/>
    </row>
    <row r="79" customFormat="false" ht="12.75" hidden="false" customHeight="false" outlineLevel="1" collapsed="false">
      <c r="A79" s="491" t="s">
        <v>414</v>
      </c>
      <c r="B79" s="149"/>
      <c r="C79" s="149"/>
      <c r="D79" s="490" t="n">
        <v>39.83</v>
      </c>
      <c r="E79" s="490" t="n">
        <v>42.33</v>
      </c>
      <c r="F79" s="490" t="n">
        <v>44.98</v>
      </c>
      <c r="G79" s="490" t="n">
        <v>47.8</v>
      </c>
      <c r="H79" s="490" t="n">
        <v>50.8</v>
      </c>
      <c r="I79" s="490" t="n">
        <v>53.98</v>
      </c>
      <c r="J79" s="490" t="n">
        <v>54.34</v>
      </c>
      <c r="K79" s="490" t="n">
        <v>54.7</v>
      </c>
      <c r="L79" s="490" t="n">
        <v>55.07</v>
      </c>
      <c r="M79" s="490" t="n">
        <v>55.44</v>
      </c>
      <c r="N79" s="490" t="n">
        <v>55.81</v>
      </c>
      <c r="O79" s="490" t="n">
        <v>52.96</v>
      </c>
      <c r="P79" s="490" t="n">
        <v>50.25</v>
      </c>
      <c r="Q79" s="490" t="n">
        <v>47.68</v>
      </c>
      <c r="R79" s="490" t="n">
        <v>45.25</v>
      </c>
      <c r="S79" s="490" t="n">
        <v>42.94</v>
      </c>
      <c r="T79" s="490" t="n">
        <v>43.28</v>
      </c>
      <c r="U79" s="490" t="n">
        <v>43.62</v>
      </c>
      <c r="V79" s="490" t="n">
        <v>43.96</v>
      </c>
      <c r="W79" s="149"/>
      <c r="X79" s="455"/>
    </row>
    <row r="80" customFormat="false" ht="12.75" hidden="false" customHeight="false" outlineLevel="1" collapsed="false">
      <c r="A80" s="402"/>
      <c r="B80" s="149"/>
      <c r="C80" s="149"/>
      <c r="D80" s="490"/>
      <c r="E80" s="490"/>
      <c r="F80" s="490"/>
      <c r="G80" s="490"/>
      <c r="H80" s="490"/>
      <c r="I80" s="490"/>
      <c r="J80" s="490"/>
      <c r="K80" s="490"/>
      <c r="L80" s="490"/>
      <c r="M80" s="490"/>
      <c r="N80" s="490"/>
      <c r="O80" s="490"/>
      <c r="P80" s="490"/>
      <c r="Q80" s="490"/>
      <c r="R80" s="490"/>
      <c r="S80" s="490"/>
      <c r="T80" s="490"/>
      <c r="U80" s="490"/>
      <c r="V80" s="490"/>
      <c r="W80" s="149"/>
      <c r="X80" s="455"/>
    </row>
    <row r="81" customFormat="false" ht="12.75" hidden="false" customHeight="false" outlineLevel="1" collapsed="false">
      <c r="A81" s="426" t="s">
        <v>415</v>
      </c>
      <c r="B81" s="492"/>
      <c r="C81" s="492"/>
      <c r="D81" s="493" t="n">
        <f aca="false">D78-D79</f>
        <v>-0.0799999999999983</v>
      </c>
      <c r="E81" s="493" t="n">
        <f aca="false">E78-E79</f>
        <v>0.100000000000001</v>
      </c>
      <c r="F81" s="493" t="n">
        <f aca="false">F78-F79</f>
        <v>0.310000000000002</v>
      </c>
      <c r="G81" s="493" t="n">
        <f aca="false">G78-G79</f>
        <v>0.540000000000006</v>
      </c>
      <c r="H81" s="493" t="n">
        <f aca="false">H78-H79</f>
        <v>0.790000000000006</v>
      </c>
      <c r="I81" s="493" t="n">
        <f aca="false">I78-I79</f>
        <v>1.09</v>
      </c>
      <c r="J81" s="493" t="n">
        <f aca="false">J78-J79</f>
        <v>1.18</v>
      </c>
      <c r="K81" s="493" t="n">
        <f aca="false">K78-K79</f>
        <v>1.27</v>
      </c>
      <c r="L81" s="493" t="n">
        <f aca="false">L78-L79</f>
        <v>1.36</v>
      </c>
      <c r="M81" s="493" t="n">
        <f aca="false">M78-M79</f>
        <v>1.45</v>
      </c>
      <c r="N81" s="493" t="n">
        <f aca="false">N78-N79</f>
        <v>1.55</v>
      </c>
      <c r="O81" s="493" t="n">
        <f aca="false">O78-O79</f>
        <v>2.19</v>
      </c>
      <c r="P81" s="493" t="n">
        <f aca="false">P78-P79</f>
        <v>2.79</v>
      </c>
      <c r="Q81" s="493" t="n">
        <f aca="false">Q78-Q79</f>
        <v>3.32</v>
      </c>
      <c r="R81" s="493" t="n">
        <f aca="false">R78-R79</f>
        <v>3.79</v>
      </c>
      <c r="S81" s="493" t="n">
        <f aca="false">S78-S79</f>
        <v>4.22</v>
      </c>
      <c r="T81" s="493" t="n">
        <f aca="false">T78-T79</f>
        <v>4.52</v>
      </c>
      <c r="U81" s="493" t="n">
        <f aca="false">U78-U79</f>
        <v>4.82</v>
      </c>
      <c r="V81" s="493" t="n">
        <f aca="false">V78-V79</f>
        <v>5.14</v>
      </c>
      <c r="W81" s="492"/>
      <c r="X81" s="494"/>
    </row>
    <row r="82" customFormat="false" ht="12.75" hidden="false" customHeight="false" outlineLevel="1" collapsed="false"/>
    <row r="83" customFormat="false" ht="12.6" hidden="false" customHeight="true" outlineLevel="1" collapsed="false"/>
    <row r="84" customFormat="false" ht="12.75" hidden="false" customHeight="false" outlineLevel="1" collapsed="false"/>
    <row r="85" customFormat="false" ht="12.6" hidden="false" customHeight="true" outlineLevel="1" collapsed="false">
      <c r="A85" s="1"/>
      <c r="B85" s="495"/>
      <c r="C85" s="410"/>
      <c r="D85" s="410"/>
      <c r="E85" s="410"/>
      <c r="F85" s="410"/>
      <c r="G85" s="410"/>
      <c r="H85" s="410"/>
      <c r="I85" s="410"/>
      <c r="J85" s="410"/>
      <c r="K85" s="410"/>
      <c r="L85" s="410"/>
      <c r="M85" s="410"/>
      <c r="N85" s="410"/>
      <c r="O85" s="410"/>
      <c r="P85" s="410"/>
      <c r="Q85" s="410"/>
      <c r="R85" s="410"/>
      <c r="S85" s="410"/>
      <c r="T85" s="410"/>
      <c r="U85" s="410"/>
      <c r="V85" s="410"/>
      <c r="W85" s="410"/>
      <c r="X85" s="410"/>
      <c r="Y85" s="410"/>
      <c r="Z85" s="410"/>
      <c r="AA85" s="410"/>
      <c r="AB85" s="1"/>
      <c r="AC85" s="1"/>
      <c r="AD85" s="1"/>
    </row>
    <row r="86" customFormat="false" ht="12.6" hidden="false" customHeight="true" outlineLevel="1" collapsed="false">
      <c r="A86" s="26"/>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customFormat="false" ht="12.75" hidden="false" customHeight="false" outlineLevel="1" collapsed="false"/>
    <row r="88" customFormat="false" ht="12.75" hidden="false" customHeight="false" outlineLevel="1" collapsed="false"/>
    <row r="89" customFormat="false" ht="12.75" hidden="false" customHeight="false" outlineLevel="1" collapsed="false"/>
    <row r="90" customFormat="false" ht="12.75" hidden="false" customHeight="false" outlineLevel="1" collapsed="false"/>
    <row r="91" customFormat="false" ht="12.75" hidden="false" customHeight="false" outlineLevel="1" collapsed="false"/>
    <row r="92" customFormat="false" ht="12.75" hidden="false" customHeight="false" outlineLevel="1" collapsed="false"/>
    <row r="93" customFormat="false" ht="12.75" hidden="false" customHeight="false" outlineLevel="1" collapsed="false"/>
    <row r="94" customFormat="false" ht="12.75" hidden="false" customHeight="false" outlineLevel="1" collapsed="false"/>
    <row r="95" customFormat="false" ht="12.75" hidden="false" customHeight="false" outlineLevel="1" collapsed="false"/>
    <row r="96" customFormat="false" ht="12.75" hidden="false" customHeight="false" outlineLevel="1" collapsed="false"/>
    <row r="97" customFormat="false" ht="12.75" hidden="false" customHeight="false" outlineLevel="1" collapsed="false"/>
    <row r="98" customFormat="false" ht="12.75" hidden="false" customHeight="false" outlineLevel="1" collapsed="false"/>
    <row r="99" customFormat="false" ht="12.75" hidden="false" customHeight="false" outlineLevel="1" collapsed="false"/>
    <row r="100" customFormat="false" ht="12.75" hidden="false" customHeight="false" outlineLevel="1" collapsed="false"/>
  </sheetData>
  <printOptions headings="false" gridLines="false" gridLinesSet="true" horizontalCentered="false" verticalCentered="false"/>
  <pageMargins left="0.5" right="0.5" top="0.5" bottom="0.5" header="0.511811023622047" footer="0.5"/>
  <pageSetup paperSize="1" scale="100" fitToWidth="1" fitToHeight="1" pageOrder="overThenDown" orientation="landscape" blackAndWhite="false" draft="false" cellComments="none" horizontalDpi="300" verticalDpi="300" copies="1"/>
  <headerFooter differentFirst="false" differentOddEven="false">
    <oddHeader/>
    <oddFooter>&amp;L&amp;D   &amp;T&amp;R&amp;F,&amp;A
Page &amp;P</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S72"/>
  <sheetViews>
    <sheetView showFormulas="false" showGridLines="true" showRowColHeaders="true" showZeros="true" rightToLeft="false" tabSelected="false" showOutlineSymbols="true" defaultGridColor="true" view="normal" topLeftCell="I1" colorId="64" zoomScale="100" zoomScaleNormal="100" zoomScalePageLayoutView="100" workbookViewId="0">
      <selection pane="topLeft" activeCell="W17" activeCellId="0" sqref="W17"/>
    </sheetView>
  </sheetViews>
  <sheetFormatPr defaultColWidth="9.0546875" defaultRowHeight="12.75" customHeight="true" zeroHeight="false" outlineLevelRow="0" outlineLevelCol="0"/>
  <cols>
    <col collapsed="false" customWidth="true" hidden="false" outlineLevel="0" max="1" min="1" style="5" width="18.7"/>
    <col collapsed="false" customWidth="true" hidden="false" outlineLevel="0" max="2" min="2" style="5" width="7.99"/>
    <col collapsed="false" customWidth="true" hidden="false" outlineLevel="0" max="3" min="3" style="5" width="10.41"/>
    <col collapsed="false" customWidth="true" hidden="false" outlineLevel="0" max="24" min="4" style="5" width="9.14"/>
  </cols>
  <sheetData>
    <row r="1" customFormat="false" ht="20.25" hidden="false" customHeight="false" outlineLevel="0" collapsed="false">
      <c r="A1" s="368" t="str">
        <f aca="false">'Project Assumptions'!$A$2</f>
        <v>CALEDONIA, Lowndes County, MS</v>
      </c>
      <c r="B1" s="369"/>
      <c r="C1" s="369"/>
      <c r="D1" s="369"/>
      <c r="E1" s="370"/>
    </row>
    <row r="2" customFormat="false" ht="12.75" hidden="false" customHeight="false" outlineLevel="0" collapsed="false">
      <c r="A2" s="371" t="s">
        <v>275</v>
      </c>
      <c r="B2" s="372"/>
      <c r="C2" s="372"/>
      <c r="D2" s="372"/>
      <c r="E2" s="374"/>
    </row>
    <row r="3" customFormat="false" ht="12.6" hidden="false" customHeight="true" outlineLevel="0" collapsed="false">
      <c r="A3" s="496"/>
      <c r="C3" s="450" t="n">
        <f aca="false">'Book Income Statement'!D3</f>
        <v>1</v>
      </c>
      <c r="D3" s="450" t="n">
        <f aca="false">'Book Income Statement'!E3</f>
        <v>2</v>
      </c>
      <c r="E3" s="450" t="n">
        <f aca="false">'Book Income Statement'!F3</f>
        <v>3</v>
      </c>
      <c r="F3" s="450" t="n">
        <f aca="false">'Book Income Statement'!G3</f>
        <v>4</v>
      </c>
      <c r="G3" s="450" t="n">
        <f aca="false">'Book Income Statement'!H3</f>
        <v>5</v>
      </c>
      <c r="H3" s="450" t="n">
        <f aca="false">'Book Income Statement'!I3</f>
        <v>6</v>
      </c>
      <c r="I3" s="329" t="n">
        <f aca="false">'Book Income Statement'!J3</f>
        <v>7</v>
      </c>
      <c r="J3" s="450" t="n">
        <f aca="false">'Book Income Statement'!K3</f>
        <v>8</v>
      </c>
      <c r="K3" s="450" t="n">
        <f aca="false">'Book Income Statement'!L3</f>
        <v>9</v>
      </c>
      <c r="L3" s="450" t="n">
        <f aca="false">'Book Income Statement'!M3</f>
        <v>10</v>
      </c>
      <c r="M3" s="450" t="n">
        <f aca="false">'Book Income Statement'!N3</f>
        <v>11</v>
      </c>
      <c r="N3" s="450" t="n">
        <f aca="false">'Book Income Statement'!O3</f>
        <v>12</v>
      </c>
      <c r="O3" s="329" t="n">
        <f aca="false">'Book Income Statement'!P3</f>
        <v>13</v>
      </c>
      <c r="P3" s="450" t="n">
        <f aca="false">'Book Income Statement'!Q3</f>
        <v>14</v>
      </c>
      <c r="Q3" s="450" t="n">
        <f aca="false">'Book Income Statement'!R3</f>
        <v>15</v>
      </c>
      <c r="R3" s="450" t="n">
        <f aca="false">'Book Income Statement'!S3</f>
        <v>16</v>
      </c>
      <c r="S3" s="450" t="n">
        <f aca="false">'Book Income Statement'!T3</f>
        <v>17</v>
      </c>
      <c r="T3" s="450" t="n">
        <f aca="false">'Book Income Statement'!U3</f>
        <v>18</v>
      </c>
      <c r="U3" s="329" t="n">
        <f aca="false">'Book Income Statement'!V3</f>
        <v>19</v>
      </c>
      <c r="V3" s="450" t="n">
        <f aca="false">'Book Income Statement'!W3</f>
        <v>20</v>
      </c>
      <c r="W3" s="450" t="n">
        <f aca="false">'Book Income Statement'!X3</f>
        <v>21</v>
      </c>
      <c r="X3" s="450"/>
      <c r="Z3" s="497"/>
      <c r="AB3" s="498"/>
    </row>
    <row r="4" customFormat="false" ht="12.6" hidden="false" customHeight="true" outlineLevel="0" collapsed="false">
      <c r="A4" s="499"/>
      <c r="B4" s="500"/>
      <c r="C4" s="501" t="n">
        <f aca="false">'Book Income Statement'!D4</f>
        <v>1999</v>
      </c>
      <c r="D4" s="501" t="n">
        <f aca="false">'Book Income Statement'!E4</f>
        <v>2000</v>
      </c>
      <c r="E4" s="501" t="n">
        <f aca="false">'Book Income Statement'!F4</f>
        <v>2001</v>
      </c>
      <c r="F4" s="501" t="n">
        <f aca="false">'Book Income Statement'!G4</f>
        <v>2002</v>
      </c>
      <c r="G4" s="501" t="n">
        <f aca="false">'Book Income Statement'!H4</f>
        <v>2003</v>
      </c>
      <c r="H4" s="501" t="n">
        <f aca="false">'Book Income Statement'!I4</f>
        <v>2004</v>
      </c>
      <c r="I4" s="501" t="n">
        <f aca="false">'Book Income Statement'!J4</f>
        <v>2005</v>
      </c>
      <c r="J4" s="501" t="n">
        <f aca="false">'Book Income Statement'!K4</f>
        <v>2006</v>
      </c>
      <c r="K4" s="501" t="n">
        <f aca="false">'Book Income Statement'!L4</f>
        <v>2007</v>
      </c>
      <c r="L4" s="501" t="n">
        <f aca="false">'Book Income Statement'!M4</f>
        <v>2008</v>
      </c>
      <c r="M4" s="501" t="n">
        <f aca="false">'Book Income Statement'!N4</f>
        <v>2009</v>
      </c>
      <c r="N4" s="501" t="n">
        <f aca="false">'Book Income Statement'!O4</f>
        <v>2010</v>
      </c>
      <c r="O4" s="501" t="n">
        <f aca="false">'Book Income Statement'!P4</f>
        <v>2011</v>
      </c>
      <c r="P4" s="501" t="n">
        <f aca="false">'Book Income Statement'!Q4</f>
        <v>2012</v>
      </c>
      <c r="Q4" s="501" t="n">
        <f aca="false">'Book Income Statement'!R4</f>
        <v>2013</v>
      </c>
      <c r="R4" s="501" t="n">
        <f aca="false">'Book Income Statement'!S4</f>
        <v>2014</v>
      </c>
      <c r="S4" s="501" t="n">
        <f aca="false">'Book Income Statement'!T4</f>
        <v>2015</v>
      </c>
      <c r="T4" s="501" t="n">
        <f aca="false">'Book Income Statement'!U4</f>
        <v>2016</v>
      </c>
      <c r="U4" s="501" t="n">
        <f aca="false">'Book Income Statement'!V4</f>
        <v>2017</v>
      </c>
      <c r="V4" s="501" t="n">
        <f aca="false">'Book Income Statement'!W4</f>
        <v>2018</v>
      </c>
      <c r="W4" s="502" t="n">
        <f aca="false">'Book Income Statement'!X4</f>
        <v>2019</v>
      </c>
      <c r="X4" s="383"/>
      <c r="Y4" s="503"/>
      <c r="Z4" s="503"/>
      <c r="AA4" s="503"/>
      <c r="AB4" s="503"/>
      <c r="AD4" s="503"/>
      <c r="AE4" s="503"/>
      <c r="AF4" s="503"/>
      <c r="AG4" s="503"/>
      <c r="AH4" s="503"/>
      <c r="AI4" s="503"/>
      <c r="AJ4" s="503"/>
      <c r="AK4" s="503"/>
      <c r="AL4" s="503"/>
      <c r="AM4" s="503"/>
      <c r="AN4" s="503"/>
      <c r="AO4" s="503"/>
      <c r="AP4" s="503"/>
      <c r="AQ4" s="503"/>
      <c r="AR4" s="503"/>
      <c r="AS4" s="503"/>
      <c r="AT4" s="503"/>
      <c r="AU4" s="503"/>
      <c r="AV4" s="503"/>
      <c r="AW4" s="503"/>
      <c r="AX4" s="503"/>
      <c r="AY4" s="503"/>
    </row>
    <row r="5" customFormat="false" ht="15.75" hidden="false" customHeight="false" outlineLevel="0" collapsed="false">
      <c r="A5" s="415" t="s">
        <v>416</v>
      </c>
      <c r="B5" s="434"/>
      <c r="C5" s="434"/>
      <c r="D5" s="434"/>
      <c r="E5" s="434"/>
      <c r="F5" s="434"/>
      <c r="G5" s="434"/>
      <c r="H5" s="434"/>
      <c r="I5" s="434"/>
      <c r="J5" s="434"/>
      <c r="K5" s="434"/>
      <c r="L5" s="434"/>
      <c r="M5" s="434"/>
      <c r="N5" s="434"/>
      <c r="O5" s="434"/>
      <c r="P5" s="434"/>
      <c r="Q5" s="434"/>
      <c r="R5" s="434"/>
      <c r="S5" s="434"/>
      <c r="T5" s="434"/>
      <c r="U5" s="434"/>
      <c r="V5" s="434"/>
      <c r="W5" s="436"/>
      <c r="X5" s="434"/>
      <c r="Y5" s="504"/>
      <c r="Z5" s="504"/>
    </row>
    <row r="6" customFormat="false" ht="12.6" hidden="false" customHeight="true" outlineLevel="0" collapsed="false">
      <c r="A6" s="417" t="s">
        <v>417</v>
      </c>
      <c r="B6" s="450"/>
      <c r="C6" s="505" t="n">
        <v>0</v>
      </c>
      <c r="D6" s="505" t="n">
        <v>0</v>
      </c>
      <c r="E6" s="505" t="n">
        <v>0</v>
      </c>
      <c r="F6" s="505" t="n">
        <v>0</v>
      </c>
      <c r="G6" s="505" t="n">
        <v>0</v>
      </c>
      <c r="H6" s="505" t="n">
        <v>0</v>
      </c>
      <c r="I6" s="505" t="n">
        <v>0</v>
      </c>
      <c r="J6" s="505" t="n">
        <v>0</v>
      </c>
      <c r="K6" s="505" t="n">
        <v>0</v>
      </c>
      <c r="L6" s="505" t="n">
        <v>0</v>
      </c>
      <c r="M6" s="505" t="n">
        <v>0</v>
      </c>
      <c r="N6" s="505" t="n">
        <v>0</v>
      </c>
      <c r="O6" s="505" t="n">
        <v>0</v>
      </c>
      <c r="P6" s="505" t="n">
        <v>0</v>
      </c>
      <c r="Q6" s="505" t="n">
        <v>0</v>
      </c>
      <c r="R6" s="505" t="n">
        <v>0</v>
      </c>
      <c r="S6" s="505" t="n">
        <v>0</v>
      </c>
      <c r="T6" s="505" t="n">
        <v>0</v>
      </c>
      <c r="U6" s="505" t="n">
        <v>0</v>
      </c>
      <c r="V6" s="505" t="n">
        <v>0</v>
      </c>
      <c r="W6" s="506" t="n">
        <v>0</v>
      </c>
      <c r="X6" s="505"/>
      <c r="Y6" s="507"/>
      <c r="Z6" s="507"/>
    </row>
    <row r="7" customFormat="false" ht="12.6" hidden="false" customHeight="true" outlineLevel="0" collapsed="false">
      <c r="A7" s="417" t="s">
        <v>418</v>
      </c>
      <c r="B7" s="450"/>
      <c r="C7" s="505" t="n">
        <v>0</v>
      </c>
      <c r="D7" s="505" t="n">
        <v>0</v>
      </c>
      <c r="E7" s="505" t="n">
        <v>0</v>
      </c>
      <c r="F7" s="505" t="n">
        <v>0</v>
      </c>
      <c r="G7" s="505" t="n">
        <v>0</v>
      </c>
      <c r="H7" s="505" t="n">
        <v>0</v>
      </c>
      <c r="I7" s="505" t="n">
        <v>0</v>
      </c>
      <c r="J7" s="505" t="n">
        <v>0</v>
      </c>
      <c r="K7" s="505" t="n">
        <v>0</v>
      </c>
      <c r="L7" s="505" t="n">
        <v>0</v>
      </c>
      <c r="M7" s="505" t="n">
        <v>0</v>
      </c>
      <c r="N7" s="505" t="n">
        <v>0</v>
      </c>
      <c r="O7" s="505" t="n">
        <v>0</v>
      </c>
      <c r="P7" s="505" t="n">
        <v>0</v>
      </c>
      <c r="Q7" s="505" t="n">
        <v>0</v>
      </c>
      <c r="R7" s="505" t="n">
        <v>0</v>
      </c>
      <c r="S7" s="505" t="n">
        <v>0</v>
      </c>
      <c r="T7" s="505" t="n">
        <v>0</v>
      </c>
      <c r="U7" s="505" t="n">
        <v>0</v>
      </c>
      <c r="V7" s="505" t="n">
        <v>0</v>
      </c>
      <c r="W7" s="506" t="n">
        <v>0</v>
      </c>
      <c r="X7" s="505"/>
      <c r="Y7" s="507"/>
      <c r="Z7" s="507"/>
    </row>
    <row r="8" customFormat="false" ht="12.6" hidden="false" customHeight="true" outlineLevel="0" collapsed="false">
      <c r="A8" s="417" t="s">
        <v>419</v>
      </c>
      <c r="B8" s="450"/>
      <c r="C8" s="418" t="n">
        <f aca="false">IF(C4=YEAR(EVAP_Date),NetMW_New*(1-C6)*(1-MONTH(EVAP_Date)/12)+NetMW*(MONTH(EVAP_Date)/12),IF(C4&gt;=YEAR(EVAP_Date),NetMW_New*(1-C6),NetMW*(1-C6)))</f>
        <v>442</v>
      </c>
      <c r="D8" s="418" t="n">
        <f aca="false">IF(D4=YEAR(EVAP_Date),NetMW_New*(1-D6)*(1-MONTH(EVAP_Date)/12)+NetMW*(MONTH(EVAP_Date)/12),IF(D4&gt;=YEAR(EVAP_Date),NetMW_New*(1-D6),NetMW*(1-D6)))</f>
        <v>450.75</v>
      </c>
      <c r="E8" s="418" t="n">
        <f aca="false">IF(E4=YEAR(EVAP_Date),NetMW_New*(1-E6)*(1-MONTH(EVAP_Date)/12)+NetMW*(MONTH(EVAP_Date)/12),IF(E4&gt;=YEAR(EVAP_Date),NetMW_New*(1-E6),NetMW*(1-E6)))</f>
        <v>457</v>
      </c>
      <c r="F8" s="418" t="n">
        <f aca="false">IF(F4=YEAR(EVAP_Date),NetMW_New*(1-F6)*(1-MONTH(EVAP_Date)/12)+NetMW*(MONTH(EVAP_Date)/12),IF(F4&gt;=YEAR(EVAP_Date),NetMW_New*(1-F6),NetMW*(1-F6)))</f>
        <v>457</v>
      </c>
      <c r="G8" s="418" t="n">
        <f aca="false">IF(G4=YEAR(EVAP_Date),NetMW_New*(1-G6)*(1-MONTH(EVAP_Date)/12)+NetMW*(MONTH(EVAP_Date)/12),IF(G4&gt;=YEAR(EVAP_Date),NetMW_New*(1-G6),NetMW*(1-G6)))</f>
        <v>457</v>
      </c>
      <c r="H8" s="418" t="n">
        <f aca="false">IF(H4=YEAR(EVAP_Date),NetMW_New*(1-H6)*(1-MONTH(EVAP_Date)/12)+NetMW*(MONTH(EVAP_Date)/12),IF(H4&gt;=YEAR(EVAP_Date),NetMW_New*(1-H6),NetMW*(1-H6)))</f>
        <v>457</v>
      </c>
      <c r="I8" s="418" t="n">
        <f aca="false">IF(I4=YEAR(EVAP_Date),NetMW_New*(1-I6)*(1-MONTH(EVAP_Date)/12)+NetMW*(MONTH(EVAP_Date)/12),IF(I4&gt;=YEAR(EVAP_Date),NetMW_New*(1-I6),NetMW*(1-I6)))</f>
        <v>457</v>
      </c>
      <c r="J8" s="418" t="n">
        <f aca="false">IF(J4=YEAR(EVAP_Date),NetMW_New*(1-J6)*(1-MONTH(EVAP_Date)/12)+NetMW*(MONTH(EVAP_Date)/12),IF(J4&gt;=YEAR(EVAP_Date),NetMW_New*(1-J6),NetMW*(1-J6)))</f>
        <v>457</v>
      </c>
      <c r="K8" s="418" t="n">
        <f aca="false">IF(K4=YEAR(EVAP_Date),NetMW_New*(1-K6)*(1-MONTH(EVAP_Date)/12)+NetMW*(MONTH(EVAP_Date)/12),IF(K4&gt;=YEAR(EVAP_Date),NetMW_New*(1-K6),NetMW*(1-K6)))</f>
        <v>457</v>
      </c>
      <c r="L8" s="418" t="n">
        <f aca="false">IF(L4=YEAR(EVAP_Date),NetMW_New*(1-L6)*(1-MONTH(EVAP_Date)/12)+NetMW*(MONTH(EVAP_Date)/12),IF(L4&gt;=YEAR(EVAP_Date),NetMW_New*(1-L6),NetMW*(1-L6)))</f>
        <v>457</v>
      </c>
      <c r="M8" s="418" t="n">
        <f aca="false">IF(M4=YEAR(EVAP_Date),NetMW_New*(1-M6)*(1-MONTH(EVAP_Date)/12)+NetMW*(MONTH(EVAP_Date)/12),IF(M4&gt;=YEAR(EVAP_Date),NetMW_New*(1-M6),NetMW*(1-M6)))</f>
        <v>457</v>
      </c>
      <c r="N8" s="418" t="n">
        <f aca="false">IF(N4=YEAR(EVAP_Date),NetMW_New*(1-N6)*(1-MONTH(EVAP_Date)/12)+NetMW*(MONTH(EVAP_Date)/12),IF(N4&gt;=YEAR(EVAP_Date),NetMW_New*(1-N6),NetMW*(1-N6)))</f>
        <v>457</v>
      </c>
      <c r="O8" s="418" t="n">
        <f aca="false">IF(O4=YEAR(EVAP_Date),NetMW_New*(1-O6)*(1-MONTH(EVAP_Date)/12)+NetMW*(MONTH(EVAP_Date)/12),IF(O4&gt;=YEAR(EVAP_Date),NetMW_New*(1-O6),NetMW*(1-O6)))</f>
        <v>457</v>
      </c>
      <c r="P8" s="418" t="n">
        <f aca="false">IF(P4=YEAR(EVAP_Date),NetMW_New*(1-P6)*(1-MONTH(EVAP_Date)/12)+NetMW*(MONTH(EVAP_Date)/12),IF(P4&gt;=YEAR(EVAP_Date),NetMW_New*(1-P6),NetMW*(1-P6)))</f>
        <v>457</v>
      </c>
      <c r="Q8" s="418" t="n">
        <f aca="false">IF(Q4=YEAR(EVAP_Date),NetMW_New*(1-Q6)*(1-MONTH(EVAP_Date)/12)+NetMW*(MONTH(EVAP_Date)/12),IF(Q4&gt;=YEAR(EVAP_Date),NetMW_New*(1-Q6),NetMW*(1-Q6)))</f>
        <v>457</v>
      </c>
      <c r="R8" s="418" t="n">
        <f aca="false">IF(R4=YEAR(EVAP_Date),NetMW_New*(1-R6)*(1-MONTH(EVAP_Date)/12)+NetMW*(MONTH(EVAP_Date)/12),IF(R4&gt;=YEAR(EVAP_Date),NetMW_New*(1-R6),NetMW*(1-R6)))</f>
        <v>457</v>
      </c>
      <c r="S8" s="418" t="n">
        <f aca="false">IF(S4=YEAR(EVAP_Date),NetMW_New*(1-S6)*(1-MONTH(EVAP_Date)/12)+NetMW*(MONTH(EVAP_Date)/12),IF(S4&gt;=YEAR(EVAP_Date),NetMW_New*(1-S6),NetMW*(1-S6)))</f>
        <v>457</v>
      </c>
      <c r="T8" s="418" t="n">
        <f aca="false">IF(T4=YEAR(EVAP_Date),NetMW_New*(1-T6)*(1-MONTH(EVAP_Date)/12)+NetMW*(MONTH(EVAP_Date)/12),IF(T4&gt;=YEAR(EVAP_Date),NetMW_New*(1-T6),NetMW*(1-T6)))</f>
        <v>457</v>
      </c>
      <c r="U8" s="418" t="n">
        <f aca="false">IF(U4=YEAR(EVAP_Date),NetMW_New*(1-U6)*(1-MONTH(EVAP_Date)/12)+NetMW*(MONTH(EVAP_Date)/12),IF(U4&gt;=YEAR(EVAP_Date),NetMW_New*(1-U6),NetMW*(1-U6)))</f>
        <v>457</v>
      </c>
      <c r="V8" s="418" t="n">
        <f aca="false">IF(V4=YEAR(EVAP_Date),NetMW_New*(1-V6)*(1-MONTH(EVAP_Date)/12)+NetMW*(MONTH(EVAP_Date)/12),IF(V4&gt;=YEAR(EVAP_Date),NetMW_New*(1-V6),NetMW*(1-V6)))</f>
        <v>457</v>
      </c>
      <c r="W8" s="508" t="n">
        <f aca="false">IF(W4=YEAR(EVAP_Date),NetMW_New*(1-W6)*(1-MONTH(EVAP_Date)/12)+NetMW*(MONTH(EVAP_Date)/12),IF(W4&gt;=YEAR(EVAP_Date),NetMW_New*(1-W6),NetMW*(1-W6)))</f>
        <v>457</v>
      </c>
      <c r="X8" s="418"/>
      <c r="Y8" s="509"/>
      <c r="Z8" s="509"/>
    </row>
    <row r="9" customFormat="false" ht="12.6" hidden="false" customHeight="true" outlineLevel="0" collapsed="false">
      <c r="A9" s="417"/>
      <c r="B9" s="450"/>
      <c r="C9" s="418"/>
      <c r="D9" s="418"/>
      <c r="E9" s="418"/>
      <c r="F9" s="418"/>
      <c r="G9" s="418"/>
      <c r="H9" s="418"/>
      <c r="I9" s="418"/>
      <c r="J9" s="418"/>
      <c r="K9" s="418"/>
      <c r="L9" s="418"/>
      <c r="M9" s="418"/>
      <c r="N9" s="418"/>
      <c r="O9" s="418"/>
      <c r="P9" s="418"/>
      <c r="Q9" s="418"/>
      <c r="R9" s="418"/>
      <c r="S9" s="418"/>
      <c r="T9" s="418"/>
      <c r="U9" s="418"/>
      <c r="V9" s="418"/>
      <c r="W9" s="508"/>
      <c r="X9" s="418"/>
      <c r="Y9" s="509"/>
      <c r="Z9" s="509"/>
    </row>
    <row r="10" customFormat="false" ht="12.6" hidden="false" customHeight="true" outlineLevel="0" collapsed="false">
      <c r="A10" s="417" t="s">
        <v>420</v>
      </c>
      <c r="B10" s="450"/>
      <c r="C10" s="418" t="n">
        <f aca="false">IF(C3&gt;ProjectLife+1,0,C8)</f>
        <v>442</v>
      </c>
      <c r="D10" s="418" t="n">
        <f aca="false">IF(D3&gt;ProjectLife+1,0,D8*'PPA Assumptions &amp; Summary'!D7/12)</f>
        <v>450.75</v>
      </c>
      <c r="E10" s="418" t="n">
        <f aca="false">IF(E3&gt;ProjectLife+1,0,E8*'PPA Assumptions &amp; Summary'!E7/12)</f>
        <v>457</v>
      </c>
      <c r="F10" s="418" t="n">
        <f aca="false">IF(F3&gt;ProjectLife+1,0,F8*'PPA Assumptions &amp; Summary'!F7/12)</f>
        <v>457</v>
      </c>
      <c r="G10" s="418" t="n">
        <f aca="false">IF(G3&gt;ProjectLife+1,0,G8*'PPA Assumptions &amp; Summary'!G7/12)</f>
        <v>190.416666666667</v>
      </c>
      <c r="H10" s="418" t="n">
        <f aca="false">IF(H3&gt;ProjectLife+1,0,H8*'PPA Assumptions &amp; Summary'!H7/12)</f>
        <v>0</v>
      </c>
      <c r="I10" s="418" t="n">
        <f aca="false">IF(I3&gt;ProjectLife+1,0,I8*'PPA Assumptions &amp; Summary'!I7/12)</f>
        <v>0</v>
      </c>
      <c r="J10" s="418" t="n">
        <f aca="false">IF(J3&gt;ProjectLife+1,0,J8*'PPA Assumptions &amp; Summary'!J7/12)</f>
        <v>0</v>
      </c>
      <c r="K10" s="418" t="n">
        <f aca="false">IF(K3&gt;ProjectLife+1,0,K8*'PPA Assumptions &amp; Summary'!K7/12)</f>
        <v>0</v>
      </c>
      <c r="L10" s="418" t="n">
        <f aca="false">IF(L3&gt;ProjectLife+1,0,L8*'PPA Assumptions &amp; Summary'!L7/12)</f>
        <v>0</v>
      </c>
      <c r="M10" s="418" t="n">
        <f aca="false">IF(M3&gt;ProjectLife+1,0,M8*'PPA Assumptions &amp; Summary'!M7/12)</f>
        <v>0</v>
      </c>
      <c r="N10" s="418" t="n">
        <f aca="false">IF(N3&gt;ProjectLife+1,0,N8*'PPA Assumptions &amp; Summary'!N7/12)</f>
        <v>0</v>
      </c>
      <c r="O10" s="418" t="n">
        <f aca="false">IF(O3&gt;ProjectLife+1,0,O8*'PPA Assumptions &amp; Summary'!O7/12)</f>
        <v>0</v>
      </c>
      <c r="P10" s="418" t="n">
        <f aca="false">IF(P3&gt;ProjectLife+1,0,P8*'PPA Assumptions &amp; Summary'!P7/12)</f>
        <v>0</v>
      </c>
      <c r="Q10" s="418" t="n">
        <f aca="false">IF(Q3&gt;ProjectLife+1,0,Q8*'PPA Assumptions &amp; Summary'!Q7/12)</f>
        <v>0</v>
      </c>
      <c r="R10" s="418" t="n">
        <f aca="false">IF(R3&gt;ProjectLife+1,0,R8*'PPA Assumptions &amp; Summary'!R7/12)</f>
        <v>0</v>
      </c>
      <c r="S10" s="418" t="n">
        <f aca="false">IF(S3&gt;ProjectLife+1,0,S8*'PPA Assumptions &amp; Summary'!S7/12)</f>
        <v>0</v>
      </c>
      <c r="T10" s="418" t="n">
        <f aca="false">IF(T3&gt;ProjectLife+1,0,T8*'PPA Assumptions &amp; Summary'!T7/12)</f>
        <v>0</v>
      </c>
      <c r="U10" s="418" t="n">
        <f aca="false">IF(U3&gt;ProjectLife+1,0,U8*'PPA Assumptions &amp; Summary'!U7/12)</f>
        <v>0</v>
      </c>
      <c r="V10" s="418" t="n">
        <f aca="false">IF(V3&gt;ProjectLife+1,0,V8*'PPA Assumptions &amp; Summary'!V7/12)</f>
        <v>0</v>
      </c>
      <c r="W10" s="508" t="n">
        <f aca="false">IF(W3&gt;ProjectLife+1,0,W8*'PPA Assumptions &amp; Summary'!W7/12)</f>
        <v>0</v>
      </c>
      <c r="X10" s="418"/>
      <c r="Y10" s="509"/>
      <c r="Z10" s="509"/>
      <c r="AA10" s="509"/>
      <c r="AB10" s="509"/>
      <c r="AC10" s="509"/>
      <c r="AD10" s="509"/>
      <c r="AE10" s="509"/>
      <c r="AF10" s="509"/>
      <c r="AG10" s="509"/>
      <c r="AH10" s="509"/>
      <c r="AI10" s="509"/>
      <c r="AJ10" s="509"/>
      <c r="AK10" s="509"/>
      <c r="AL10" s="509"/>
      <c r="AM10" s="509"/>
      <c r="AN10" s="509"/>
      <c r="AO10" s="509"/>
      <c r="AP10" s="509"/>
      <c r="AQ10" s="509"/>
      <c r="AR10" s="509"/>
      <c r="AS10" s="509"/>
      <c r="AT10" s="509"/>
      <c r="AU10" s="509"/>
      <c r="AV10" s="509"/>
      <c r="AW10" s="509"/>
      <c r="AX10" s="509"/>
      <c r="AY10" s="509"/>
      <c r="AZ10" s="509"/>
      <c r="BA10" s="509"/>
      <c r="BB10" s="509"/>
      <c r="BC10" s="509"/>
      <c r="BD10" s="509"/>
      <c r="BE10" s="509"/>
      <c r="BF10" s="509"/>
      <c r="BG10" s="509"/>
      <c r="BH10" s="509"/>
      <c r="BI10" s="509"/>
      <c r="BJ10" s="509"/>
      <c r="BK10" s="509"/>
      <c r="BL10" s="509"/>
      <c r="BM10" s="509"/>
      <c r="BN10" s="509"/>
      <c r="BO10" s="509"/>
      <c r="BP10" s="509"/>
      <c r="BQ10" s="509"/>
      <c r="BR10" s="509"/>
      <c r="BS10" s="509"/>
      <c r="BT10" s="509"/>
      <c r="BU10" s="509"/>
      <c r="BV10" s="509"/>
      <c r="BW10" s="509"/>
      <c r="BX10" s="509"/>
      <c r="BY10" s="509"/>
      <c r="BZ10" s="509"/>
      <c r="CA10" s="509"/>
      <c r="CB10" s="509"/>
      <c r="CC10" s="509"/>
      <c r="CD10" s="509"/>
      <c r="CE10" s="509"/>
      <c r="CF10" s="509"/>
      <c r="CG10" s="509"/>
      <c r="CH10" s="509"/>
      <c r="CI10" s="509"/>
      <c r="CJ10" s="509"/>
      <c r="CK10" s="509"/>
      <c r="CL10" s="509"/>
      <c r="CM10" s="509"/>
      <c r="CN10" s="509"/>
      <c r="CO10" s="509"/>
      <c r="CP10" s="509"/>
      <c r="CQ10" s="509"/>
      <c r="CR10" s="509"/>
      <c r="CS10" s="509"/>
      <c r="CT10" s="509"/>
      <c r="CU10" s="509"/>
      <c r="CV10" s="509"/>
      <c r="CW10" s="509"/>
      <c r="CX10" s="509"/>
      <c r="CY10" s="509"/>
      <c r="CZ10" s="509"/>
      <c r="DA10" s="509"/>
      <c r="DB10" s="509"/>
      <c r="DC10" s="509"/>
      <c r="DD10" s="509"/>
      <c r="DE10" s="509"/>
      <c r="DF10" s="509"/>
      <c r="DG10" s="509"/>
      <c r="DH10" s="509"/>
      <c r="DI10" s="509"/>
      <c r="DJ10" s="509"/>
      <c r="DK10" s="509"/>
      <c r="DL10" s="509"/>
      <c r="DM10" s="509"/>
      <c r="DN10" s="509"/>
      <c r="DO10" s="509"/>
      <c r="DP10" s="509"/>
      <c r="DQ10" s="509"/>
      <c r="DR10" s="509"/>
      <c r="DS10" s="509"/>
      <c r="DT10" s="509"/>
      <c r="DU10" s="509"/>
      <c r="DV10" s="509"/>
      <c r="DW10" s="509"/>
      <c r="DX10" s="509"/>
      <c r="DY10" s="509"/>
      <c r="DZ10" s="509"/>
      <c r="EA10" s="509"/>
      <c r="EB10" s="509"/>
      <c r="EC10" s="509"/>
      <c r="ED10" s="509"/>
      <c r="EE10" s="509"/>
      <c r="EF10" s="509"/>
      <c r="EG10" s="509"/>
      <c r="EH10" s="509"/>
      <c r="EI10" s="509"/>
      <c r="EJ10" s="509"/>
      <c r="EK10" s="509"/>
      <c r="EL10" s="509"/>
      <c r="EM10" s="509"/>
      <c r="EN10" s="509"/>
      <c r="EO10" s="509"/>
      <c r="EP10" s="509"/>
      <c r="EQ10" s="509"/>
      <c r="ER10" s="509"/>
      <c r="ES10" s="509"/>
      <c r="ET10" s="509"/>
      <c r="EU10" s="509"/>
      <c r="EV10" s="509"/>
      <c r="EW10" s="509"/>
      <c r="EX10" s="509"/>
      <c r="EY10" s="509"/>
      <c r="EZ10" s="509"/>
      <c r="FA10" s="509"/>
      <c r="FB10" s="509"/>
      <c r="FC10" s="509"/>
      <c r="FD10" s="509"/>
      <c r="FE10" s="509"/>
      <c r="FF10" s="509"/>
      <c r="FG10" s="509"/>
      <c r="FH10" s="509"/>
      <c r="FI10" s="509"/>
      <c r="FJ10" s="509"/>
      <c r="FK10" s="509"/>
      <c r="FL10" s="509"/>
      <c r="FM10" s="509"/>
      <c r="FN10" s="509"/>
      <c r="FO10" s="509"/>
      <c r="FP10" s="509"/>
      <c r="FQ10" s="509"/>
      <c r="FR10" s="509"/>
      <c r="FS10" s="509"/>
      <c r="FT10" s="509"/>
      <c r="FU10" s="509"/>
      <c r="FV10" s="509"/>
      <c r="FW10" s="509"/>
      <c r="FX10" s="509"/>
      <c r="FY10" s="509"/>
      <c r="FZ10" s="509"/>
      <c r="GA10" s="509"/>
      <c r="GB10" s="509"/>
      <c r="GC10" s="509"/>
      <c r="GD10" s="509"/>
      <c r="GE10" s="509"/>
      <c r="GF10" s="509"/>
      <c r="GG10" s="509"/>
      <c r="GH10" s="509"/>
      <c r="GI10" s="509"/>
      <c r="GJ10" s="509"/>
      <c r="GK10" s="509"/>
      <c r="GL10" s="509"/>
      <c r="GM10" s="509"/>
      <c r="GN10" s="509"/>
      <c r="GO10" s="509"/>
      <c r="GP10" s="509"/>
      <c r="GQ10" s="509"/>
      <c r="GR10" s="509"/>
      <c r="GS10" s="509"/>
      <c r="GT10" s="509"/>
      <c r="GU10" s="509"/>
      <c r="GV10" s="509"/>
      <c r="GW10" s="509"/>
      <c r="GX10" s="509"/>
      <c r="GY10" s="509"/>
      <c r="GZ10" s="509"/>
      <c r="HA10" s="509"/>
      <c r="HB10" s="509"/>
      <c r="HC10" s="509"/>
      <c r="HD10" s="509"/>
      <c r="HE10" s="509"/>
      <c r="HF10" s="509"/>
      <c r="HG10" s="509"/>
      <c r="HH10" s="509"/>
      <c r="HI10" s="509"/>
      <c r="HJ10" s="509"/>
      <c r="HK10" s="509"/>
      <c r="HL10" s="509"/>
      <c r="HM10" s="509"/>
      <c r="HN10" s="509"/>
      <c r="HO10" s="509"/>
      <c r="HP10" s="509"/>
      <c r="HQ10" s="509"/>
      <c r="HR10" s="509"/>
      <c r="HS10" s="509"/>
    </row>
    <row r="11" customFormat="false" ht="12.6" hidden="false" customHeight="true" outlineLevel="0" collapsed="false">
      <c r="A11" s="417" t="s">
        <v>421</v>
      </c>
      <c r="B11" s="450"/>
      <c r="C11" s="445" t="n">
        <f aca="false">IF(C3&gt;ProjectLife,0,'Project Assumptions'!$I$15)</f>
        <v>1200</v>
      </c>
      <c r="D11" s="445" t="n">
        <f aca="false">IF(D3&gt;ProjectLife,0,'Project Assumptions'!$I$15)</f>
        <v>1200</v>
      </c>
      <c r="E11" s="445" t="n">
        <f aca="false">IF(E3&gt;ProjectLife,0,'Project Assumptions'!$I$15)</f>
        <v>1200</v>
      </c>
      <c r="F11" s="445" t="n">
        <f aca="false">IF(F3&gt;ProjectLife,0,'Project Assumptions'!$I$15)</f>
        <v>1200</v>
      </c>
      <c r="G11" s="445" t="n">
        <f aca="false">IF(G3&gt;ProjectLife,0,'Project Assumptions'!$I$15)</f>
        <v>1200</v>
      </c>
      <c r="H11" s="445" t="n">
        <f aca="false">IF(H3&gt;ProjectLife,0,'Project Assumptions'!$I$15)</f>
        <v>1200</v>
      </c>
      <c r="I11" s="445" t="n">
        <f aca="false">IF(I3&gt;ProjectLife,0,'Project Assumptions'!$I$15)</f>
        <v>1200</v>
      </c>
      <c r="J11" s="445" t="n">
        <f aca="false">IF(J3&gt;ProjectLife,0,'Project Assumptions'!$I$15)</f>
        <v>1200</v>
      </c>
      <c r="K11" s="445" t="n">
        <f aca="false">IF(K3&gt;ProjectLife,0,'Project Assumptions'!$I$15)</f>
        <v>1200</v>
      </c>
      <c r="L11" s="445" t="n">
        <f aca="false">IF(L3&gt;ProjectLife,0,'Project Assumptions'!$I$15)</f>
        <v>1200</v>
      </c>
      <c r="M11" s="445" t="n">
        <f aca="false">IF(M3&gt;ProjectLife,0,'Project Assumptions'!$I$15)</f>
        <v>1200</v>
      </c>
      <c r="N11" s="445" t="n">
        <f aca="false">IF(N3&gt;ProjectLife,0,'Project Assumptions'!$I$15)</f>
        <v>1200</v>
      </c>
      <c r="O11" s="445" t="n">
        <f aca="false">IF(O3&gt;ProjectLife,0,'Project Assumptions'!$I$15)</f>
        <v>1200</v>
      </c>
      <c r="P11" s="445" t="n">
        <f aca="false">IF(P3&gt;ProjectLife,0,'Project Assumptions'!$I$15)</f>
        <v>1200</v>
      </c>
      <c r="Q11" s="445" t="n">
        <f aca="false">IF(Q3&gt;ProjectLife,0,'Project Assumptions'!$I$15)</f>
        <v>1200</v>
      </c>
      <c r="R11" s="445" t="n">
        <f aca="false">IF(R3&gt;ProjectLife,0,'Project Assumptions'!$I$15)</f>
        <v>1200</v>
      </c>
      <c r="S11" s="445" t="n">
        <f aca="false">IF(S3&gt;ProjectLife,0,'Project Assumptions'!$I$15)</f>
        <v>1200</v>
      </c>
      <c r="T11" s="445" t="n">
        <f aca="false">IF(T3&gt;ProjectLife,0,'Project Assumptions'!$I$15)</f>
        <v>1200</v>
      </c>
      <c r="U11" s="445" t="n">
        <f aca="false">IF(U3&gt;ProjectLife,0,'Project Assumptions'!$I$15)</f>
        <v>1200</v>
      </c>
      <c r="V11" s="445" t="n">
        <f aca="false">IF(V3&gt;ProjectLife,0,'Project Assumptions'!$I$15)</f>
        <v>1200</v>
      </c>
      <c r="W11" s="510" t="n">
        <f aca="false">IF(W3&gt;ProjectLife+1,0,'Project Assumptions'!$I$15)</f>
        <v>1200</v>
      </c>
      <c r="X11" s="445"/>
      <c r="Y11" s="511"/>
      <c r="Z11" s="511"/>
    </row>
    <row r="12" customFormat="false" ht="12.6" hidden="false" customHeight="true" outlineLevel="0" collapsed="false">
      <c r="A12" s="426" t="s">
        <v>422</v>
      </c>
      <c r="B12" s="512"/>
      <c r="C12" s="513" t="n">
        <f aca="false">IF(C3&gt;ProjectLife+1,0,C11*(C10))</f>
        <v>530400</v>
      </c>
      <c r="D12" s="513" t="n">
        <f aca="false">IF(D3&gt;ProjectLife+1,0,D11*(D10))</f>
        <v>540900</v>
      </c>
      <c r="E12" s="513" t="n">
        <f aca="false">IF(E3&gt;ProjectLife+1,0,E11*(E10))</f>
        <v>548400</v>
      </c>
      <c r="F12" s="513" t="n">
        <f aca="false">IF(F3&gt;ProjectLife+1,0,F11*(F10))</f>
        <v>548400</v>
      </c>
      <c r="G12" s="513" t="n">
        <f aca="false">IF(G3&gt;ProjectLife+1,0,G11*(G10))</f>
        <v>228500</v>
      </c>
      <c r="H12" s="513" t="n">
        <f aca="false">IF(H3&gt;ProjectLife+1,0,H11*(H10))</f>
        <v>0</v>
      </c>
      <c r="I12" s="513" t="n">
        <f aca="false">IF(I3&gt;ProjectLife+1,0,I11*(I10))</f>
        <v>0</v>
      </c>
      <c r="J12" s="513" t="n">
        <f aca="false">IF(J3&gt;ProjectLife+1,0,J11*(J10))</f>
        <v>0</v>
      </c>
      <c r="K12" s="513" t="n">
        <f aca="false">IF(K3&gt;ProjectLife+1,0,K11*(K10))</f>
        <v>0</v>
      </c>
      <c r="L12" s="513" t="n">
        <f aca="false">IF(L3&gt;ProjectLife+1,0,L11*(L10))</f>
        <v>0</v>
      </c>
      <c r="M12" s="513" t="n">
        <f aca="false">IF(M3&gt;ProjectLife+1,0,M11*(M10))</f>
        <v>0</v>
      </c>
      <c r="N12" s="513" t="n">
        <f aca="false">IF(N3&gt;ProjectLife+1,0,N11*(N10))</f>
        <v>0</v>
      </c>
      <c r="O12" s="513" t="n">
        <f aca="false">IF(O3&gt;ProjectLife+1,0,O11*(O10))</f>
        <v>0</v>
      </c>
      <c r="P12" s="513" t="n">
        <f aca="false">IF(P3&gt;ProjectLife+1,0,P11*(P10))</f>
        <v>0</v>
      </c>
      <c r="Q12" s="513" t="n">
        <f aca="false">IF(Q3&gt;ProjectLife+1,0,Q11*(Q10))</f>
        <v>0</v>
      </c>
      <c r="R12" s="513" t="n">
        <f aca="false">IF(R3&gt;ProjectLife+1,0,R11*(R10))</f>
        <v>0</v>
      </c>
      <c r="S12" s="513" t="n">
        <f aca="false">IF(S3&gt;ProjectLife+1,0,S11*(S10))</f>
        <v>0</v>
      </c>
      <c r="T12" s="513" t="n">
        <f aca="false">IF(T3&gt;ProjectLife+1,0,T11*(T10))</f>
        <v>0</v>
      </c>
      <c r="U12" s="513" t="n">
        <f aca="false">IF(U3&gt;ProjectLife+1,0,U11*(U10))</f>
        <v>0</v>
      </c>
      <c r="V12" s="513" t="n">
        <f aca="false">IF(V3&gt;ProjectLife+1,0,V11*(V10))</f>
        <v>0</v>
      </c>
      <c r="W12" s="514" t="n">
        <f aca="false">IF(W3&gt;ProjectLife+1,0,W11*(W10))</f>
        <v>0</v>
      </c>
      <c r="X12" s="441"/>
      <c r="Y12" s="515"/>
      <c r="Z12" s="515"/>
    </row>
    <row r="13" customFormat="false" ht="12.6" hidden="false" customHeight="true" outlineLevel="0" collapsed="false">
      <c r="A13" s="430"/>
      <c r="B13" s="450"/>
      <c r="C13" s="441"/>
      <c r="D13" s="441"/>
      <c r="E13" s="441"/>
      <c r="F13" s="441"/>
      <c r="G13" s="441"/>
      <c r="H13" s="441"/>
      <c r="I13" s="441"/>
      <c r="J13" s="441"/>
      <c r="K13" s="441"/>
      <c r="L13" s="441"/>
      <c r="M13" s="441"/>
      <c r="N13" s="441"/>
      <c r="O13" s="441"/>
      <c r="P13" s="441"/>
      <c r="Q13" s="441"/>
      <c r="R13" s="441"/>
      <c r="S13" s="441"/>
      <c r="T13" s="441"/>
      <c r="U13" s="441"/>
      <c r="V13" s="441"/>
      <c r="W13" s="441"/>
      <c r="X13" s="441"/>
      <c r="Y13" s="515"/>
      <c r="Z13" s="515"/>
    </row>
    <row r="14" customFormat="false" ht="12.6" hidden="false" customHeight="true" outlineLevel="0" collapsed="false">
      <c r="A14" s="431" t="s">
        <v>423</v>
      </c>
      <c r="B14" s="432"/>
      <c r="C14" s="432"/>
      <c r="D14" s="432"/>
      <c r="E14" s="432"/>
      <c r="F14" s="432"/>
      <c r="G14" s="432"/>
      <c r="H14" s="432"/>
      <c r="I14" s="432"/>
      <c r="J14" s="432"/>
      <c r="K14" s="432"/>
      <c r="L14" s="432"/>
      <c r="M14" s="432"/>
      <c r="N14" s="432"/>
      <c r="O14" s="432"/>
      <c r="P14" s="432"/>
      <c r="Q14" s="432"/>
      <c r="R14" s="432"/>
      <c r="S14" s="432"/>
      <c r="T14" s="432"/>
      <c r="U14" s="432"/>
      <c r="V14" s="432"/>
      <c r="W14" s="433"/>
      <c r="X14" s="441"/>
      <c r="Y14" s="515"/>
      <c r="Z14" s="515"/>
    </row>
    <row r="15" customFormat="false" ht="12.6" hidden="false" customHeight="true" outlineLevel="0" collapsed="false">
      <c r="A15" s="417" t="s">
        <v>417</v>
      </c>
      <c r="B15" s="450"/>
      <c r="C15" s="516" t="n">
        <f aca="false">Deg_Rate</f>
        <v>0.02</v>
      </c>
      <c r="D15" s="516" t="n">
        <f aca="false">Deg_Rate</f>
        <v>0.02</v>
      </c>
      <c r="E15" s="516" t="n">
        <f aca="false">Deg_Rate</f>
        <v>0.02</v>
      </c>
      <c r="F15" s="516" t="n">
        <f aca="false">Deg_Rate</f>
        <v>0.02</v>
      </c>
      <c r="G15" s="516" t="n">
        <f aca="false">Deg_Rate</f>
        <v>0.02</v>
      </c>
      <c r="H15" s="516" t="n">
        <f aca="false">Deg_Rate</f>
        <v>0.02</v>
      </c>
      <c r="I15" s="516" t="n">
        <f aca="false">Deg_Rate</f>
        <v>0.02</v>
      </c>
      <c r="J15" s="516" t="n">
        <f aca="false">Deg_Rate</f>
        <v>0.02</v>
      </c>
      <c r="K15" s="516" t="n">
        <f aca="false">Deg_Rate</f>
        <v>0.02</v>
      </c>
      <c r="L15" s="516" t="n">
        <f aca="false">Deg_Rate</f>
        <v>0.02</v>
      </c>
      <c r="M15" s="516" t="n">
        <f aca="false">Deg_Rate</f>
        <v>0.02</v>
      </c>
      <c r="N15" s="516" t="n">
        <f aca="false">Deg_Rate</f>
        <v>0.02</v>
      </c>
      <c r="O15" s="516" t="n">
        <f aca="false">Deg_Rate</f>
        <v>0.02</v>
      </c>
      <c r="P15" s="516" t="n">
        <f aca="false">Deg_Rate</f>
        <v>0.02</v>
      </c>
      <c r="Q15" s="516" t="n">
        <f aca="false">Deg_Rate</f>
        <v>0.02</v>
      </c>
      <c r="R15" s="516" t="n">
        <f aca="false">Deg_Rate</f>
        <v>0.02</v>
      </c>
      <c r="S15" s="516" t="n">
        <f aca="false">Deg_Rate</f>
        <v>0.02</v>
      </c>
      <c r="T15" s="516" t="n">
        <f aca="false">Deg_Rate</f>
        <v>0.02</v>
      </c>
      <c r="U15" s="516" t="n">
        <f aca="false">Deg_Rate</f>
        <v>0.02</v>
      </c>
      <c r="V15" s="516" t="n">
        <f aca="false">Deg_Rate</f>
        <v>0.02</v>
      </c>
      <c r="W15" s="517" t="n">
        <f aca="false">Deg_Rate</f>
        <v>0.02</v>
      </c>
      <c r="X15" s="441"/>
      <c r="Y15" s="515"/>
      <c r="Z15" s="515"/>
    </row>
    <row r="16" customFormat="false" ht="12.6" hidden="false" customHeight="true" outlineLevel="0" collapsed="false">
      <c r="A16" s="417" t="s">
        <v>418</v>
      </c>
      <c r="B16" s="450"/>
      <c r="C16" s="505" t="n">
        <v>0</v>
      </c>
      <c r="D16" s="505" t="n">
        <v>0</v>
      </c>
      <c r="E16" s="505" t="n">
        <v>0</v>
      </c>
      <c r="F16" s="505" t="n">
        <v>0</v>
      </c>
      <c r="G16" s="505" t="n">
        <v>0</v>
      </c>
      <c r="H16" s="505" t="n">
        <v>0</v>
      </c>
      <c r="I16" s="505" t="n">
        <v>0</v>
      </c>
      <c r="J16" s="505" t="n">
        <v>0</v>
      </c>
      <c r="K16" s="505" t="n">
        <v>0</v>
      </c>
      <c r="L16" s="505" t="n">
        <v>0</v>
      </c>
      <c r="M16" s="505" t="n">
        <v>0</v>
      </c>
      <c r="N16" s="505" t="n">
        <v>0</v>
      </c>
      <c r="O16" s="505" t="n">
        <v>0</v>
      </c>
      <c r="P16" s="505" t="n">
        <v>0</v>
      </c>
      <c r="Q16" s="505" t="n">
        <v>0</v>
      </c>
      <c r="R16" s="505" t="n">
        <v>0</v>
      </c>
      <c r="S16" s="505" t="n">
        <v>0</v>
      </c>
      <c r="T16" s="505" t="n">
        <v>0</v>
      </c>
      <c r="U16" s="505" t="n">
        <v>0</v>
      </c>
      <c r="V16" s="505" t="n">
        <v>0</v>
      </c>
      <c r="W16" s="506" t="n">
        <v>0</v>
      </c>
      <c r="X16" s="441"/>
      <c r="Y16" s="515"/>
      <c r="Z16" s="515"/>
    </row>
    <row r="17" customFormat="false" ht="12.6" hidden="false" customHeight="true" outlineLevel="0" collapsed="false">
      <c r="A17" s="417" t="s">
        <v>419</v>
      </c>
      <c r="B17" s="450"/>
      <c r="C17" s="418" t="n">
        <f aca="false">IF(C4=YEAR(EVAP_Date),ISO_MW*(1-C15)*(1-MONTH(EVAP_Date)/12)+ISO_MW*(MONTH(EVAP_Date)/12),IF(C4&gt;=YEAR(EVAP_Date),ISO_MW*(1-C15),NetMW*(1-C15)))</f>
        <v>433.16</v>
      </c>
      <c r="D17" s="418" t="n">
        <f aca="false">IF(D4=YEAR(EVAP_Date),ISO_MW*(1-D15)*(1-MONTH(EVAP_Date)/12)+ISO_MW*(MONTH(EVAP_Date)/12),IF(D4&gt;=YEAR(EVAP_Date),ISO_MW*(1-D15),NetMW*(1-D15)))</f>
        <v>497.724666666667</v>
      </c>
      <c r="E17" s="418" t="n">
        <f aca="false">IF(E4=YEAR(EVAP_Date),ISO_MW*(1-E15)*(1-MONTH(EVAP_Date)/12)+ISO_MW*(MONTH(EVAP_Date)/12),IF(E4&gt;=YEAR(EVAP_Date),ISO_MW*(1-E15),NetMW*(1-E15)))</f>
        <v>493.528</v>
      </c>
      <c r="F17" s="418" t="n">
        <f aca="false">IF(F4=YEAR(EVAP_Date),ISO_MW*(1-F15)*(1-MONTH(EVAP_Date)/12)+ISO_MW*(MONTH(EVAP_Date)/12),IF(F4&gt;=YEAR(EVAP_Date),ISO_MW*(1-F15),NetMW*(1-F15)))</f>
        <v>493.528</v>
      </c>
      <c r="G17" s="418" t="n">
        <f aca="false">IF(G4=YEAR(EVAP_Date),ISO_MW*(1-G15)*(1-MONTH(EVAP_Date)/12)+ISO_MW*(MONTH(EVAP_Date)/12),IF(G4&gt;=YEAR(EVAP_Date),ISO_MW*(1-G15),NetMW*(1-G15)))</f>
        <v>493.528</v>
      </c>
      <c r="H17" s="418" t="n">
        <f aca="false">IF(H4=YEAR(EVAP_Date),ISO_MW*(1-H15)*(1-MONTH(EVAP_Date)/12)+ISO_MW*(MONTH(EVAP_Date)/12),IF(H4&gt;=YEAR(EVAP_Date),ISO_MW*(1-H15),NetMW*(1-H15)))</f>
        <v>493.528</v>
      </c>
      <c r="I17" s="418" t="n">
        <f aca="false">IF(I4=YEAR(EVAP_Date),ISO_MW*(1-I15)*(1-MONTH(EVAP_Date)/12)+ISO_MW*(MONTH(EVAP_Date)/12),IF(I4&gt;=YEAR(EVAP_Date),ISO_MW*(1-I15),NetMW*(1-I15)))</f>
        <v>493.528</v>
      </c>
      <c r="J17" s="418" t="n">
        <f aca="false">IF(J4=YEAR(EVAP_Date),ISO_MW*(1-J15)*(1-MONTH(EVAP_Date)/12)+ISO_MW*(MONTH(EVAP_Date)/12),IF(J4&gt;=YEAR(EVAP_Date),ISO_MW*(1-J15),NetMW*(1-J15)))</f>
        <v>493.528</v>
      </c>
      <c r="K17" s="418" t="n">
        <f aca="false">IF(K4=YEAR(EVAP_Date),ISO_MW*(1-K15)*(1-MONTH(EVAP_Date)/12)+ISO_MW*(MONTH(EVAP_Date)/12),IF(K4&gt;=YEAR(EVAP_Date),ISO_MW*(1-K15),NetMW*(1-K15)))</f>
        <v>493.528</v>
      </c>
      <c r="L17" s="418" t="n">
        <f aca="false">IF(L4=YEAR(EVAP_Date),ISO_MW*(1-L15)*(1-MONTH(EVAP_Date)/12)+ISO_MW*(MONTH(EVAP_Date)/12),IF(L4&gt;=YEAR(EVAP_Date),ISO_MW*(1-L15),NetMW*(1-L15)))</f>
        <v>493.528</v>
      </c>
      <c r="M17" s="418" t="n">
        <f aca="false">IF(M4=YEAR(EVAP_Date),ISO_MW*(1-M15)*(1-MONTH(EVAP_Date)/12)+ISO_MW*(MONTH(EVAP_Date)/12),IF(M4&gt;=YEAR(EVAP_Date),ISO_MW*(1-M15),NetMW*(1-M15)))</f>
        <v>493.528</v>
      </c>
      <c r="N17" s="418" t="n">
        <f aca="false">IF(N4=YEAR(EVAP_Date),ISO_MW*(1-N15)*(1-MONTH(EVAP_Date)/12)+ISO_MW*(MONTH(EVAP_Date)/12),IF(N4&gt;=YEAR(EVAP_Date),ISO_MW*(1-N15),NetMW*(1-N15)))</f>
        <v>493.528</v>
      </c>
      <c r="O17" s="418" t="n">
        <f aca="false">IF(O4=YEAR(EVAP_Date),ISO_MW*(1-O15)*(1-MONTH(EVAP_Date)/12)+ISO_MW*(MONTH(EVAP_Date)/12),IF(O4&gt;=YEAR(EVAP_Date),ISO_MW*(1-O15),NetMW*(1-O15)))</f>
        <v>493.528</v>
      </c>
      <c r="P17" s="418" t="n">
        <f aca="false">IF(P4=YEAR(EVAP_Date),ISO_MW*(1-P15)*(1-MONTH(EVAP_Date)/12)+ISO_MW*(MONTH(EVAP_Date)/12),IF(P4&gt;=YEAR(EVAP_Date),ISO_MW*(1-P15),NetMW*(1-P15)))</f>
        <v>493.528</v>
      </c>
      <c r="Q17" s="418" t="n">
        <f aca="false">IF(Q4=YEAR(EVAP_Date),ISO_MW*(1-Q15)*(1-MONTH(EVAP_Date)/12)+ISO_MW*(MONTH(EVAP_Date)/12),IF(Q4&gt;=YEAR(EVAP_Date),ISO_MW*(1-Q15),NetMW*(1-Q15)))</f>
        <v>493.528</v>
      </c>
      <c r="R17" s="418" t="n">
        <f aca="false">IF(R4=YEAR(EVAP_Date),ISO_MW*(1-R15)*(1-MONTH(EVAP_Date)/12)+ISO_MW*(MONTH(EVAP_Date)/12),IF(R4&gt;=YEAR(EVAP_Date),ISO_MW*(1-R15),NetMW*(1-R15)))</f>
        <v>493.528</v>
      </c>
      <c r="S17" s="418" t="n">
        <f aca="false">IF(S4=YEAR(EVAP_Date),ISO_MW*(1-S15)*(1-MONTH(EVAP_Date)/12)+ISO_MW*(MONTH(EVAP_Date)/12),IF(S4&gt;=YEAR(EVAP_Date),ISO_MW*(1-S15),NetMW*(1-S15)))</f>
        <v>493.528</v>
      </c>
      <c r="T17" s="418" t="n">
        <f aca="false">IF(T4=YEAR(EVAP_Date),ISO_MW*(1-T15)*(1-MONTH(EVAP_Date)/12)+ISO_MW*(MONTH(EVAP_Date)/12),IF(T4&gt;=YEAR(EVAP_Date),ISO_MW*(1-T15),NetMW*(1-T15)))</f>
        <v>493.528</v>
      </c>
      <c r="U17" s="418" t="n">
        <f aca="false">IF(U4=YEAR(EVAP_Date),ISO_MW*(1-U15)*(1-MONTH(EVAP_Date)/12)+ISO_MW*(MONTH(EVAP_Date)/12),IF(U4&gt;=YEAR(EVAP_Date),ISO_MW*(1-U15),NetMW*(1-U15)))</f>
        <v>493.528</v>
      </c>
      <c r="V17" s="418" t="n">
        <f aca="false">IF(V4=YEAR(EVAP_Date),ISO_MW*(1-V15)*(1-MONTH(EVAP_Date)/12)+ISO_MW*(MONTH(EVAP_Date)/12),IF(V4&gt;=YEAR(EVAP_Date),ISO_MW*(1-V15),NetMW*(1-V15)))</f>
        <v>493.528</v>
      </c>
      <c r="W17" s="508" t="n">
        <f aca="false">IF(W4=YEAR(EVAP_Date),ISO_MW*(1-W15)*(1-MONTH(EVAP_Date)/12)+ISO_MW*(MONTH(EVAP_Date)/12),IF(W4&gt;=YEAR(EVAP_Date),ISO_MW*(1-W15),NetMW*(1-W15)))</f>
        <v>493.528</v>
      </c>
      <c r="X17" s="441"/>
      <c r="Y17" s="515"/>
      <c r="Z17" s="515"/>
    </row>
    <row r="18" customFormat="false" ht="12.6" hidden="false" customHeight="true" outlineLevel="0" collapsed="false">
      <c r="A18" s="417"/>
      <c r="B18" s="450"/>
      <c r="C18" s="418"/>
      <c r="D18" s="418"/>
      <c r="E18" s="418"/>
      <c r="F18" s="418"/>
      <c r="G18" s="418"/>
      <c r="H18" s="418"/>
      <c r="I18" s="418"/>
      <c r="J18" s="418"/>
      <c r="K18" s="418"/>
      <c r="L18" s="418"/>
      <c r="M18" s="418"/>
      <c r="N18" s="418"/>
      <c r="O18" s="418"/>
      <c r="P18" s="418"/>
      <c r="Q18" s="418"/>
      <c r="R18" s="418"/>
      <c r="S18" s="418"/>
      <c r="T18" s="418"/>
      <c r="U18" s="418"/>
      <c r="V18" s="418"/>
      <c r="W18" s="508"/>
      <c r="X18" s="441"/>
      <c r="Y18" s="515"/>
      <c r="Z18" s="515"/>
    </row>
    <row r="19" customFormat="false" ht="12.6" hidden="false" customHeight="true" outlineLevel="0" collapsed="false">
      <c r="A19" s="417" t="s">
        <v>420</v>
      </c>
      <c r="B19" s="450"/>
      <c r="C19" s="418" t="n">
        <f aca="false">IF(C3&gt;ProjectLife+1,0,(C17-C20)*'PPA Assumptions &amp; Summary'!C8/12)</f>
        <v>0</v>
      </c>
      <c r="D19" s="418" t="n">
        <f aca="false">IF(D3&gt;ProjectLife+1,0,(D17-D20)*'PPA Assumptions &amp; Summary'!D8/12)</f>
        <v>0</v>
      </c>
      <c r="E19" s="418" t="n">
        <f aca="false">IF(E3&gt;ProjectLife+1,0,(E17-E20)*'PPA Assumptions &amp; Summary'!E8/12)</f>
        <v>0</v>
      </c>
      <c r="F19" s="418" t="n">
        <f aca="false">IF(F3&gt;ProjectLife+1,0,(F17-F20)*'PPA Assumptions &amp; Summary'!F8/12)</f>
        <v>0</v>
      </c>
      <c r="G19" s="418" t="n">
        <f aca="false">IF(G3&gt;ProjectLife+1,0,(G17-G20)*'PPA Assumptions &amp; Summary'!G8/12)</f>
        <v>284.532601111111</v>
      </c>
      <c r="H19" s="418" t="n">
        <f aca="false">IF(H3&gt;ProjectLife+1,0,(H17-H20)*'PPA Assumptions &amp; Summary'!H8/12)</f>
        <v>483.65744</v>
      </c>
      <c r="I19" s="418" t="n">
        <f aca="false">IF(I3&gt;ProjectLife+1,0,(I17-I20)*'PPA Assumptions &amp; Summary'!I8/12)</f>
        <v>483.65744</v>
      </c>
      <c r="J19" s="418" t="n">
        <f aca="false">IF(J3&gt;ProjectLife+1,0,(J17-J20)*'PPA Assumptions &amp; Summary'!J8/12)</f>
        <v>483.65744</v>
      </c>
      <c r="K19" s="418" t="n">
        <f aca="false">IF(K3&gt;ProjectLife+1,0,(K17-K20)*'PPA Assumptions &amp; Summary'!K8/12)</f>
        <v>483.65744</v>
      </c>
      <c r="L19" s="418" t="n">
        <f aca="false">IF(L3&gt;ProjectLife+1,0,(L17-L20)*'PPA Assumptions &amp; Summary'!L8/12)</f>
        <v>483.65744</v>
      </c>
      <c r="M19" s="418" t="n">
        <f aca="false">IF(M3&gt;ProjectLife+1,0,(M17-M20)*'PPA Assumptions &amp; Summary'!M8/12)</f>
        <v>483.65744</v>
      </c>
      <c r="N19" s="418" t="n">
        <f aca="false">IF(N3&gt;ProjectLife+1,0,(N17-N20)*'PPA Assumptions &amp; Summary'!N8/12)</f>
        <v>483.65744</v>
      </c>
      <c r="O19" s="418" t="n">
        <f aca="false">IF(O3&gt;ProjectLife+1,0,(O17-O20)*'PPA Assumptions &amp; Summary'!O8/12)</f>
        <v>483.65744</v>
      </c>
      <c r="P19" s="418" t="n">
        <f aca="false">IF(P3&gt;ProjectLife+1,0,(P17-P20)*'PPA Assumptions &amp; Summary'!P8/12)</f>
        <v>483.65744</v>
      </c>
      <c r="Q19" s="418" t="n">
        <f aca="false">IF(Q3&gt;ProjectLife+1,0,(Q17-Q20)*'PPA Assumptions &amp; Summary'!Q8/12)</f>
        <v>483.65744</v>
      </c>
      <c r="R19" s="418" t="n">
        <f aca="false">IF(R3&gt;ProjectLife+1,0,(R17-R20)*'PPA Assumptions &amp; Summary'!R8/12)</f>
        <v>483.65744</v>
      </c>
      <c r="S19" s="418" t="n">
        <f aca="false">IF(S3&gt;ProjectLife+1,0,(S17-S20)*'PPA Assumptions &amp; Summary'!S8/12)</f>
        <v>483.65744</v>
      </c>
      <c r="T19" s="418" t="n">
        <f aca="false">IF(T3&gt;ProjectLife+1,0,(T17-T20)*'PPA Assumptions &amp; Summary'!T8/12)</f>
        <v>483.65744</v>
      </c>
      <c r="U19" s="418" t="n">
        <f aca="false">IF(U3&gt;ProjectLife+1,0,(U17-U20)*'PPA Assumptions &amp; Summary'!U8/12)</f>
        <v>483.65744</v>
      </c>
      <c r="V19" s="418" t="n">
        <f aca="false">IF(V3&gt;ProjectLife+1,0,(V17-V20)*'PPA Assumptions &amp; Summary'!V8/12)</f>
        <v>483.65744</v>
      </c>
      <c r="W19" s="508" t="n">
        <f aca="false">IF(W3&gt;ProjectLife+1,0,(W17-W20)*'PPA Assumptions &amp; Summary'!W8/12)</f>
        <v>483.65744</v>
      </c>
      <c r="X19" s="441"/>
      <c r="Y19" s="515"/>
      <c r="Z19" s="515"/>
    </row>
    <row r="20" customFormat="false" ht="12.6" hidden="false" customHeight="true" outlineLevel="0" collapsed="false">
      <c r="A20" s="417" t="s">
        <v>424</v>
      </c>
      <c r="B20" s="450"/>
      <c r="C20" s="418" t="n">
        <f aca="false">C17*Cap_Factor_Energy*'PPA Assumptions &amp; Summary'!C8/12</f>
        <v>0</v>
      </c>
      <c r="D20" s="418" t="n">
        <f aca="false">D17*Cap_Factor_Energy*'PPA Assumptions &amp; Summary'!D8/12</f>
        <v>0</v>
      </c>
      <c r="E20" s="418" t="n">
        <f aca="false">E17*Cap_Factor_Energy*'PPA Assumptions &amp; Summary'!E8/12</f>
        <v>0</v>
      </c>
      <c r="F20" s="418" t="n">
        <f aca="false">F17*Cap_Factor_Energy*'PPA Assumptions &amp; Summary'!F8/12</f>
        <v>0</v>
      </c>
      <c r="G20" s="418" t="n">
        <f aca="false">G17*Cap_Factor_Energy*'PPA Assumptions &amp; Summary'!G8/12</f>
        <v>5.75782666666667</v>
      </c>
      <c r="H20" s="418" t="n">
        <f aca="false">H17*Cap_Factor_Energy*'PPA Assumptions &amp; Summary'!H8/12</f>
        <v>9.87056</v>
      </c>
      <c r="I20" s="418" t="n">
        <f aca="false">I17*Cap_Factor_Energy*'PPA Assumptions &amp; Summary'!I8/12</f>
        <v>9.87056</v>
      </c>
      <c r="J20" s="418" t="n">
        <f aca="false">J17*Cap_Factor_Energy*'PPA Assumptions &amp; Summary'!J8/12</f>
        <v>9.87056</v>
      </c>
      <c r="K20" s="418" t="n">
        <f aca="false">K17*Cap_Factor_Energy*'PPA Assumptions &amp; Summary'!K8/12</f>
        <v>9.87056</v>
      </c>
      <c r="L20" s="418" t="n">
        <f aca="false">L17*Cap_Factor_Energy*'PPA Assumptions &amp; Summary'!L8/12</f>
        <v>9.87056</v>
      </c>
      <c r="M20" s="418" t="n">
        <f aca="false">M17*Cap_Factor_Energy*'PPA Assumptions &amp; Summary'!M8/12</f>
        <v>9.87056</v>
      </c>
      <c r="N20" s="418" t="n">
        <f aca="false">N17*Cap_Factor_Energy*'PPA Assumptions &amp; Summary'!N8/12</f>
        <v>9.87056</v>
      </c>
      <c r="O20" s="418" t="n">
        <f aca="false">O17*Cap_Factor_Energy*'PPA Assumptions &amp; Summary'!O8/12</f>
        <v>9.87056</v>
      </c>
      <c r="P20" s="418" t="n">
        <f aca="false">P17*Cap_Factor_Energy*'PPA Assumptions &amp; Summary'!P8/12</f>
        <v>9.87056</v>
      </c>
      <c r="Q20" s="418" t="n">
        <f aca="false">Q17*Cap_Factor_Energy*'PPA Assumptions &amp; Summary'!Q8/12</f>
        <v>9.87056</v>
      </c>
      <c r="R20" s="418" t="n">
        <f aca="false">R17*Cap_Factor_Energy*'PPA Assumptions &amp; Summary'!R8/12</f>
        <v>9.87056</v>
      </c>
      <c r="S20" s="418" t="n">
        <f aca="false">S17*Cap_Factor_Energy*'PPA Assumptions &amp; Summary'!S8/12</f>
        <v>9.87056</v>
      </c>
      <c r="T20" s="418" t="n">
        <f aca="false">T17*Cap_Factor_Energy*'PPA Assumptions &amp; Summary'!T8/12</f>
        <v>9.87056</v>
      </c>
      <c r="U20" s="418" t="n">
        <f aca="false">U17*Cap_Factor_Energy*'PPA Assumptions &amp; Summary'!U8/12</f>
        <v>9.87056</v>
      </c>
      <c r="V20" s="418" t="n">
        <f aca="false">V17*Cap_Factor_Energy*'PPA Assumptions &amp; Summary'!V8/12</f>
        <v>9.87056</v>
      </c>
      <c r="W20" s="508" t="n">
        <f aca="false">W17*Cap_Factor_Energy*'PPA Assumptions &amp; Summary'!W8/12</f>
        <v>9.87056</v>
      </c>
      <c r="X20" s="441"/>
      <c r="Y20" s="515"/>
      <c r="Z20" s="515"/>
    </row>
    <row r="21" customFormat="false" ht="12.6" hidden="false" customHeight="true" outlineLevel="0" collapsed="false">
      <c r="A21" s="417" t="s">
        <v>421</v>
      </c>
      <c r="B21" s="450"/>
      <c r="C21" s="445" t="n">
        <f aca="false">IF(C3&gt;ProjectLife+1,0,AnnualHours)</f>
        <v>1200</v>
      </c>
      <c r="D21" s="445" t="n">
        <f aca="false">IF(D3&gt;ProjectLife+1,0,AnnualHours)</f>
        <v>1200</v>
      </c>
      <c r="E21" s="445" t="n">
        <f aca="false">IF(E3&gt;ProjectLife+1,0,AnnualHours)</f>
        <v>1200</v>
      </c>
      <c r="F21" s="445" t="n">
        <f aca="false">IF(F3&gt;ProjectLife+1,0,AnnualHours)</f>
        <v>1200</v>
      </c>
      <c r="G21" s="445" t="n">
        <f aca="false">IF(G3&gt;ProjectLife+1,0,AnnualHours)</f>
        <v>1200</v>
      </c>
      <c r="H21" s="445" t="n">
        <f aca="false">IF(H3&gt;ProjectLife+1,0,AnnualHours)</f>
        <v>1200</v>
      </c>
      <c r="I21" s="445" t="n">
        <f aca="false">IF(I3&gt;ProjectLife+1,0,AnnualHours)</f>
        <v>1200</v>
      </c>
      <c r="J21" s="445" t="n">
        <f aca="false">IF(J3&gt;ProjectLife+1,0,AnnualHours)</f>
        <v>1200</v>
      </c>
      <c r="K21" s="445" t="n">
        <f aca="false">IF(K3&gt;ProjectLife+1,0,AnnualHours)</f>
        <v>1200</v>
      </c>
      <c r="L21" s="445" t="n">
        <f aca="false">IF(L3&gt;ProjectLife+1,0,AnnualHours)</f>
        <v>1200</v>
      </c>
      <c r="M21" s="445" t="n">
        <f aca="false">IF(M3&gt;ProjectLife+1,0,AnnualHours)</f>
        <v>1200</v>
      </c>
      <c r="N21" s="445" t="n">
        <f aca="false">IF(N3&gt;ProjectLife+1,0,AnnualHours)</f>
        <v>1200</v>
      </c>
      <c r="O21" s="445" t="n">
        <f aca="false">IF(O3&gt;ProjectLife+1,0,AnnualHours)</f>
        <v>1200</v>
      </c>
      <c r="P21" s="445" t="n">
        <f aca="false">IF(P3&gt;ProjectLife+1,0,AnnualHours)</f>
        <v>1200</v>
      </c>
      <c r="Q21" s="445" t="n">
        <f aca="false">IF(Q3&gt;ProjectLife+1,0,AnnualHours)</f>
        <v>1200</v>
      </c>
      <c r="R21" s="445" t="n">
        <f aca="false">IF(R3&gt;ProjectLife+1,0,AnnualHours)</f>
        <v>1200</v>
      </c>
      <c r="S21" s="445" t="n">
        <f aca="false">IF(S3&gt;ProjectLife+1,0,AnnualHours)</f>
        <v>1200</v>
      </c>
      <c r="T21" s="445" t="n">
        <f aca="false">IF(T3&gt;ProjectLife+1,0,AnnualHours)</f>
        <v>1200</v>
      </c>
      <c r="U21" s="445" t="n">
        <f aca="false">IF(U3&gt;ProjectLife+1,0,AnnualHours)</f>
        <v>1200</v>
      </c>
      <c r="V21" s="445" t="n">
        <f aca="false">IF(V3&gt;ProjectLife+1,0,AnnualHours)</f>
        <v>1200</v>
      </c>
      <c r="W21" s="510" t="n">
        <f aca="false">IF(W3&gt;ProjectLife+1,0,AnnualHours)</f>
        <v>1200</v>
      </c>
      <c r="X21" s="441"/>
      <c r="Y21" s="515"/>
      <c r="Z21" s="515"/>
    </row>
    <row r="22" customFormat="false" ht="12.6" hidden="false" customHeight="true" outlineLevel="0" collapsed="false">
      <c r="A22" s="426" t="s">
        <v>422</v>
      </c>
      <c r="B22" s="512"/>
      <c r="C22" s="513" t="n">
        <f aca="false">IF(C3&gt;'[4]Project Assumptions'!$I$15+1,0,C21*(C19+C20))</f>
        <v>0</v>
      </c>
      <c r="D22" s="513" t="n">
        <f aca="false">IF(D3&gt;'[4]Project Assumptions'!$I$15+1,0,D21*(D19+D20))</f>
        <v>0</v>
      </c>
      <c r="E22" s="513" t="n">
        <f aca="false">IF(E3&gt;'[4]Project Assumptions'!$I$15+1,0,E21*(E19+E20))</f>
        <v>0</v>
      </c>
      <c r="F22" s="513" t="n">
        <f aca="false">IF(F3&gt;'[4]Project Assumptions'!$I$15+1,0,F21*(F19+F20))</f>
        <v>0</v>
      </c>
      <c r="G22" s="513" t="n">
        <f aca="false">IF(G3&gt;'[4]Project Assumptions'!$I$15+1,0,G21*(G19+G20))</f>
        <v>348348.513333333</v>
      </c>
      <c r="H22" s="513" t="n">
        <f aca="false">IF(H3&gt;'[4]Project Assumptions'!$I$15+1,0,H21*(H19+H20))</f>
        <v>592233.6</v>
      </c>
      <c r="I22" s="513" t="n">
        <f aca="false">IF(I3&gt;'[4]Project Assumptions'!$I$15+1,0,I21*(I19+I20))</f>
        <v>592233.6</v>
      </c>
      <c r="J22" s="513" t="n">
        <f aca="false">IF(J3&gt;'[4]Project Assumptions'!$I$15+1,0,J21*(J19+J20))</f>
        <v>592233.6</v>
      </c>
      <c r="K22" s="513" t="n">
        <f aca="false">IF(K3&gt;'[4]Project Assumptions'!$I$15+1,0,K21*(K19+K20))</f>
        <v>592233.6</v>
      </c>
      <c r="L22" s="513" t="n">
        <f aca="false">IF(L3&gt;'[4]Project Assumptions'!$I$15+1,0,L21*(L19+L20))</f>
        <v>592233.6</v>
      </c>
      <c r="M22" s="513" t="n">
        <f aca="false">IF(M3&gt;'[4]Project Assumptions'!$I$15+1,0,M21*(M19+M20))</f>
        <v>592233.6</v>
      </c>
      <c r="N22" s="513" t="n">
        <f aca="false">IF(N3&gt;'[4]Project Assumptions'!$I$15+1,0,N21*(N19+N20))</f>
        <v>592233.6</v>
      </c>
      <c r="O22" s="513" t="n">
        <f aca="false">IF(O3&gt;'[4]Project Assumptions'!$I$15+1,0,O21*(O19+O20))</f>
        <v>592233.6</v>
      </c>
      <c r="P22" s="513" t="n">
        <f aca="false">IF(P3&gt;'[4]Project Assumptions'!$I$15+1,0,P21*(P19+P20))</f>
        <v>592233.6</v>
      </c>
      <c r="Q22" s="513" t="n">
        <f aca="false">IF(Q3&gt;'[4]Project Assumptions'!$I$15+1,0,Q21*(Q19+Q20))</f>
        <v>592233.6</v>
      </c>
      <c r="R22" s="513" t="n">
        <f aca="false">IF(R3&gt;'[4]Project Assumptions'!$I$15+1,0,R21*(R19+R20))</f>
        <v>592233.6</v>
      </c>
      <c r="S22" s="513" t="n">
        <f aca="false">IF(S3&gt;'[4]Project Assumptions'!$I$15+1,0,S21*(S19+S20))</f>
        <v>592233.6</v>
      </c>
      <c r="T22" s="513" t="n">
        <f aca="false">IF(T3&gt;'[4]Project Assumptions'!$I$15+1,0,T21*(T19+T20))</f>
        <v>592233.6</v>
      </c>
      <c r="U22" s="513" t="n">
        <f aca="false">IF(U3&gt;'[4]Project Assumptions'!$I$15+1,0,U21*(U19+U20))</f>
        <v>592233.6</v>
      </c>
      <c r="V22" s="513" t="n">
        <f aca="false">IF(V3&gt;'[4]Project Assumptions'!$I$15+1,0,V21*(V19+V20))</f>
        <v>592233.6</v>
      </c>
      <c r="W22" s="514" t="n">
        <f aca="false">IF(W3&gt;'[4]Project Assumptions'!$I$15+1,0,W21*(W19+W20))</f>
        <v>592233.6</v>
      </c>
      <c r="X22" s="441"/>
      <c r="Y22" s="515"/>
      <c r="Z22" s="515"/>
    </row>
    <row r="23" customFormat="false" ht="12.6" hidden="false" customHeight="true" outlineLevel="0" collapsed="false">
      <c r="A23" s="430"/>
      <c r="B23" s="450"/>
      <c r="C23" s="418"/>
      <c r="D23" s="418"/>
      <c r="E23" s="418"/>
      <c r="F23" s="418"/>
      <c r="G23" s="418"/>
      <c r="H23" s="418"/>
      <c r="I23" s="418"/>
      <c r="J23" s="418"/>
      <c r="K23" s="418"/>
      <c r="L23" s="418"/>
      <c r="M23" s="418"/>
      <c r="N23" s="418"/>
      <c r="O23" s="418"/>
      <c r="P23" s="418"/>
      <c r="Q23" s="418"/>
      <c r="R23" s="418"/>
      <c r="S23" s="418"/>
      <c r="T23" s="418"/>
      <c r="U23" s="418"/>
      <c r="V23" s="418"/>
      <c r="W23" s="418"/>
      <c r="X23" s="418"/>
      <c r="Y23" s="509"/>
      <c r="Z23" s="509"/>
    </row>
    <row r="24" customFormat="false" ht="15.75" hidden="false" customHeight="false" outlineLevel="0" collapsed="false">
      <c r="A24" s="431" t="s">
        <v>425</v>
      </c>
      <c r="B24" s="500"/>
      <c r="C24" s="518"/>
      <c r="D24" s="518"/>
      <c r="E24" s="518"/>
      <c r="F24" s="518"/>
      <c r="G24" s="518"/>
      <c r="H24" s="518"/>
      <c r="I24" s="518"/>
      <c r="J24" s="518"/>
      <c r="K24" s="518"/>
      <c r="L24" s="518"/>
      <c r="M24" s="518"/>
      <c r="N24" s="518"/>
      <c r="O24" s="518"/>
      <c r="P24" s="518"/>
      <c r="Q24" s="518"/>
      <c r="R24" s="518"/>
      <c r="S24" s="518"/>
      <c r="T24" s="518"/>
      <c r="U24" s="518"/>
      <c r="V24" s="518"/>
      <c r="W24" s="519"/>
      <c r="X24" s="438"/>
      <c r="Y24" s="520"/>
      <c r="Z24" s="520"/>
    </row>
    <row r="25" customFormat="false" ht="15.75" hidden="false" customHeight="false" outlineLevel="0" collapsed="false">
      <c r="A25" s="415"/>
      <c r="B25" s="450"/>
      <c r="C25" s="438"/>
      <c r="D25" s="438"/>
      <c r="E25" s="438"/>
      <c r="F25" s="438"/>
      <c r="G25" s="438"/>
      <c r="H25" s="438"/>
      <c r="I25" s="438"/>
      <c r="J25" s="438"/>
      <c r="K25" s="438"/>
      <c r="L25" s="438"/>
      <c r="M25" s="438"/>
      <c r="N25" s="438"/>
      <c r="O25" s="438"/>
      <c r="P25" s="438"/>
      <c r="Q25" s="438"/>
      <c r="R25" s="438"/>
      <c r="S25" s="438"/>
      <c r="T25" s="438"/>
      <c r="U25" s="438"/>
      <c r="V25" s="438"/>
      <c r="W25" s="439"/>
      <c r="X25" s="438"/>
      <c r="Y25" s="520"/>
      <c r="Z25" s="520"/>
    </row>
    <row r="26" customFormat="false" ht="12.6" hidden="false" customHeight="true" outlineLevel="0" collapsed="false">
      <c r="A26" s="412" t="s">
        <v>426</v>
      </c>
      <c r="B26" s="385"/>
      <c r="C26" s="30" t="n">
        <f aca="false">C12</f>
        <v>530400</v>
      </c>
      <c r="D26" s="30" t="n">
        <f aca="false">D12</f>
        <v>540900</v>
      </c>
      <c r="E26" s="30" t="n">
        <f aca="false">E12</f>
        <v>548400</v>
      </c>
      <c r="F26" s="30" t="n">
        <f aca="false">F12</f>
        <v>548400</v>
      </c>
      <c r="G26" s="30" t="n">
        <f aca="false">G12</f>
        <v>228500</v>
      </c>
      <c r="H26" s="30" t="n">
        <f aca="false">H12</f>
        <v>0</v>
      </c>
      <c r="I26" s="30" t="n">
        <f aca="false">I12</f>
        <v>0</v>
      </c>
      <c r="J26" s="30" t="n">
        <f aca="false">J12</f>
        <v>0</v>
      </c>
      <c r="K26" s="30" t="n">
        <f aca="false">K12</f>
        <v>0</v>
      </c>
      <c r="L26" s="30" t="n">
        <f aca="false">L12</f>
        <v>0</v>
      </c>
      <c r="M26" s="30" t="n">
        <f aca="false">M12</f>
        <v>0</v>
      </c>
      <c r="N26" s="30" t="n">
        <f aca="false">N12</f>
        <v>0</v>
      </c>
      <c r="O26" s="30" t="n">
        <f aca="false">O12</f>
        <v>0</v>
      </c>
      <c r="P26" s="30" t="n">
        <f aca="false">P12</f>
        <v>0</v>
      </c>
      <c r="Q26" s="30" t="n">
        <f aca="false">Q12</f>
        <v>0</v>
      </c>
      <c r="R26" s="30" t="n">
        <f aca="false">R12</f>
        <v>0</v>
      </c>
      <c r="S26" s="30" t="n">
        <f aca="false">S12</f>
        <v>0</v>
      </c>
      <c r="T26" s="30" t="n">
        <f aca="false">T12</f>
        <v>0</v>
      </c>
      <c r="U26" s="30" t="n">
        <f aca="false">U12</f>
        <v>0</v>
      </c>
      <c r="V26" s="30" t="n">
        <f aca="false">V12</f>
        <v>0</v>
      </c>
      <c r="W26" s="464" t="n">
        <f aca="false">W12</f>
        <v>0</v>
      </c>
      <c r="X26" s="521"/>
      <c r="Y26" s="522"/>
      <c r="Z26" s="522"/>
    </row>
    <row r="27" customFormat="false" ht="12.6" hidden="false" customHeight="true" outlineLevel="0" collapsed="false">
      <c r="A27" s="412" t="s">
        <v>427</v>
      </c>
      <c r="B27" s="385"/>
      <c r="C27" s="523" t="n">
        <f aca="false">IF(C3&gt;ProjectLife,0,C26/C31)</f>
        <v>1</v>
      </c>
      <c r="D27" s="523" t="n">
        <f aca="false">IF(D3&gt;ProjectLife,0,D26/D31)</f>
        <v>1</v>
      </c>
      <c r="E27" s="523" t="n">
        <f aca="false">IF(E3&gt;ProjectLife,0,E26/E31)</f>
        <v>1</v>
      </c>
      <c r="F27" s="523" t="n">
        <f aca="false">IF(F3&gt;ProjectLife,0,F26/F31)</f>
        <v>1</v>
      </c>
      <c r="G27" s="523" t="n">
        <f aca="false">IF(G3&gt;ProjectLife,0,G26/G31)</f>
        <v>0.396117862347616</v>
      </c>
      <c r="H27" s="523" t="n">
        <f aca="false">IF(H3&gt;ProjectLife,0,H26/H31)</f>
        <v>0</v>
      </c>
      <c r="I27" s="523" t="n">
        <f aca="false">IF(I3&gt;ProjectLife,0,I26/I31)</f>
        <v>0</v>
      </c>
      <c r="J27" s="523" t="n">
        <f aca="false">IF(J3&gt;ProjectLife,0,J26/J31)</f>
        <v>0</v>
      </c>
      <c r="K27" s="523" t="n">
        <f aca="false">IF(K3&gt;ProjectLife,0,K26/K31)</f>
        <v>0</v>
      </c>
      <c r="L27" s="523" t="n">
        <f aca="false">IF(L3&gt;ProjectLife,0,L26/L31)</f>
        <v>0</v>
      </c>
      <c r="M27" s="523" t="n">
        <f aca="false">IF(M3&gt;ProjectLife,0,M26/M31)</f>
        <v>0</v>
      </c>
      <c r="N27" s="523" t="n">
        <f aca="false">IF(N3&gt;ProjectLife,0,N26/N31)</f>
        <v>0</v>
      </c>
      <c r="O27" s="523" t="n">
        <f aca="false">IF(O3&gt;ProjectLife,0,O26/O31)</f>
        <v>0</v>
      </c>
      <c r="P27" s="523" t="n">
        <f aca="false">IF(P3&gt;ProjectLife,0,P26/P31)</f>
        <v>0</v>
      </c>
      <c r="Q27" s="523" t="n">
        <f aca="false">IF(Q3&gt;ProjectLife,0,Q26/Q31)</f>
        <v>0</v>
      </c>
      <c r="R27" s="523" t="n">
        <f aca="false">IF(R3&gt;ProjectLife,0,R26/R31)</f>
        <v>0</v>
      </c>
      <c r="S27" s="523" t="n">
        <f aca="false">IF(S3&gt;ProjectLife,0,S26/S31)</f>
        <v>0</v>
      </c>
      <c r="T27" s="523" t="n">
        <f aca="false">IF(T3&gt;ProjectLife,0,T26/T31)</f>
        <v>0</v>
      </c>
      <c r="U27" s="523" t="n">
        <f aca="false">IF(U3&gt;ProjectLife,0,U26/U31)</f>
        <v>0</v>
      </c>
      <c r="V27" s="523" t="n">
        <f aca="false">IF(V3&gt;ProjectLife,0,V26/V31)</f>
        <v>0</v>
      </c>
      <c r="W27" s="524" t="n">
        <f aca="false">IF(W3&gt;ProjectLife+1,0,W26/W31)</f>
        <v>0</v>
      </c>
      <c r="X27" s="523"/>
      <c r="Y27" s="525"/>
      <c r="Z27" s="525"/>
    </row>
    <row r="28" customFormat="false" ht="12.6" hidden="false" customHeight="true" outlineLevel="0" collapsed="false">
      <c r="A28" s="412" t="s">
        <v>428</v>
      </c>
      <c r="B28" s="385"/>
      <c r="C28" s="30" t="n">
        <f aca="false">IF(C3&gt;ProjectLife+1,0,IF('Project Assumptions'!$C$58="Assumed",C22,0))</f>
        <v>0</v>
      </c>
      <c r="D28" s="30" t="n">
        <f aca="false">IF(D3&gt;ProjectLife+1,0,IF('Project Assumptions'!$C$58="Assumed",D22,0))</f>
        <v>0</v>
      </c>
      <c r="E28" s="30" t="n">
        <f aca="false">IF(E3&gt;ProjectLife+1,0,IF('Project Assumptions'!$C$58="Assumed",E22,0))</f>
        <v>0</v>
      </c>
      <c r="F28" s="30" t="n">
        <f aca="false">IF(F3&gt;ProjectLife+1,0,IF('Project Assumptions'!$C$58="Assumed",F22,0))</f>
        <v>0</v>
      </c>
      <c r="G28" s="30" t="n">
        <f aca="false">IF(G3&gt;ProjectLife+1,0,IF('Project Assumptions'!$C$58="Assumed",G22,0))</f>
        <v>348348.513333333</v>
      </c>
      <c r="H28" s="30" t="n">
        <f aca="false">IF(H3&gt;ProjectLife+1,0,IF('Project Assumptions'!$C$58="Assumed",H22,0))</f>
        <v>592233.6</v>
      </c>
      <c r="I28" s="30" t="n">
        <f aca="false">IF(I3&gt;ProjectLife+1,0,IF('Project Assumptions'!$C$58="Assumed",I22,0))</f>
        <v>592233.6</v>
      </c>
      <c r="J28" s="30" t="n">
        <f aca="false">IF(J3&gt;ProjectLife+1,0,IF('Project Assumptions'!$C$58="Assumed",J22,0))</f>
        <v>592233.6</v>
      </c>
      <c r="K28" s="30" t="n">
        <f aca="false">IF(K3&gt;ProjectLife+1,0,IF('Project Assumptions'!$C$58="Assumed",K22,0))</f>
        <v>592233.6</v>
      </c>
      <c r="L28" s="30" t="n">
        <f aca="false">IF(L3&gt;ProjectLife+1,0,IF('Project Assumptions'!$C$58="Assumed",L22,0))</f>
        <v>592233.6</v>
      </c>
      <c r="M28" s="30" t="n">
        <f aca="false">IF(M3&gt;ProjectLife+1,0,IF('Project Assumptions'!$C$58="Assumed",M22,0))</f>
        <v>592233.6</v>
      </c>
      <c r="N28" s="30" t="n">
        <f aca="false">IF(N3&gt;ProjectLife+1,0,IF('Project Assumptions'!$C$58="Assumed",N22,0))</f>
        <v>592233.6</v>
      </c>
      <c r="O28" s="30" t="n">
        <f aca="false">IF(O3&gt;ProjectLife+1,0,IF('Project Assumptions'!$C$58="Assumed",O22,0))</f>
        <v>592233.6</v>
      </c>
      <c r="P28" s="30" t="n">
        <f aca="false">IF(P3&gt;ProjectLife+1,0,IF('Project Assumptions'!$C$58="Assumed",P22,0))</f>
        <v>592233.6</v>
      </c>
      <c r="Q28" s="30" t="n">
        <f aca="false">IF(Q3&gt;ProjectLife+1,0,IF('Project Assumptions'!$C$58="Assumed",Q22,0))</f>
        <v>592233.6</v>
      </c>
      <c r="R28" s="30" t="n">
        <f aca="false">IF(R3&gt;ProjectLife+1,0,IF('Project Assumptions'!$C$58="Assumed",R22,0))</f>
        <v>592233.6</v>
      </c>
      <c r="S28" s="30" t="n">
        <f aca="false">IF(S3&gt;ProjectLife+1,0,IF('Project Assumptions'!$C$58="Assumed",S22,0))</f>
        <v>592233.6</v>
      </c>
      <c r="T28" s="30" t="n">
        <f aca="false">IF(T3&gt;ProjectLife+1,0,IF('Project Assumptions'!$C$58="Assumed",T22,0))</f>
        <v>592233.6</v>
      </c>
      <c r="U28" s="30" t="n">
        <f aca="false">IF(U3&gt;ProjectLife+1,0,IF('Project Assumptions'!$C$58="Assumed",U22,0))</f>
        <v>592233.6</v>
      </c>
      <c r="V28" s="30" t="n">
        <f aca="false">IF(V3&gt;ProjectLife+1,0,IF('Project Assumptions'!$C$58="Assumed",V22,0))</f>
        <v>592233.6</v>
      </c>
      <c r="W28" s="464" t="n">
        <f aca="false">IF(W3&gt;ProjectLife+1,0,IF('Project Assumptions'!$C$58="Assumed",W22,0))</f>
        <v>592233.6</v>
      </c>
      <c r="X28" s="465"/>
      <c r="Y28" s="526"/>
      <c r="Z28" s="526"/>
    </row>
    <row r="29" customFormat="false" ht="12.6" hidden="false" customHeight="true" outlineLevel="0" collapsed="false">
      <c r="A29" s="412" t="s">
        <v>427</v>
      </c>
      <c r="B29" s="385"/>
      <c r="C29" s="527" t="n">
        <f aca="false">IF(C3&gt;ProjectLife,0,C28/C31)</f>
        <v>0</v>
      </c>
      <c r="D29" s="527" t="n">
        <f aca="false">IF(D3&gt;ProjectLife,0,D28/D31)</f>
        <v>0</v>
      </c>
      <c r="E29" s="527" t="n">
        <f aca="false">IF(E3&gt;ProjectLife,0,E28/E31)</f>
        <v>0</v>
      </c>
      <c r="F29" s="527" t="n">
        <f aca="false">IF(F3&gt;ProjectLife,0,F28/F31)</f>
        <v>0</v>
      </c>
      <c r="G29" s="527" t="n">
        <f aca="false">IF(G3&gt;ProjectLife,0,G28/G31)</f>
        <v>0.603882137652384</v>
      </c>
      <c r="H29" s="527" t="n">
        <f aca="false">IF(H3&gt;ProjectLife,0,H28/H31)</f>
        <v>1</v>
      </c>
      <c r="I29" s="527" t="n">
        <f aca="false">IF(I3&gt;ProjectLife,0,I28/I31)</f>
        <v>1</v>
      </c>
      <c r="J29" s="527" t="n">
        <f aca="false">IF(J3&gt;ProjectLife,0,J28/J31)</f>
        <v>1</v>
      </c>
      <c r="K29" s="527" t="n">
        <f aca="false">IF(K3&gt;ProjectLife,0,K28/K31)</f>
        <v>1</v>
      </c>
      <c r="L29" s="527" t="n">
        <f aca="false">IF(L3&gt;ProjectLife,0,L28/L31)</f>
        <v>1</v>
      </c>
      <c r="M29" s="527" t="n">
        <f aca="false">IF(M3&gt;ProjectLife,0,M28/M31)</f>
        <v>1</v>
      </c>
      <c r="N29" s="527" t="n">
        <f aca="false">IF(N3&gt;ProjectLife,0,N28/N31)</f>
        <v>1</v>
      </c>
      <c r="O29" s="527" t="n">
        <f aca="false">IF(O3&gt;ProjectLife,0,O28/O31)</f>
        <v>1</v>
      </c>
      <c r="P29" s="527" t="n">
        <f aca="false">IF(P3&gt;ProjectLife,0,P28/P31)</f>
        <v>1</v>
      </c>
      <c r="Q29" s="527" t="n">
        <f aca="false">IF(Q3&gt;ProjectLife,0,Q28/Q31)</f>
        <v>1</v>
      </c>
      <c r="R29" s="527" t="n">
        <f aca="false">IF(R3&gt;ProjectLife,0,R28/R31)</f>
        <v>1</v>
      </c>
      <c r="S29" s="527" t="n">
        <f aca="false">IF(S3&gt;ProjectLife,0,S28/S31)</f>
        <v>1</v>
      </c>
      <c r="T29" s="527" t="n">
        <f aca="false">IF(T3&gt;ProjectLife,0,T28/T31)</f>
        <v>1</v>
      </c>
      <c r="U29" s="527" t="n">
        <f aca="false">IF(U3&gt;ProjectLife,0,U28/U31)</f>
        <v>1</v>
      </c>
      <c r="V29" s="527" t="n">
        <f aca="false">IF(V3&gt;ProjectLife,0,V28/V31)</f>
        <v>1</v>
      </c>
      <c r="W29" s="528" t="n">
        <f aca="false">IF(W3&gt;ProjectLife,0,W28/W31)</f>
        <v>0</v>
      </c>
      <c r="X29" s="527"/>
      <c r="Y29" s="529"/>
      <c r="Z29" s="529"/>
    </row>
    <row r="30" customFormat="false" ht="12.6" hidden="false" customHeight="true" outlineLevel="0" collapsed="false">
      <c r="A30" s="417"/>
      <c r="B30" s="450"/>
      <c r="C30" s="441"/>
      <c r="D30" s="441"/>
      <c r="E30" s="441"/>
      <c r="F30" s="441"/>
      <c r="G30" s="441"/>
      <c r="H30" s="441"/>
      <c r="I30" s="441"/>
      <c r="J30" s="441"/>
      <c r="K30" s="441"/>
      <c r="L30" s="441"/>
      <c r="M30" s="441"/>
      <c r="N30" s="441"/>
      <c r="O30" s="441"/>
      <c r="P30" s="441"/>
      <c r="Q30" s="441"/>
      <c r="R30" s="441"/>
      <c r="S30" s="441"/>
      <c r="T30" s="441"/>
      <c r="U30" s="441"/>
      <c r="V30" s="441"/>
      <c r="W30" s="447"/>
      <c r="X30" s="441"/>
      <c r="Y30" s="515"/>
      <c r="Z30" s="515"/>
    </row>
    <row r="31" customFormat="false" ht="12.6" hidden="false" customHeight="true" outlineLevel="0" collapsed="false">
      <c r="A31" s="412" t="s">
        <v>429</v>
      </c>
      <c r="B31" s="385"/>
      <c r="C31" s="30" t="n">
        <f aca="false">IF(C3&gt;ProjectLife+1,0,IF('Project Assumptions'!$C$58="Assumed",C26+C28,C26+C28))</f>
        <v>530400</v>
      </c>
      <c r="D31" s="30" t="n">
        <f aca="false">IF(D3&gt;ProjectLife+1,0,IF('Project Assumptions'!$C$58="Assumed",D26+D28,D26+D28))</f>
        <v>540900</v>
      </c>
      <c r="E31" s="30" t="n">
        <f aca="false">IF(E3&gt;ProjectLife+1,0,IF('Project Assumptions'!$C$58="Assumed",E26+E28,E26+E28))</f>
        <v>548400</v>
      </c>
      <c r="F31" s="30" t="n">
        <f aca="false">IF(F3&gt;ProjectLife+1,0,IF('Project Assumptions'!$C$58="Assumed",F26+F28,F26+F28))</f>
        <v>548400</v>
      </c>
      <c r="G31" s="30" t="n">
        <f aca="false">IF(G3&gt;ProjectLife+1,0,IF('Project Assumptions'!$C$58="Assumed",G26+G28,G26+G28))</f>
        <v>576848.513333333</v>
      </c>
      <c r="H31" s="30" t="n">
        <f aca="false">IF(H3&gt;ProjectLife+1,0,IF('Project Assumptions'!$C$58="Assumed",H26+H28,H26+H28))</f>
        <v>592233.6</v>
      </c>
      <c r="I31" s="30" t="n">
        <f aca="false">IF(I3&gt;ProjectLife+1,0,IF('Project Assumptions'!$C$58="Assumed",I26+I28,I26+I28))</f>
        <v>592233.6</v>
      </c>
      <c r="J31" s="30" t="n">
        <f aca="false">IF(J3&gt;ProjectLife+1,0,IF('Project Assumptions'!$C$58="Assumed",J26+J28,J26+J28))</f>
        <v>592233.6</v>
      </c>
      <c r="K31" s="30" t="n">
        <f aca="false">IF(K3&gt;ProjectLife+1,0,IF('Project Assumptions'!$C$58="Assumed",K26+K28,K26+K28))</f>
        <v>592233.6</v>
      </c>
      <c r="L31" s="30" t="n">
        <f aca="false">IF(L3&gt;ProjectLife+1,0,IF('Project Assumptions'!$C$58="Assumed",L26+L28,L26+L28))</f>
        <v>592233.6</v>
      </c>
      <c r="M31" s="30" t="n">
        <f aca="false">IF(M3&gt;ProjectLife+1,0,IF('Project Assumptions'!$C$58="Assumed",M26+M28,M26+M28))</f>
        <v>592233.6</v>
      </c>
      <c r="N31" s="30" t="n">
        <f aca="false">IF(N3&gt;ProjectLife+1,0,IF('Project Assumptions'!$C$58="Assumed",N26+N28,N26+N28))</f>
        <v>592233.6</v>
      </c>
      <c r="O31" s="30" t="n">
        <f aca="false">IF(O3&gt;ProjectLife+1,0,IF('Project Assumptions'!$C$58="Assumed",O26+O28,O26+O28))</f>
        <v>592233.6</v>
      </c>
      <c r="P31" s="30" t="n">
        <f aca="false">IF(P3&gt;ProjectLife+1,0,IF('Project Assumptions'!$C$58="Assumed",P26+P28,P26+P28))</f>
        <v>592233.6</v>
      </c>
      <c r="Q31" s="30" t="n">
        <f aca="false">IF(Q3&gt;ProjectLife+1,0,IF('Project Assumptions'!$C$58="Assumed",Q26+Q28,Q26+Q28))</f>
        <v>592233.6</v>
      </c>
      <c r="R31" s="30" t="n">
        <f aca="false">IF(R3&gt;ProjectLife+1,0,IF('Project Assumptions'!$C$58="Assumed",R26+R28,R26+R28))</f>
        <v>592233.6</v>
      </c>
      <c r="S31" s="30" t="n">
        <f aca="false">IF(S3&gt;ProjectLife+1,0,IF('Project Assumptions'!$C$58="Assumed",S26+S28,S26+S28))</f>
        <v>592233.6</v>
      </c>
      <c r="T31" s="30" t="n">
        <f aca="false">IF(T3&gt;ProjectLife+1,0,IF('Project Assumptions'!$C$58="Assumed",T26+T28,T26+T28))</f>
        <v>592233.6</v>
      </c>
      <c r="U31" s="30" t="n">
        <f aca="false">IF(U3&gt;ProjectLife+1,0,IF('Project Assumptions'!$C$58="Assumed",U26+U28,U26+U28))</f>
        <v>592233.6</v>
      </c>
      <c r="V31" s="30" t="n">
        <f aca="false">IF(V3&gt;ProjectLife+1,0,IF('Project Assumptions'!$C$58="Assumed",V26+V28,V26+V28))</f>
        <v>592233.6</v>
      </c>
      <c r="W31" s="464" t="n">
        <f aca="false">IF(W3&gt;ProjectLife+1,0,IF('Project Assumptions'!$C$58="Assumed",W26+W28,W26+W28))</f>
        <v>592233.6</v>
      </c>
      <c r="X31" s="465"/>
      <c r="Y31" s="526"/>
      <c r="Z31" s="526"/>
    </row>
    <row r="32" customFormat="false" ht="12.6" hidden="false" customHeight="true" outlineLevel="0" collapsed="false">
      <c r="A32" s="412" t="s">
        <v>430</v>
      </c>
      <c r="B32" s="385"/>
      <c r="C32" s="523" t="n">
        <f aca="false">IF(C3&gt;ProjectLife,0,C27+C29)</f>
        <v>1</v>
      </c>
      <c r="D32" s="523" t="n">
        <f aca="false">IF(D3&gt;ProjectLife,0,D27+D29)</f>
        <v>1</v>
      </c>
      <c r="E32" s="523" t="n">
        <f aca="false">IF(E3&gt;ProjectLife,0,E27+E29)</f>
        <v>1</v>
      </c>
      <c r="F32" s="523" t="n">
        <f aca="false">IF(F3&gt;ProjectLife,0,F27+F29)</f>
        <v>1</v>
      </c>
      <c r="G32" s="523" t="n">
        <f aca="false">IF(G3&gt;ProjectLife,0,G27+G29)</f>
        <v>1</v>
      </c>
      <c r="H32" s="523" t="n">
        <f aca="false">IF(H3&gt;ProjectLife,0,H27+H29)</f>
        <v>1</v>
      </c>
      <c r="I32" s="523" t="n">
        <f aca="false">IF(I3&gt;ProjectLife,0,I27+I29)</f>
        <v>1</v>
      </c>
      <c r="J32" s="523" t="n">
        <f aca="false">IF(J3&gt;ProjectLife,0,J27+J29)</f>
        <v>1</v>
      </c>
      <c r="K32" s="523" t="n">
        <f aca="false">IF(K3&gt;ProjectLife,0,K27+K29)</f>
        <v>1</v>
      </c>
      <c r="L32" s="523" t="n">
        <f aca="false">IF(L3&gt;ProjectLife,0,L27+L29)</f>
        <v>1</v>
      </c>
      <c r="M32" s="523" t="n">
        <f aca="false">IF(M3&gt;ProjectLife,0,M27+M29)</f>
        <v>1</v>
      </c>
      <c r="N32" s="523" t="n">
        <f aca="false">IF(N3&gt;ProjectLife,0,N27+N29)</f>
        <v>1</v>
      </c>
      <c r="O32" s="523" t="n">
        <f aca="false">IF(O3&gt;ProjectLife,0,O27+O29)</f>
        <v>1</v>
      </c>
      <c r="P32" s="523" t="n">
        <f aca="false">IF(P3&gt;ProjectLife,0,P27+P29)</f>
        <v>1</v>
      </c>
      <c r="Q32" s="523" t="n">
        <f aca="false">IF(Q3&gt;ProjectLife,0,Q27+Q29)</f>
        <v>1</v>
      </c>
      <c r="R32" s="523" t="n">
        <f aca="false">IF(R3&gt;ProjectLife,0,R27+R29)</f>
        <v>1</v>
      </c>
      <c r="S32" s="523" t="n">
        <f aca="false">IF(S3&gt;ProjectLife,0,S27+S29)</f>
        <v>1</v>
      </c>
      <c r="T32" s="523" t="n">
        <f aca="false">IF(T3&gt;ProjectLife,0,T27+T29)</f>
        <v>1</v>
      </c>
      <c r="U32" s="523" t="n">
        <f aca="false">IF(U3&gt;ProjectLife,0,U27+U29)</f>
        <v>1</v>
      </c>
      <c r="V32" s="523" t="n">
        <f aca="false">IF(V3&gt;ProjectLife,0,V27+V29)</f>
        <v>1</v>
      </c>
      <c r="W32" s="524" t="n">
        <f aca="false">IF(W3&gt;ProjectLife,0,W27+W29)</f>
        <v>0</v>
      </c>
      <c r="X32" s="523"/>
      <c r="Y32" s="525"/>
      <c r="Z32" s="525"/>
    </row>
    <row r="33" customFormat="false" ht="12.6" hidden="false" customHeight="true" outlineLevel="0" collapsed="false">
      <c r="A33" s="417" t="s">
        <v>431</v>
      </c>
      <c r="B33" s="450"/>
      <c r="C33" s="530" t="n">
        <f aca="false">IF(C3&gt;ProjectLife,0,'Project Assumptions'!$I$13*(1+C7))</f>
        <v>12064</v>
      </c>
      <c r="D33" s="530" t="n">
        <f aca="false">IF(D3&gt;ProjectLife,0,'Project Assumptions'!$I$13*(1+D7))</f>
        <v>12064</v>
      </c>
      <c r="E33" s="530" t="n">
        <f aca="false">IF(E3&gt;ProjectLife,0,'Project Assumptions'!$I$13*(1+E7))</f>
        <v>12064</v>
      </c>
      <c r="F33" s="530" t="n">
        <f aca="false">IF(F3&gt;ProjectLife,0,'Project Assumptions'!$I$13*(1+F7))</f>
        <v>12064</v>
      </c>
      <c r="G33" s="530" t="n">
        <f aca="false">IF(G3&gt;ProjectLife,0,'Project Assumptions'!$I$13*(1+G7))</f>
        <v>12064</v>
      </c>
      <c r="H33" s="530" t="n">
        <f aca="false">IF(H3&gt;ProjectLife,0,'Project Assumptions'!$I$13*(1+H7))</f>
        <v>12064</v>
      </c>
      <c r="I33" s="530" t="n">
        <f aca="false">IF(I3&gt;ProjectLife,0,'Project Assumptions'!$I$13*(1+I7))</f>
        <v>12064</v>
      </c>
      <c r="J33" s="530" t="n">
        <f aca="false">IF(J3&gt;ProjectLife,0,'Project Assumptions'!$I$13*(1+J7))</f>
        <v>12064</v>
      </c>
      <c r="K33" s="530" t="n">
        <f aca="false">IF(K3&gt;ProjectLife,0,'Project Assumptions'!$I$13*(1+K7))</f>
        <v>12064</v>
      </c>
      <c r="L33" s="530" t="n">
        <f aca="false">IF(L3&gt;ProjectLife,0,'Project Assumptions'!$I$13*(1+L7))</f>
        <v>12064</v>
      </c>
      <c r="M33" s="530" t="n">
        <f aca="false">IF(M3&gt;ProjectLife,0,'Project Assumptions'!$I$13*(1+M7))</f>
        <v>12064</v>
      </c>
      <c r="N33" s="530" t="n">
        <f aca="false">IF(N3&gt;ProjectLife,0,'Project Assumptions'!$I$13*(1+N7))</f>
        <v>12064</v>
      </c>
      <c r="O33" s="530" t="n">
        <f aca="false">IF(O3&gt;ProjectLife,0,'Project Assumptions'!$I$13*(1+O7))</f>
        <v>12064</v>
      </c>
      <c r="P33" s="530" t="n">
        <f aca="false">IF(P3&gt;ProjectLife,0,'Project Assumptions'!$I$13*(1+P7))</f>
        <v>12064</v>
      </c>
      <c r="Q33" s="530" t="n">
        <f aca="false">IF(Q3&gt;ProjectLife,0,'Project Assumptions'!$I$13*(1+Q7))</f>
        <v>12064</v>
      </c>
      <c r="R33" s="530" t="n">
        <f aca="false">IF(R3&gt;ProjectLife,0,'Project Assumptions'!$I$13*(1+R7))</f>
        <v>12064</v>
      </c>
      <c r="S33" s="530" t="n">
        <f aca="false">IF(S3&gt;ProjectLife,0,'Project Assumptions'!$I$13*(1+S7))</f>
        <v>12064</v>
      </c>
      <c r="T33" s="530" t="n">
        <f aca="false">IF(T3&gt;ProjectLife,0,'Project Assumptions'!$I$13*(1+T7))</f>
        <v>12064</v>
      </c>
      <c r="U33" s="530" t="n">
        <f aca="false">IF(U3&gt;ProjectLife,0,'Project Assumptions'!$I$13*(1+U7))</f>
        <v>12064</v>
      </c>
      <c r="V33" s="530" t="n">
        <f aca="false">IF(V3&gt;ProjectLife,0,'Project Assumptions'!$I$13*(1+V7))</f>
        <v>12064</v>
      </c>
      <c r="W33" s="531" t="n">
        <f aca="false">IF(W3&gt;ProjectLife+1,0,'Project Assumptions'!$I$13*(1+W7))</f>
        <v>12064</v>
      </c>
      <c r="X33" s="530"/>
      <c r="Y33" s="532"/>
      <c r="Z33" s="532"/>
    </row>
    <row r="34" customFormat="false" ht="12.6" hidden="false" customHeight="true" outlineLevel="0" collapsed="false">
      <c r="A34" s="417" t="s">
        <v>432</v>
      </c>
      <c r="B34" s="450"/>
      <c r="C34" s="441" t="n">
        <f aca="false">IF(C3&gt;ProjectLife,0,C33*C31/1000000)</f>
        <v>6398.7456</v>
      </c>
      <c r="D34" s="441" t="n">
        <f aca="false">IF(D3&gt;ProjectLife,0,D33*D31/1000000)</f>
        <v>6525.4176</v>
      </c>
      <c r="E34" s="441" t="n">
        <f aca="false">IF(E3&gt;ProjectLife,0,E33*E31/1000000)</f>
        <v>6615.8976</v>
      </c>
      <c r="F34" s="441" t="n">
        <f aca="false">IF(F3&gt;ProjectLife,0,F33*F31/1000000)</f>
        <v>6615.8976</v>
      </c>
      <c r="G34" s="441" t="n">
        <f aca="false">IF(G3&gt;ProjectLife,0,G33*G31/1000000)</f>
        <v>6959.10046485333</v>
      </c>
      <c r="H34" s="441" t="n">
        <f aca="false">IF(H3&gt;ProjectLife,0,H33*H31/1000000)</f>
        <v>7144.7061504</v>
      </c>
      <c r="I34" s="441" t="n">
        <f aca="false">IF(I3&gt;ProjectLife,0,I33*I31/1000000)</f>
        <v>7144.7061504</v>
      </c>
      <c r="J34" s="441" t="n">
        <f aca="false">IF(J3&gt;ProjectLife,0,J33*J31/1000000)</f>
        <v>7144.7061504</v>
      </c>
      <c r="K34" s="441" t="n">
        <f aca="false">IF(K3&gt;ProjectLife,0,K33*K31/1000000)</f>
        <v>7144.7061504</v>
      </c>
      <c r="L34" s="441" t="n">
        <f aca="false">IF(L3&gt;ProjectLife,0,L33*L31/1000000)</f>
        <v>7144.7061504</v>
      </c>
      <c r="M34" s="441" t="n">
        <f aca="false">IF(M3&gt;ProjectLife,0,M33*M31/1000000)</f>
        <v>7144.7061504</v>
      </c>
      <c r="N34" s="441" t="n">
        <f aca="false">IF(N3&gt;ProjectLife,0,N33*N31/1000000)</f>
        <v>7144.7061504</v>
      </c>
      <c r="O34" s="441" t="n">
        <f aca="false">IF(O3&gt;ProjectLife,0,O33*O31/1000000)</f>
        <v>7144.7061504</v>
      </c>
      <c r="P34" s="441" t="n">
        <f aca="false">IF(P3&gt;ProjectLife,0,P33*P31/1000000)</f>
        <v>7144.7061504</v>
      </c>
      <c r="Q34" s="441" t="n">
        <f aca="false">IF(Q3&gt;ProjectLife,0,Q33*Q31/1000000)</f>
        <v>7144.7061504</v>
      </c>
      <c r="R34" s="441" t="n">
        <f aca="false">IF(R3&gt;ProjectLife,0,R33*R31/1000000)</f>
        <v>7144.7061504</v>
      </c>
      <c r="S34" s="441" t="n">
        <f aca="false">IF(S3&gt;ProjectLife,0,S33*S31/1000000)</f>
        <v>7144.7061504</v>
      </c>
      <c r="T34" s="441" t="n">
        <f aca="false">IF(T3&gt;ProjectLife,0,T33*T31/1000000)</f>
        <v>7144.7061504</v>
      </c>
      <c r="U34" s="441" t="n">
        <f aca="false">IF(U3&gt;ProjectLife,0,U33*U31/1000000)</f>
        <v>7144.7061504</v>
      </c>
      <c r="V34" s="441" t="n">
        <f aca="false">IF(V3&gt;ProjectLife,0,V33*V31/1000000)</f>
        <v>7144.7061504</v>
      </c>
      <c r="W34" s="447" t="n">
        <f aca="false">IF(W3&gt;ProjectLife+1,0,W33*W31/1000000)</f>
        <v>7144.7061504</v>
      </c>
      <c r="X34" s="441"/>
      <c r="Y34" s="515"/>
      <c r="Z34" s="515"/>
    </row>
    <row r="35" customFormat="false" ht="12.6" hidden="false" customHeight="true" outlineLevel="0" collapsed="false">
      <c r="A35" s="417"/>
      <c r="B35" s="450"/>
      <c r="C35" s="418"/>
      <c r="D35" s="418"/>
      <c r="E35" s="418"/>
      <c r="F35" s="418"/>
      <c r="G35" s="418"/>
      <c r="H35" s="418"/>
      <c r="I35" s="418"/>
      <c r="J35" s="418"/>
      <c r="K35" s="418"/>
      <c r="L35" s="418"/>
      <c r="M35" s="418"/>
      <c r="N35" s="418"/>
      <c r="O35" s="418"/>
      <c r="P35" s="418"/>
      <c r="Q35" s="418"/>
      <c r="R35" s="418"/>
      <c r="S35" s="418"/>
      <c r="T35" s="418"/>
      <c r="U35" s="418"/>
      <c r="V35" s="418"/>
      <c r="W35" s="508"/>
      <c r="X35" s="418"/>
      <c r="Y35" s="509"/>
      <c r="Z35" s="509"/>
      <c r="AA35" s="509"/>
    </row>
    <row r="36" customFormat="false" ht="12.6" hidden="false" customHeight="true" outlineLevel="0" collapsed="false">
      <c r="A36" s="417" t="s">
        <v>433</v>
      </c>
      <c r="B36" s="450"/>
      <c r="C36" s="533" t="n">
        <f aca="false">IF(C3&gt;ProjectLife,0,IF(AND('Project Assumptions'!$C$59="No",Operations!C3&gt;ProjectLife),0,Operations!C$44*C34))</f>
        <v>16236.81696</v>
      </c>
      <c r="D36" s="533" t="n">
        <f aca="false">IF(D3&gt;ProjectLife,0,IF(AND('Project Assumptions'!$C$59="No",Operations!D3&gt;ProjectLife),0,Operations!D$44*D34))</f>
        <v>16558.24716</v>
      </c>
      <c r="E36" s="533" t="n">
        <f aca="false">IF(E3&gt;ProjectLife,0,IF(AND('Project Assumptions'!$C$59="No",Operations!E3&gt;ProjectLife),0,Operations!E$44*E34))</f>
        <v>16787.84016</v>
      </c>
      <c r="F36" s="533" t="n">
        <f aca="false">IF(F3&gt;ProjectLife,0,IF(AND('Project Assumptions'!$C$59="No",Operations!F3&gt;ProjectLife),0,Operations!F$44*F34))</f>
        <v>16787.84016</v>
      </c>
      <c r="G36" s="533" t="n">
        <f aca="false">IF(G3&gt;ProjectLife,0,IF(AND('Project Assumptions'!$C$59="No",Operations!G3&gt;ProjectLife),0,Operations!G$44*G34))</f>
        <v>17658.7174295653</v>
      </c>
      <c r="H36" s="533" t="n">
        <f aca="false">IF(H3&gt;ProjectLife,0,IF(AND('Project Assumptions'!$C$59="No",Operations!H3&gt;ProjectLife),0,Operations!H$44*H34))</f>
        <v>18129.69185664</v>
      </c>
      <c r="I36" s="533" t="n">
        <f aca="false">IF(I3&gt;ProjectLife,0,IF(AND('Project Assumptions'!$C$59="No",Operations!I3&gt;ProjectLife),0,Operations!I$44*I34))</f>
        <v>18129.69185664</v>
      </c>
      <c r="J36" s="533" t="n">
        <f aca="false">IF(J3&gt;ProjectLife,0,IF(AND('Project Assumptions'!$C$59="No",Operations!J3&gt;ProjectLife),0,Operations!J$44*J34))</f>
        <v>18129.69185664</v>
      </c>
      <c r="K36" s="533" t="n">
        <f aca="false">IF(K3&gt;ProjectLife,0,IF(AND('Project Assumptions'!$C$59="No",Operations!K3&gt;ProjectLife),0,Operations!K$44*K34))</f>
        <v>18129.69185664</v>
      </c>
      <c r="L36" s="533" t="n">
        <f aca="false">IF(L3&gt;ProjectLife,0,IF(AND('Project Assumptions'!$C$59="No",Operations!L3&gt;ProjectLife),0,Operations!L$44*L34))</f>
        <v>18129.69185664</v>
      </c>
      <c r="M36" s="533" t="n">
        <f aca="false">IF(M3&gt;ProjectLife,0,IF(AND('Project Assumptions'!$C$59="No",Operations!M3&gt;ProjectLife),0,Operations!M$44*M34))</f>
        <v>18129.69185664</v>
      </c>
      <c r="N36" s="533" t="n">
        <f aca="false">IF(N3&gt;ProjectLife,0,IF(AND('Project Assumptions'!$C$59="No",Operations!N3&gt;ProjectLife),0,Operations!N$44*N34))</f>
        <v>18129.69185664</v>
      </c>
      <c r="O36" s="533" t="n">
        <f aca="false">IF(O3&gt;ProjectLife,0,IF(AND('Project Assumptions'!$C$59="No",Operations!O3&gt;ProjectLife),0,Operations!O$44*O34))</f>
        <v>18129.69185664</v>
      </c>
      <c r="P36" s="533" t="n">
        <f aca="false">IF(P3&gt;ProjectLife,0,IF(AND('Project Assumptions'!$C$59="No",Operations!P3&gt;ProjectLife),0,Operations!P$44*P34))</f>
        <v>18129.69185664</v>
      </c>
      <c r="Q36" s="533" t="n">
        <f aca="false">IF(Q3&gt;ProjectLife,0,IF(AND('Project Assumptions'!$C$59="No",Operations!Q3&gt;ProjectLife),0,Operations!Q$44*Q34))</f>
        <v>18129.69185664</v>
      </c>
      <c r="R36" s="533" t="n">
        <f aca="false">IF(R3&gt;ProjectLife,0,IF(AND('Project Assumptions'!$C$59="No",Operations!R3&gt;ProjectLife),0,Operations!R$44*R34))</f>
        <v>18129.69185664</v>
      </c>
      <c r="S36" s="533" t="n">
        <f aca="false">IF(S3&gt;ProjectLife,0,IF(AND('Project Assumptions'!$C$59="No",Operations!S3&gt;ProjectLife),0,Operations!S$44*S34))</f>
        <v>18129.69185664</v>
      </c>
      <c r="T36" s="533" t="n">
        <f aca="false">IF(T3&gt;ProjectLife,0,IF(AND('Project Assumptions'!$C$59="No",Operations!T3&gt;ProjectLife),0,Operations!T$44*T34))</f>
        <v>18129.69185664</v>
      </c>
      <c r="U36" s="533" t="n">
        <f aca="false">IF(U3&gt;ProjectLife,0,IF(AND('Project Assumptions'!$C$59="No",Operations!U3&gt;ProjectLife),0,Operations!U$44*U34))</f>
        <v>18129.69185664</v>
      </c>
      <c r="V36" s="533" t="n">
        <f aca="false">IF(V3&gt;ProjectLife,0,IF(AND('Project Assumptions'!$C$59="No",Operations!V3&gt;ProjectLife),0,Operations!V$44*V34))</f>
        <v>18129.69185664</v>
      </c>
      <c r="W36" s="534" t="n">
        <f aca="false">IF(W3&gt;ProjectLife+1,0,IF(AND('Project Assumptions'!$C$59="No",Operations!W3&gt;ProjectLife),0,Operations!W$44*W34))</f>
        <v>18129.69185664</v>
      </c>
      <c r="X36" s="438"/>
      <c r="Y36" s="520"/>
      <c r="Z36" s="520"/>
      <c r="AA36" s="509"/>
    </row>
    <row r="37" customFormat="false" ht="12.6" hidden="false" customHeight="true" outlineLevel="0" collapsed="false">
      <c r="A37" s="417"/>
      <c r="B37" s="450"/>
      <c r="C37" s="533"/>
      <c r="D37" s="533"/>
      <c r="E37" s="533"/>
      <c r="F37" s="533"/>
      <c r="G37" s="533"/>
      <c r="H37" s="533"/>
      <c r="I37" s="533"/>
      <c r="J37" s="533"/>
      <c r="K37" s="533"/>
      <c r="L37" s="533"/>
      <c r="M37" s="533"/>
      <c r="N37" s="533"/>
      <c r="O37" s="533"/>
      <c r="P37" s="533"/>
      <c r="Q37" s="533"/>
      <c r="R37" s="533"/>
      <c r="S37" s="533"/>
      <c r="T37" s="533"/>
      <c r="U37" s="533"/>
      <c r="V37" s="533"/>
      <c r="W37" s="534"/>
      <c r="X37" s="438"/>
      <c r="Y37" s="520"/>
      <c r="Z37" s="520"/>
      <c r="AA37" s="509"/>
    </row>
    <row r="38" customFormat="false" ht="12.6" hidden="false" customHeight="true" outlineLevel="0" collapsed="false">
      <c r="A38" s="468" t="s">
        <v>434</v>
      </c>
      <c r="B38" s="492"/>
      <c r="C38" s="535" t="n">
        <f aca="false">'Project Assumptions'!$N$60*'Maintainance Reserves'!C7*Operations!C44/1000*'Project Assumptions'!$I$8</f>
        <v>0</v>
      </c>
      <c r="D38" s="535" t="n">
        <f aca="false">'Project Assumptions'!$N$60*'Maintainance Reserves'!D7*Operations!D44/1000*'Project Assumptions'!$I$8</f>
        <v>0</v>
      </c>
      <c r="E38" s="535" t="n">
        <f aca="false">'Project Assumptions'!$N$60*'Maintainance Reserves'!E7*Operations!E44/1000*'Project Assumptions'!$I$8</f>
        <v>0</v>
      </c>
      <c r="F38" s="535" t="n">
        <f aca="false">'Project Assumptions'!$N$60*'Maintainance Reserves'!F7*Operations!F44/1000*'Project Assumptions'!$I$8</f>
        <v>0</v>
      </c>
      <c r="G38" s="535" t="n">
        <f aca="false">'Project Assumptions'!$N$60*'Maintainance Reserves'!G7*Operations!G44/1000*'Project Assumptions'!$I$8</f>
        <v>0</v>
      </c>
      <c r="H38" s="535" t="n">
        <f aca="false">'Project Assumptions'!$N$60*'Maintainance Reserves'!H7*Operations!H44/1000*'Project Assumptions'!$I$8</f>
        <v>0</v>
      </c>
      <c r="I38" s="535" t="n">
        <f aca="false">'Project Assumptions'!$N$60*'Maintainance Reserves'!I7*Operations!I44/1000*'Project Assumptions'!$I$8</f>
        <v>0</v>
      </c>
      <c r="J38" s="535" t="n">
        <f aca="false">'Project Assumptions'!$N$60*'Maintainance Reserves'!J7*Operations!J44/1000*'Project Assumptions'!$I$8</f>
        <v>0</v>
      </c>
      <c r="K38" s="535" t="n">
        <f aca="false">'Project Assumptions'!$N$60*'Maintainance Reserves'!K7*Operations!K44/1000*'Project Assumptions'!$I$8</f>
        <v>0</v>
      </c>
      <c r="L38" s="535" t="n">
        <f aca="false">'Project Assumptions'!$N$60*'Maintainance Reserves'!L7*Operations!L44/1000*'Project Assumptions'!$I$8</f>
        <v>0</v>
      </c>
      <c r="M38" s="535" t="n">
        <f aca="false">'Project Assumptions'!$N$60*'Maintainance Reserves'!M7*Operations!M44/1000*'Project Assumptions'!$I$8</f>
        <v>0</v>
      </c>
      <c r="N38" s="535" t="n">
        <f aca="false">'Project Assumptions'!$N$60*'Maintainance Reserves'!N7*Operations!N44/1000*'Project Assumptions'!$I$8</f>
        <v>0</v>
      </c>
      <c r="O38" s="535" t="n">
        <f aca="false">'Project Assumptions'!$N$60*'Maintainance Reserves'!O7*Operations!O44/1000*'Project Assumptions'!$I$8</f>
        <v>0</v>
      </c>
      <c r="P38" s="535" t="n">
        <f aca="false">'Project Assumptions'!$N$60*'Maintainance Reserves'!P7*Operations!P44/1000*'Project Assumptions'!$I$8</f>
        <v>0</v>
      </c>
      <c r="Q38" s="535" t="n">
        <f aca="false">'Project Assumptions'!$N$60*'Maintainance Reserves'!Q7*Operations!Q44/1000*'Project Assumptions'!$I$8</f>
        <v>0</v>
      </c>
      <c r="R38" s="535" t="n">
        <f aca="false">'Project Assumptions'!$N$60*'Maintainance Reserves'!R7*Operations!R44/1000*'Project Assumptions'!$I$8</f>
        <v>0</v>
      </c>
      <c r="S38" s="535" t="n">
        <f aca="false">'Project Assumptions'!$N$60*'Maintainance Reserves'!S7*Operations!S44/1000*'Project Assumptions'!$I$8</f>
        <v>0</v>
      </c>
      <c r="T38" s="535" t="n">
        <f aca="false">'Project Assumptions'!$N$60*'Maintainance Reserves'!T7*Operations!T44/1000*'Project Assumptions'!$I$8</f>
        <v>0</v>
      </c>
      <c r="U38" s="535" t="n">
        <f aca="false">'Project Assumptions'!$N$60*'Maintainance Reserves'!U7*Operations!U44/1000*'Project Assumptions'!$I$8</f>
        <v>0</v>
      </c>
      <c r="V38" s="535" t="n">
        <f aca="false">'Project Assumptions'!$N$60*'Maintainance Reserves'!V7*Operations!V44/1000*'Project Assumptions'!$I$8</f>
        <v>0</v>
      </c>
      <c r="W38" s="536" t="e">
        <f aca="false">'Project Assumptions'!$N$60*'Maintainance Reserves'!W7*Operations!W44/1000*'Project Assumptions'!$I$8</f>
        <v>#VALUE!</v>
      </c>
      <c r="X38" s="537"/>
      <c r="Y38" s="538"/>
      <c r="Z38" s="538"/>
      <c r="AA38" s="538"/>
    </row>
    <row r="39" customFormat="false" ht="12.6" hidden="false" customHeight="true" outlineLevel="0" collapsed="false">
      <c r="A39" s="385"/>
      <c r="B39" s="149"/>
      <c r="C39" s="539"/>
      <c r="D39" s="539"/>
      <c r="E39" s="539"/>
      <c r="F39" s="539"/>
      <c r="G39" s="539"/>
      <c r="H39" s="539"/>
      <c r="I39" s="539"/>
      <c r="J39" s="539"/>
      <c r="K39" s="539"/>
      <c r="L39" s="539"/>
      <c r="M39" s="539"/>
      <c r="N39" s="539"/>
      <c r="O39" s="539"/>
      <c r="P39" s="539"/>
      <c r="Q39" s="539"/>
      <c r="R39" s="539"/>
      <c r="S39" s="539"/>
      <c r="T39" s="539"/>
      <c r="U39" s="539"/>
      <c r="V39" s="539"/>
      <c r="W39" s="539"/>
      <c r="X39" s="537"/>
      <c r="Y39" s="538"/>
      <c r="Z39" s="538"/>
      <c r="AA39" s="538"/>
    </row>
    <row r="40" customFormat="false" ht="15.75" hidden="false" customHeight="false" outlineLevel="0" collapsed="false">
      <c r="A40" s="431" t="s">
        <v>435</v>
      </c>
      <c r="B40" s="380"/>
      <c r="C40" s="380"/>
      <c r="D40" s="380"/>
      <c r="E40" s="380"/>
      <c r="F40" s="380"/>
      <c r="G40" s="380"/>
      <c r="H40" s="380"/>
      <c r="I40" s="380"/>
      <c r="J40" s="380"/>
      <c r="K40" s="380"/>
      <c r="L40" s="380"/>
      <c r="M40" s="380"/>
      <c r="N40" s="380"/>
      <c r="O40" s="380"/>
      <c r="P40" s="380"/>
      <c r="Q40" s="380"/>
      <c r="R40" s="380"/>
      <c r="S40" s="380"/>
      <c r="T40" s="380"/>
      <c r="U40" s="380"/>
      <c r="V40" s="380"/>
      <c r="W40" s="540"/>
      <c r="X40" s="541"/>
      <c r="Y40" s="542"/>
      <c r="Z40" s="542"/>
      <c r="AA40" s="542"/>
    </row>
    <row r="41" customFormat="false" ht="12.6" hidden="false" customHeight="true" outlineLevel="0" collapsed="false">
      <c r="A41" s="417" t="s">
        <v>436</v>
      </c>
      <c r="B41" s="450"/>
      <c r="C41" s="543" t="n">
        <v>1.95176551666667</v>
      </c>
      <c r="D41" s="543" t="n">
        <v>2.2489899</v>
      </c>
      <c r="E41" s="543" t="n">
        <v>2.2832108</v>
      </c>
      <c r="F41" s="543" t="n">
        <v>2.31134226666667</v>
      </c>
      <c r="G41" s="543" t="n">
        <v>2.348565</v>
      </c>
      <c r="H41" s="543" t="n">
        <v>2.39607973333333</v>
      </c>
      <c r="I41" s="543" t="n">
        <v>2.45388646666667</v>
      </c>
      <c r="J41" s="543" t="n">
        <v>2.52670236666667</v>
      </c>
      <c r="K41" s="543" t="n">
        <v>2.61495626666667</v>
      </c>
      <c r="L41" s="543" t="n">
        <v>2.71864816666667</v>
      </c>
      <c r="M41" s="543" t="n">
        <v>2.84249523333333</v>
      </c>
      <c r="N41" s="543" t="n">
        <v>2.9869263</v>
      </c>
      <c r="O41" s="543" t="n">
        <v>3.15194136666667</v>
      </c>
      <c r="P41" s="543" t="n">
        <v>3.3281061</v>
      </c>
      <c r="Q41" s="543" t="n">
        <v>3.51456283333333</v>
      </c>
      <c r="R41" s="543" t="n">
        <v>3.7065944</v>
      </c>
      <c r="S41" s="543" t="n">
        <v>3.9018851</v>
      </c>
      <c r="T41" s="543" t="n">
        <v>4.09931996666667</v>
      </c>
      <c r="U41" s="543" t="n">
        <v>4.29435336666667</v>
      </c>
      <c r="V41" s="543" t="n">
        <v>4.49170246666667</v>
      </c>
      <c r="W41" s="544" t="n">
        <v>4.49170246666667</v>
      </c>
      <c r="X41" s="545"/>
      <c r="Y41" s="546"/>
      <c r="Z41" s="546"/>
      <c r="AA41" s="509"/>
    </row>
    <row r="42" customFormat="false" ht="12.6" hidden="false" customHeight="true" outlineLevel="0" collapsed="false">
      <c r="A42" s="417" t="s">
        <v>437</v>
      </c>
      <c r="B42" s="450"/>
      <c r="C42" s="545" t="n">
        <f aca="false">IF('PPA Assumptions &amp; Summary'!C4&gt;ProjectLife+1,0,'Project Assumptions'!$C$54)</f>
        <v>2.5</v>
      </c>
      <c r="D42" s="545" t="n">
        <f aca="false">IF('PPA Assumptions &amp; Summary'!D4&gt;ProjectLife+1,0,'Project Assumptions'!$C$54)</f>
        <v>2.5</v>
      </c>
      <c r="E42" s="545" t="n">
        <f aca="false">IF('PPA Assumptions &amp; Summary'!E4&gt;ProjectLife+1,0,'Project Assumptions'!$C$54)</f>
        <v>2.5</v>
      </c>
      <c r="F42" s="545" t="n">
        <f aca="false">IF('PPA Assumptions &amp; Summary'!F4&gt;ProjectLife+1,0,'Project Assumptions'!$C$54)</f>
        <v>2.5</v>
      </c>
      <c r="G42" s="545" t="n">
        <f aca="false">IF('PPA Assumptions &amp; Summary'!G4&gt;ProjectLife+1,0,'Project Assumptions'!$C$54)</f>
        <v>2.5</v>
      </c>
      <c r="H42" s="545" t="n">
        <f aca="false">IF('PPA Assumptions &amp; Summary'!H4&gt;ProjectLife+1,0,'Project Assumptions'!$C$54)</f>
        <v>2.5</v>
      </c>
      <c r="I42" s="545" t="n">
        <f aca="false">IF('PPA Assumptions &amp; Summary'!I4&gt;ProjectLife+1,0,'Project Assumptions'!$C$54)</f>
        <v>2.5</v>
      </c>
      <c r="J42" s="545" t="n">
        <f aca="false">IF('PPA Assumptions &amp; Summary'!J4&gt;ProjectLife+1,0,'Project Assumptions'!$C$54)</f>
        <v>2.5</v>
      </c>
      <c r="K42" s="545" t="n">
        <f aca="false">IF('PPA Assumptions &amp; Summary'!K4&gt;ProjectLife+1,0,'Project Assumptions'!$C$54)</f>
        <v>2.5</v>
      </c>
      <c r="L42" s="545" t="n">
        <f aca="false">IF('PPA Assumptions &amp; Summary'!L4&gt;ProjectLife+1,0,'Project Assumptions'!$C$54)</f>
        <v>2.5</v>
      </c>
      <c r="M42" s="545" t="n">
        <f aca="false">IF('PPA Assumptions &amp; Summary'!M4&gt;ProjectLife+1,0,'Project Assumptions'!$C$54)</f>
        <v>2.5</v>
      </c>
      <c r="N42" s="545" t="n">
        <f aca="false">IF('PPA Assumptions &amp; Summary'!N4&gt;ProjectLife+1,0,'Project Assumptions'!$C$54)</f>
        <v>2.5</v>
      </c>
      <c r="O42" s="545" t="n">
        <f aca="false">IF('PPA Assumptions &amp; Summary'!O4&gt;ProjectLife+1,0,'Project Assumptions'!$C$54)</f>
        <v>2.5</v>
      </c>
      <c r="P42" s="545" t="n">
        <f aca="false">IF('PPA Assumptions &amp; Summary'!P4&gt;ProjectLife+1,0,'Project Assumptions'!$C$54)</f>
        <v>2.5</v>
      </c>
      <c r="Q42" s="545" t="n">
        <f aca="false">IF('PPA Assumptions &amp; Summary'!Q4&gt;ProjectLife+1,0,'Project Assumptions'!$C$54)</f>
        <v>2.5</v>
      </c>
      <c r="R42" s="545" t="n">
        <f aca="false">IF('PPA Assumptions &amp; Summary'!R4&gt;ProjectLife+1,0,'Project Assumptions'!$C$54)</f>
        <v>2.5</v>
      </c>
      <c r="S42" s="545" t="n">
        <f aca="false">IF('PPA Assumptions &amp; Summary'!S4&gt;ProjectLife+1,0,'Project Assumptions'!$C$54)</f>
        <v>2.5</v>
      </c>
      <c r="T42" s="545" t="n">
        <f aca="false">IF('PPA Assumptions &amp; Summary'!T4&gt;ProjectLife+1,0,'Project Assumptions'!$C$54)</f>
        <v>2.5</v>
      </c>
      <c r="U42" s="545" t="n">
        <f aca="false">IF('PPA Assumptions &amp; Summary'!U4&gt;ProjectLife+1,0,'Project Assumptions'!$C$54)</f>
        <v>2.5</v>
      </c>
      <c r="V42" s="545" t="n">
        <f aca="false">IF('PPA Assumptions &amp; Summary'!V4&gt;ProjectLife+1,0,'Project Assumptions'!$C$54)</f>
        <v>2.5</v>
      </c>
      <c r="W42" s="547" t="n">
        <f aca="false">IF('PPA Assumptions &amp; Summary'!W4&gt;ProjectLife+1,0,'Project Assumptions'!$C$54)</f>
        <v>2.5</v>
      </c>
      <c r="X42" s="545"/>
      <c r="Y42" s="546"/>
      <c r="Z42" s="546"/>
      <c r="AB42" s="548"/>
    </row>
    <row r="43" customFormat="false" ht="12.6" hidden="false" customHeight="true" outlineLevel="0" collapsed="false">
      <c r="A43" s="421" t="s">
        <v>438</v>
      </c>
      <c r="B43" s="418"/>
      <c r="C43" s="549" t="n">
        <f aca="false">IF('PPA Assumptions &amp; Summary'!C4&gt;ProjectLife,0,IF('Project Assumptions'!$N$69&gt;0,'Project Assumptions'!$N$69,0))</f>
        <v>0.015</v>
      </c>
      <c r="D43" s="549" t="n">
        <f aca="false">IF('PPA Assumptions &amp; Summary'!D4&gt;ProjectLife,0,IF('Project Assumptions'!$N$69&gt;0,'Project Assumptions'!$N$69,0))</f>
        <v>0.015</v>
      </c>
      <c r="E43" s="549" t="n">
        <f aca="false">IF('PPA Assumptions &amp; Summary'!E4&gt;ProjectLife,0,IF('Project Assumptions'!$N$69&gt;0,'Project Assumptions'!$N$69,0))</f>
        <v>0.015</v>
      </c>
      <c r="F43" s="549" t="n">
        <f aca="false">IF('PPA Assumptions &amp; Summary'!F4&gt;ProjectLife,0,IF('Project Assumptions'!$N$69&gt;0,'Project Assumptions'!$N$69,0))</f>
        <v>0.015</v>
      </c>
      <c r="G43" s="549" t="n">
        <f aca="false">IF('PPA Assumptions &amp; Summary'!G4&gt;ProjectLife,0,IF('Project Assumptions'!$N$69&gt;0,'Project Assumptions'!$N$69,0))</f>
        <v>0.015</v>
      </c>
      <c r="H43" s="549" t="n">
        <f aca="false">IF('PPA Assumptions &amp; Summary'!H4&gt;ProjectLife,0,IF('Project Assumptions'!$N$69&gt;0,'Project Assumptions'!$N$69,0))</f>
        <v>0.015</v>
      </c>
      <c r="I43" s="549" t="n">
        <f aca="false">IF('PPA Assumptions &amp; Summary'!I4&gt;ProjectLife,0,IF('Project Assumptions'!$N$69&gt;0,'Project Assumptions'!$N$69,0))</f>
        <v>0.015</v>
      </c>
      <c r="J43" s="549" t="n">
        <f aca="false">IF('PPA Assumptions &amp; Summary'!J4&gt;ProjectLife,0,IF('Project Assumptions'!$N$69&gt;0,'Project Assumptions'!$N$69,0))</f>
        <v>0.015</v>
      </c>
      <c r="K43" s="549" t="n">
        <f aca="false">IF('PPA Assumptions &amp; Summary'!K4&gt;ProjectLife,0,IF('Project Assumptions'!$N$69&gt;0,'Project Assumptions'!$N$69,0))</f>
        <v>0.015</v>
      </c>
      <c r="L43" s="549" t="n">
        <f aca="false">IF('PPA Assumptions &amp; Summary'!L4&gt;ProjectLife,0,IF('Project Assumptions'!$N$69&gt;0,'Project Assumptions'!$N$69,0))</f>
        <v>0.015</v>
      </c>
      <c r="M43" s="549" t="n">
        <f aca="false">IF('PPA Assumptions &amp; Summary'!M4&gt;ProjectLife,0,IF('Project Assumptions'!$N$69&gt;0,'Project Assumptions'!$N$69,0))</f>
        <v>0.015</v>
      </c>
      <c r="N43" s="549" t="n">
        <f aca="false">IF('PPA Assumptions &amp; Summary'!N4&gt;ProjectLife,0,IF('Project Assumptions'!$N$69&gt;0,'Project Assumptions'!$N$69,0))</f>
        <v>0.015</v>
      </c>
      <c r="O43" s="549" t="n">
        <f aca="false">IF('PPA Assumptions &amp; Summary'!O4&gt;ProjectLife,0,IF('Project Assumptions'!$N$69&gt;0,'Project Assumptions'!$N$69,0))</f>
        <v>0.015</v>
      </c>
      <c r="P43" s="549" t="n">
        <f aca="false">IF('PPA Assumptions &amp; Summary'!P4&gt;ProjectLife,0,IF('Project Assumptions'!$N$69&gt;0,'Project Assumptions'!$N$69,0))</f>
        <v>0.015</v>
      </c>
      <c r="Q43" s="549" t="n">
        <f aca="false">IF('PPA Assumptions &amp; Summary'!Q4&gt;ProjectLife,0,IF('Project Assumptions'!$N$69&gt;0,'Project Assumptions'!$N$69,0))</f>
        <v>0.015</v>
      </c>
      <c r="R43" s="549" t="n">
        <f aca="false">IF('PPA Assumptions &amp; Summary'!R4&gt;ProjectLife,0,IF('Project Assumptions'!$N$69&gt;0,'Project Assumptions'!$N$69,0))</f>
        <v>0.015</v>
      </c>
      <c r="S43" s="549" t="n">
        <f aca="false">IF('PPA Assumptions &amp; Summary'!S4&gt;ProjectLife,0,IF('Project Assumptions'!$N$69&gt;0,'Project Assumptions'!$N$69,0))</f>
        <v>0.015</v>
      </c>
      <c r="T43" s="549" t="n">
        <f aca="false">IF('PPA Assumptions &amp; Summary'!T4&gt;ProjectLife,0,IF('Project Assumptions'!$N$69&gt;0,'Project Assumptions'!$N$69,0))</f>
        <v>0.015</v>
      </c>
      <c r="U43" s="549" t="n">
        <f aca="false">IF('PPA Assumptions &amp; Summary'!U4&gt;ProjectLife,0,IF('Project Assumptions'!$N$69&gt;0,'Project Assumptions'!$N$69,0))</f>
        <v>0.015</v>
      </c>
      <c r="V43" s="549" t="n">
        <f aca="false">IF('PPA Assumptions &amp; Summary'!V4&gt;ProjectLife,0,IF('Project Assumptions'!$N$69&gt;0,'Project Assumptions'!$N$69,0))</f>
        <v>0.015</v>
      </c>
      <c r="W43" s="550" t="n">
        <f aca="false">IF('PPA Assumptions &amp; Summary'!W4&gt;ProjectLife+1,0,IF('Project Assumptions'!$N$69&gt;0,'Project Assumptions'!$N$69,0))</f>
        <v>0.015</v>
      </c>
      <c r="X43" s="549"/>
      <c r="Y43" s="551"/>
      <c r="Z43" s="551"/>
    </row>
    <row r="44" customFormat="false" ht="12.6" hidden="false" customHeight="true" outlineLevel="0" collapsed="false">
      <c r="A44" s="421" t="s">
        <v>439</v>
      </c>
      <c r="B44" s="418"/>
      <c r="C44" s="552" t="n">
        <f aca="false">IF(AND('Project Assumptions'!$C$53="Fixed",C43&gt;0),C42*(1+C43),IF(AND('Project Assumptions'!$C$53="Index",C43&gt;0),C41*(1+C43),IF('Project Assumptions'!$C$53="Fixed",C42,C41)))</f>
        <v>2.5375</v>
      </c>
      <c r="D44" s="552" t="n">
        <f aca="false">IF(AND('Project Assumptions'!$C$53="Fixed",D43&gt;0),D42*(1+D43),IF(AND('Project Assumptions'!$C$53="Index",D43&gt;0),D41*(1+D43),IF('Project Assumptions'!$C$53="Fixed",D42,D41)))</f>
        <v>2.5375</v>
      </c>
      <c r="E44" s="552" t="n">
        <f aca="false">IF(AND('Project Assumptions'!$C$53="Fixed",E43&gt;0),E42*(1+E43),IF(AND('Project Assumptions'!$C$53="Index",E43&gt;0),E41*(1+E43),IF('Project Assumptions'!$C$53="Fixed",E42,E41)))</f>
        <v>2.5375</v>
      </c>
      <c r="F44" s="552" t="n">
        <f aca="false">IF(AND('Project Assumptions'!$C$53="Fixed",F43&gt;0),F42*(1+F43),IF(AND('Project Assumptions'!$C$53="Index",F43&gt;0),F41*(1+F43),IF('Project Assumptions'!$C$53="Fixed",F42,F41)))</f>
        <v>2.5375</v>
      </c>
      <c r="G44" s="552" t="n">
        <f aca="false">IF(AND('Project Assumptions'!$C$53="Fixed",G43&gt;0),G42*(1+G43),IF(AND('Project Assumptions'!$C$53="Index",G43&gt;0),G41*(1+G43),IF('Project Assumptions'!$C$53="Fixed",G42,G41)))</f>
        <v>2.5375</v>
      </c>
      <c r="H44" s="552" t="n">
        <f aca="false">IF(AND('Project Assumptions'!$C$53="Fixed",H43&gt;0),H42*(1+H43),IF(AND('Project Assumptions'!$C$53="Index",H43&gt;0),H41*(1+H43),IF('Project Assumptions'!$C$53="Fixed",H42,H41)))</f>
        <v>2.5375</v>
      </c>
      <c r="I44" s="552" t="n">
        <f aca="false">IF(AND('Project Assumptions'!$C$53="Fixed",I43&gt;0),I42*(1+I43),IF(AND('Project Assumptions'!$C$53="Index",I43&gt;0),I41*(1+I43),IF('Project Assumptions'!$C$53="Fixed",I42,I41)))</f>
        <v>2.5375</v>
      </c>
      <c r="J44" s="552" t="n">
        <f aca="false">IF(AND('Project Assumptions'!$C$53="Fixed",J43&gt;0),J42*(1+J43),IF(AND('Project Assumptions'!$C$53="Index",J43&gt;0),J41*(1+J43),IF('Project Assumptions'!$C$53="Fixed",J42,J41)))</f>
        <v>2.5375</v>
      </c>
      <c r="K44" s="552" t="n">
        <f aca="false">IF(AND('Project Assumptions'!$C$53="Fixed",K43&gt;0),K42*(1+K43),IF(AND('Project Assumptions'!$C$53="Index",K43&gt;0),K41*(1+K43),IF('Project Assumptions'!$C$53="Fixed",K42,K41)))</f>
        <v>2.5375</v>
      </c>
      <c r="L44" s="552" t="n">
        <f aca="false">IF(AND('Project Assumptions'!$C$53="Fixed",L43&gt;0),L42*(1+L43),IF(AND('Project Assumptions'!$C$53="Index",L43&gt;0),L41*(1+L43),IF('Project Assumptions'!$C$53="Fixed",L42,L41)))</f>
        <v>2.5375</v>
      </c>
      <c r="M44" s="552" t="n">
        <f aca="false">IF(AND('Project Assumptions'!$C$53="Fixed",M43&gt;0),M42*(1+M43),IF(AND('Project Assumptions'!$C$53="Index",M43&gt;0),M41*(1+M43),IF('Project Assumptions'!$C$53="Fixed",M42,M41)))</f>
        <v>2.5375</v>
      </c>
      <c r="N44" s="552" t="n">
        <f aca="false">IF(AND('Project Assumptions'!$C$53="Fixed",N43&gt;0),N42*(1+N43),IF(AND('Project Assumptions'!$C$53="Index",N43&gt;0),N41*(1+N43),IF('Project Assumptions'!$C$53="Fixed",N42,N41)))</f>
        <v>2.5375</v>
      </c>
      <c r="O44" s="552" t="n">
        <f aca="false">IF(AND('Project Assumptions'!$C$53="Fixed",O43&gt;0),O42*(1+O43),IF(AND('Project Assumptions'!$C$53="Index",O43&gt;0),O41*(1+O43),IF('Project Assumptions'!$C$53="Fixed",O42,O41)))</f>
        <v>2.5375</v>
      </c>
      <c r="P44" s="552" t="n">
        <f aca="false">IF(AND('Project Assumptions'!$C$53="Fixed",P43&gt;0),P42*(1+P43),IF(AND('Project Assumptions'!$C$53="Index",P43&gt;0),P41*(1+P43),IF('Project Assumptions'!$C$53="Fixed",P42,P41)))</f>
        <v>2.5375</v>
      </c>
      <c r="Q44" s="552" t="n">
        <f aca="false">IF(AND('Project Assumptions'!$C$53="Fixed",Q43&gt;0),Q42*(1+Q43),IF(AND('Project Assumptions'!$C$53="Index",Q43&gt;0),Q41*(1+Q43),IF('Project Assumptions'!$C$53="Fixed",Q42,Q41)))</f>
        <v>2.5375</v>
      </c>
      <c r="R44" s="552" t="n">
        <f aca="false">IF(AND('Project Assumptions'!$C$53="Fixed",R43&gt;0),R42*(1+R43),IF(AND('Project Assumptions'!$C$53="Index",R43&gt;0),R41*(1+R43),IF('Project Assumptions'!$C$53="Fixed",R42,R41)))</f>
        <v>2.5375</v>
      </c>
      <c r="S44" s="552" t="n">
        <f aca="false">IF(AND('Project Assumptions'!$C$53="Fixed",S43&gt;0),S42*(1+S43),IF(AND('Project Assumptions'!$C$53="Index",S43&gt;0),S41*(1+S43),IF('Project Assumptions'!$C$53="Fixed",S42,S41)))</f>
        <v>2.5375</v>
      </c>
      <c r="T44" s="552" t="n">
        <f aca="false">IF(AND('Project Assumptions'!$C$53="Fixed",T43&gt;0),T42*(1+T43),IF(AND('Project Assumptions'!$C$53="Index",T43&gt;0),T41*(1+T43),IF('Project Assumptions'!$C$53="Fixed",T42,T41)))</f>
        <v>2.5375</v>
      </c>
      <c r="U44" s="552" t="n">
        <f aca="false">IF(AND('Project Assumptions'!$C$53="Fixed",U43&gt;0),U42*(1+U43),IF(AND('Project Assumptions'!$C$53="Index",U43&gt;0),U41*(1+U43),IF('Project Assumptions'!$C$53="Fixed",U42,U41)))</f>
        <v>2.5375</v>
      </c>
      <c r="V44" s="552" t="n">
        <f aca="false">IF(AND('Project Assumptions'!$C$53="Fixed",V43&gt;0),V42*(1+V43),IF(AND('Project Assumptions'!$C$53="Index",V43&gt;0),V41*(1+V43),IF('Project Assumptions'!$C$53="Fixed",V42,V41)))</f>
        <v>2.5375</v>
      </c>
      <c r="W44" s="553" t="n">
        <f aca="false">IF(AND('Project Assumptions'!$C$53="Fixed",W43&gt;0),W42*(1+W43),IF(AND('Project Assumptions'!$C$53="Index",W43&gt;0),W41*(1+W43),IF('Project Assumptions'!$C$53="Fixed",W42,W41)))</f>
        <v>2.5375</v>
      </c>
      <c r="X44" s="552"/>
      <c r="Y44" s="554"/>
      <c r="Z44" s="554"/>
    </row>
    <row r="45" customFormat="false" ht="12.6" hidden="false" customHeight="true" outlineLevel="0" collapsed="false">
      <c r="A45" s="421"/>
      <c r="B45" s="418"/>
      <c r="C45" s="552"/>
      <c r="D45" s="552"/>
      <c r="E45" s="552"/>
      <c r="F45" s="552"/>
      <c r="G45" s="552"/>
      <c r="H45" s="552"/>
      <c r="I45" s="552"/>
      <c r="J45" s="552"/>
      <c r="K45" s="552"/>
      <c r="L45" s="552"/>
      <c r="M45" s="552"/>
      <c r="N45" s="552"/>
      <c r="O45" s="552"/>
      <c r="P45" s="552"/>
      <c r="Q45" s="552"/>
      <c r="R45" s="552"/>
      <c r="S45" s="552"/>
      <c r="T45" s="552"/>
      <c r="U45" s="552"/>
      <c r="V45" s="552"/>
      <c r="W45" s="553"/>
      <c r="X45" s="552"/>
      <c r="Y45" s="554"/>
      <c r="Z45" s="554"/>
    </row>
    <row r="46" customFormat="false" ht="12.6" hidden="false" customHeight="true" outlineLevel="0" collapsed="false">
      <c r="A46" s="417" t="s">
        <v>440</v>
      </c>
      <c r="B46" s="450"/>
      <c r="C46" s="545" t="n">
        <v>21.1797</v>
      </c>
      <c r="D46" s="545" t="n">
        <v>22.01295</v>
      </c>
      <c r="E46" s="545" t="n">
        <v>23.55825</v>
      </c>
      <c r="F46" s="545" t="n">
        <v>24.58845</v>
      </c>
      <c r="G46" s="545" t="n">
        <v>26.462</v>
      </c>
      <c r="H46" s="545" t="n">
        <v>29.110725</v>
      </c>
      <c r="I46" s="545" t="n">
        <v>31.221625</v>
      </c>
      <c r="J46" s="545" t="n">
        <v>32.913375</v>
      </c>
      <c r="K46" s="545" t="n">
        <v>31.893275</v>
      </c>
      <c r="L46" s="545" t="n">
        <v>34.744</v>
      </c>
      <c r="M46" s="545" t="n">
        <v>38.104775</v>
      </c>
      <c r="N46" s="545" t="n">
        <v>40.0566</v>
      </c>
      <c r="O46" s="545" t="n">
        <v>39.882375</v>
      </c>
      <c r="P46" s="545" t="n">
        <v>39.331925</v>
      </c>
      <c r="Q46" s="545" t="n">
        <v>46.321125</v>
      </c>
      <c r="R46" s="545" t="n">
        <v>44.642</v>
      </c>
      <c r="S46" s="545" t="n">
        <v>50.891375</v>
      </c>
      <c r="T46" s="545" t="n">
        <v>50.096</v>
      </c>
      <c r="U46" s="545" t="n">
        <v>49.431925</v>
      </c>
      <c r="V46" s="545" t="n">
        <v>56.320125</v>
      </c>
      <c r="W46" s="547" t="n">
        <v>56.320125</v>
      </c>
      <c r="X46" s="545"/>
      <c r="Y46" s="546"/>
      <c r="Z46" s="546"/>
    </row>
    <row r="47" customFormat="false" ht="12.75" hidden="false" customHeight="false" outlineLevel="0" collapsed="false">
      <c r="A47" s="426" t="s">
        <v>441</v>
      </c>
      <c r="B47" s="492"/>
      <c r="C47" s="555" t="str">
        <f aca="false">IF('PPA Assumptions &amp; Summary'!C4&gt;ProjectLife,'Project Assumptions'!$C$61,"")</f>
        <v/>
      </c>
      <c r="D47" s="555" t="str">
        <f aca="false">IF('PPA Assumptions &amp; Summary'!D4&gt;ProjectLife,'Project Assumptions'!$C$61,"")</f>
        <v/>
      </c>
      <c r="E47" s="555" t="str">
        <f aca="false">IF('PPA Assumptions &amp; Summary'!E4&gt;ProjectLife,'Project Assumptions'!$C$61,"")</f>
        <v/>
      </c>
      <c r="F47" s="555" t="str">
        <f aca="false">IF('PPA Assumptions &amp; Summary'!F4&gt;ProjectLife,'Project Assumptions'!$C$61,"")</f>
        <v/>
      </c>
      <c r="G47" s="555" t="str">
        <f aca="false">IF('PPA Assumptions &amp; Summary'!G4&gt;ProjectLife,'Project Assumptions'!$C$61,"")</f>
        <v/>
      </c>
      <c r="H47" s="555" t="str">
        <f aca="false">IF('PPA Assumptions &amp; Summary'!H4&gt;ProjectLife,'Project Assumptions'!$C$61,"")</f>
        <v/>
      </c>
      <c r="I47" s="555" t="str">
        <f aca="false">IF('PPA Assumptions &amp; Summary'!I4&gt;ProjectLife,'Project Assumptions'!$C$61,"")</f>
        <v/>
      </c>
      <c r="J47" s="555" t="str">
        <f aca="false">IF('PPA Assumptions &amp; Summary'!J4&gt;ProjectLife,'Project Assumptions'!$C$61,"")</f>
        <v/>
      </c>
      <c r="K47" s="555" t="str">
        <f aca="false">IF('PPA Assumptions &amp; Summary'!K4&gt;ProjectLife,'Project Assumptions'!$C$61,"")</f>
        <v/>
      </c>
      <c r="L47" s="555" t="str">
        <f aca="false">IF('PPA Assumptions &amp; Summary'!L4&gt;ProjectLife,'Project Assumptions'!$C$61,"")</f>
        <v/>
      </c>
      <c r="M47" s="555" t="str">
        <f aca="false">IF('PPA Assumptions &amp; Summary'!M4&gt;ProjectLife,'Project Assumptions'!$C$61,"")</f>
        <v/>
      </c>
      <c r="N47" s="555" t="str">
        <f aca="false">IF('PPA Assumptions &amp; Summary'!N4&gt;ProjectLife,'Project Assumptions'!$C$61,"")</f>
        <v/>
      </c>
      <c r="O47" s="555" t="str">
        <f aca="false">IF('PPA Assumptions &amp; Summary'!O4&gt;ProjectLife,'Project Assumptions'!$C$61,"")</f>
        <v/>
      </c>
      <c r="P47" s="555" t="str">
        <f aca="false">IF('PPA Assumptions &amp; Summary'!P4&gt;ProjectLife,'Project Assumptions'!$C$61,"")</f>
        <v/>
      </c>
      <c r="Q47" s="555" t="str">
        <f aca="false">IF('PPA Assumptions &amp; Summary'!Q4&gt;ProjectLife,'Project Assumptions'!$C$61,"")</f>
        <v/>
      </c>
      <c r="R47" s="555" t="str">
        <f aca="false">IF('PPA Assumptions &amp; Summary'!R4&gt;ProjectLife,'Project Assumptions'!$C$61,"")</f>
        <v/>
      </c>
      <c r="S47" s="555" t="str">
        <f aca="false">IF('PPA Assumptions &amp; Summary'!S4&gt;ProjectLife,'Project Assumptions'!$C$61,"")</f>
        <v/>
      </c>
      <c r="T47" s="555" t="str">
        <f aca="false">IF('PPA Assumptions &amp; Summary'!T4&gt;ProjectLife,'Project Assumptions'!$C$61,"")</f>
        <v/>
      </c>
      <c r="U47" s="555" t="str">
        <f aca="false">IF('PPA Assumptions &amp; Summary'!U4&gt;ProjectLife,'Project Assumptions'!$C$61,"")</f>
        <v/>
      </c>
      <c r="V47" s="555" t="str">
        <f aca="false">IF('PPA Assumptions &amp; Summary'!V4&gt;ProjectLife,'Project Assumptions'!$C$61,"")</f>
        <v/>
      </c>
      <c r="W47" s="556"/>
      <c r="X47" s="545"/>
      <c r="Y47" s="546"/>
      <c r="Z47" s="546"/>
    </row>
    <row r="49" customFormat="false" ht="12.75" hidden="false" customHeight="false" outlineLevel="0" collapsed="false">
      <c r="W49" s="557" t="e">
        <f aca="false">'Project Assumptions'!$N$60*'Maintainance Reserves'!W7*Operations!W44/1000*'Project Assumptions'!$I$8</f>
        <v>#VALUE!</v>
      </c>
      <c r="X49" s="557" t="n">
        <f aca="false">'Project Assumptions'!$N$60*'Maintainance Reserves'!Y7*Operations!X44/1000*'Project Assumptions'!$I$8</f>
        <v>0</v>
      </c>
      <c r="Y49" s="558" t="n">
        <f aca="false">'Project Assumptions'!$N$60*'Maintainance Reserves'!Z7*Operations!Y44/1000*'Project Assumptions'!$I$8</f>
        <v>0</v>
      </c>
    </row>
    <row r="70" customFormat="false" ht="12.75" hidden="false" customHeight="false" outlineLevel="0" collapsed="false">
      <c r="C70" s="559"/>
      <c r="D70" s="559"/>
      <c r="E70" s="559"/>
      <c r="F70" s="559"/>
      <c r="G70" s="559"/>
      <c r="H70" s="559"/>
      <c r="I70" s="559"/>
      <c r="J70" s="559"/>
    </row>
    <row r="72" customFormat="false" ht="12.6" hidden="false" customHeight="true" outlineLevel="0" collapsed="false"/>
  </sheetData>
  <printOptions headings="false" gridLines="false" gridLinesSet="true" horizontalCentered="false" verticalCentered="false"/>
  <pageMargins left="0.5" right="0.5" top="0.984027777777778" bottom="0.984027777777778"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&amp;L&amp;D   &amp;T&amp;R&amp;F
&amp;A &amp;P</oddFooter>
  </headerFooter>
  <colBreaks count="1" manualBreakCount="1">
    <brk id="22" man="true" max="65535" min="0"/>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A2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5" width="25.99"/>
    <col collapsed="false" customWidth="true" hidden="false" outlineLevel="0" max="3" min="2" style="5" width="12.42"/>
    <col collapsed="false" customWidth="true" hidden="false" outlineLevel="0" max="4" min="4" style="5" width="5.71"/>
    <col collapsed="false" customWidth="true" hidden="false" outlineLevel="0" max="12" min="5" style="5" width="11.42"/>
    <col collapsed="false" customWidth="true" hidden="false" outlineLevel="0" max="13" min="13" style="5" width="9.85"/>
    <col collapsed="false" customWidth="true" hidden="false" outlineLevel="0" max="28" min="14" style="5" width="11.42"/>
    <col collapsed="false" customWidth="true" hidden="false" outlineLevel="0" max="29" min="29" style="0" width="11.42"/>
  </cols>
  <sheetData>
    <row r="1" customFormat="false" ht="20.25" hidden="false" customHeight="false" outlineLevel="0" collapsed="false">
      <c r="A1" s="368" t="str">
        <f aca="false">'Project Assumptions'!$A$2</f>
        <v>CALEDONIA, Lowndes County, MS</v>
      </c>
      <c r="B1" s="369"/>
      <c r="C1" s="370"/>
    </row>
    <row r="2" customFormat="false" ht="15.6" hidden="false" customHeight="true" outlineLevel="0" collapsed="false">
      <c r="A2" s="371" t="s">
        <v>442</v>
      </c>
      <c r="B2" s="372"/>
      <c r="C2" s="374"/>
      <c r="E2" s="450"/>
    </row>
    <row r="3" customFormat="false" ht="12.6" hidden="false" customHeight="true" outlineLevel="0" collapsed="false">
      <c r="A3" s="26"/>
      <c r="B3" s="1"/>
      <c r="C3" s="1"/>
      <c r="D3" s="1"/>
      <c r="E3" s="560" t="n">
        <v>0.5</v>
      </c>
      <c r="F3" s="561" t="n">
        <f aca="false">E3+1</f>
        <v>1.5</v>
      </c>
      <c r="G3" s="561" t="n">
        <f aca="false">F3+1</f>
        <v>2.5</v>
      </c>
      <c r="H3" s="561" t="n">
        <f aca="false">G3+1</f>
        <v>3.5</v>
      </c>
      <c r="I3" s="561" t="n">
        <f aca="false">H3+1</f>
        <v>4.5</v>
      </c>
      <c r="J3" s="561" t="n">
        <f aca="false">I3+1</f>
        <v>5.5</v>
      </c>
      <c r="K3" s="561" t="n">
        <f aca="false">J3+1</f>
        <v>6.5</v>
      </c>
      <c r="L3" s="561" t="n">
        <f aca="false">K3+1</f>
        <v>7.5</v>
      </c>
      <c r="M3" s="561" t="n">
        <f aca="false">L3+1</f>
        <v>8.5</v>
      </c>
      <c r="N3" s="561" t="n">
        <f aca="false">M3+1</f>
        <v>9.5</v>
      </c>
      <c r="O3" s="561" t="n">
        <f aca="false">N3+1</f>
        <v>10.5</v>
      </c>
      <c r="P3" s="561" t="n">
        <f aca="false">O3+1</f>
        <v>11.5</v>
      </c>
      <c r="Q3" s="561" t="n">
        <f aca="false">P3+1</f>
        <v>12.5</v>
      </c>
      <c r="R3" s="561" t="n">
        <f aca="false">Q3+1</f>
        <v>13.5</v>
      </c>
      <c r="S3" s="561" t="n">
        <f aca="false">R3+1</f>
        <v>14.5</v>
      </c>
      <c r="T3" s="561" t="n">
        <f aca="false">S3+1</f>
        <v>15.5</v>
      </c>
      <c r="U3" s="561" t="n">
        <f aca="false">T3+1</f>
        <v>16.5</v>
      </c>
      <c r="V3" s="561" t="n">
        <f aca="false">U3+1</f>
        <v>17.5</v>
      </c>
      <c r="W3" s="561" t="n">
        <f aca="false">V3+1</f>
        <v>18.5</v>
      </c>
      <c r="X3" s="561" t="n">
        <f aca="false">W3+1</f>
        <v>19.5</v>
      </c>
      <c r="Y3" s="561" t="n">
        <f aca="false">X3+1</f>
        <v>20.5</v>
      </c>
      <c r="Z3" s="1"/>
      <c r="AA3" s="1"/>
      <c r="AB3" s="1"/>
      <c r="AC3" s="548"/>
    </row>
    <row r="4" customFormat="false" ht="12.6" hidden="false" customHeight="true" outlineLevel="0" collapsed="false">
      <c r="A4" s="562"/>
      <c r="B4" s="380"/>
      <c r="C4" s="380"/>
      <c r="D4" s="500"/>
      <c r="E4" s="500" t="n">
        <f aca="false">'Book Income Statement'!D3</f>
        <v>1</v>
      </c>
      <c r="F4" s="500" t="n">
        <f aca="false">'Book Income Statement'!E3</f>
        <v>2</v>
      </c>
      <c r="G4" s="500" t="n">
        <f aca="false">'Book Income Statement'!F3</f>
        <v>3</v>
      </c>
      <c r="H4" s="500" t="n">
        <f aca="false">'Book Income Statement'!G3</f>
        <v>4</v>
      </c>
      <c r="I4" s="500" t="n">
        <f aca="false">'Book Income Statement'!H3</f>
        <v>5</v>
      </c>
      <c r="J4" s="500" t="n">
        <f aca="false">'Book Income Statement'!I3</f>
        <v>6</v>
      </c>
      <c r="K4" s="500" t="n">
        <f aca="false">'Book Income Statement'!J3</f>
        <v>7</v>
      </c>
      <c r="L4" s="500" t="n">
        <f aca="false">'Book Income Statement'!K3</f>
        <v>8</v>
      </c>
      <c r="M4" s="500" t="n">
        <f aca="false">'Book Income Statement'!L3</f>
        <v>9</v>
      </c>
      <c r="N4" s="500" t="n">
        <f aca="false">'Book Income Statement'!M3</f>
        <v>10</v>
      </c>
      <c r="O4" s="500" t="n">
        <f aca="false">'Book Income Statement'!N3</f>
        <v>11</v>
      </c>
      <c r="P4" s="500" t="n">
        <f aca="false">'Book Income Statement'!O3</f>
        <v>12</v>
      </c>
      <c r="Q4" s="500" t="n">
        <f aca="false">'Book Income Statement'!P3</f>
        <v>13</v>
      </c>
      <c r="R4" s="500" t="n">
        <f aca="false">'Book Income Statement'!Q3</f>
        <v>14</v>
      </c>
      <c r="S4" s="500" t="n">
        <f aca="false">'Book Income Statement'!R3</f>
        <v>15</v>
      </c>
      <c r="T4" s="500" t="n">
        <f aca="false">'Book Income Statement'!S3</f>
        <v>16</v>
      </c>
      <c r="U4" s="500" t="n">
        <f aca="false">'Book Income Statement'!T3</f>
        <v>17</v>
      </c>
      <c r="V4" s="500" t="n">
        <f aca="false">'Book Income Statement'!U3</f>
        <v>18</v>
      </c>
      <c r="W4" s="500" t="n">
        <f aca="false">'Book Income Statement'!V3</f>
        <v>19</v>
      </c>
      <c r="X4" s="500" t="n">
        <f aca="false">'Book Income Statement'!W3</f>
        <v>20</v>
      </c>
      <c r="Y4" s="563" t="n">
        <f aca="false">'Book Income Statement'!X3</f>
        <v>21</v>
      </c>
      <c r="Z4" s="450"/>
      <c r="AA4" s="450"/>
      <c r="AB4" s="450"/>
      <c r="AC4" s="564"/>
    </row>
    <row r="5" customFormat="false" ht="12.6" hidden="false" customHeight="true" outlineLevel="0" collapsed="false">
      <c r="A5" s="565"/>
      <c r="B5" s="566"/>
      <c r="C5" s="450"/>
      <c r="D5" s="450"/>
      <c r="E5" s="567" t="n">
        <f aca="false">YEAR('Project Assumptions'!$I$17)</f>
        <v>1999</v>
      </c>
      <c r="F5" s="567" t="n">
        <f aca="false">E5+1</f>
        <v>2000</v>
      </c>
      <c r="G5" s="567" t="n">
        <f aca="false">F5+1</f>
        <v>2001</v>
      </c>
      <c r="H5" s="567" t="n">
        <f aca="false">G5+1</f>
        <v>2002</v>
      </c>
      <c r="I5" s="567" t="n">
        <f aca="false">H5+1</f>
        <v>2003</v>
      </c>
      <c r="J5" s="567" t="n">
        <f aca="false">I5+1</f>
        <v>2004</v>
      </c>
      <c r="K5" s="567" t="n">
        <f aca="false">J5+1</f>
        <v>2005</v>
      </c>
      <c r="L5" s="567" t="n">
        <f aca="false">K5+1</f>
        <v>2006</v>
      </c>
      <c r="M5" s="567" t="n">
        <f aca="false">L5+1</f>
        <v>2007</v>
      </c>
      <c r="N5" s="567" t="n">
        <f aca="false">M5+1</f>
        <v>2008</v>
      </c>
      <c r="O5" s="567" t="n">
        <f aca="false">N5+1</f>
        <v>2009</v>
      </c>
      <c r="P5" s="567" t="n">
        <f aca="false">O5+1</f>
        <v>2010</v>
      </c>
      <c r="Q5" s="567" t="n">
        <f aca="false">P5+1</f>
        <v>2011</v>
      </c>
      <c r="R5" s="567" t="n">
        <f aca="false">Q5+1</f>
        <v>2012</v>
      </c>
      <c r="S5" s="567" t="n">
        <f aca="false">R5+1</f>
        <v>2013</v>
      </c>
      <c r="T5" s="567" t="n">
        <f aca="false">S5+1</f>
        <v>2014</v>
      </c>
      <c r="U5" s="567" t="n">
        <f aca="false">T5+1</f>
        <v>2015</v>
      </c>
      <c r="V5" s="567" t="n">
        <f aca="false">U5+1</f>
        <v>2016</v>
      </c>
      <c r="W5" s="567" t="n">
        <f aca="false">V5+1</f>
        <v>2017</v>
      </c>
      <c r="X5" s="567" t="n">
        <f aca="false">W5+1</f>
        <v>2018</v>
      </c>
      <c r="Y5" s="568" t="n">
        <f aca="false">X5+1</f>
        <v>2019</v>
      </c>
      <c r="Z5" s="569"/>
      <c r="AA5" s="569"/>
      <c r="AB5" s="569"/>
      <c r="AC5" s="570"/>
      <c r="AD5" s="503"/>
      <c r="AE5" s="503"/>
      <c r="AF5" s="503"/>
      <c r="AG5" s="503"/>
      <c r="AH5" s="503"/>
      <c r="AI5" s="503"/>
      <c r="AJ5" s="503"/>
      <c r="AK5" s="503"/>
      <c r="AL5" s="503"/>
      <c r="AM5" s="503"/>
      <c r="AN5" s="503"/>
      <c r="AO5" s="503"/>
      <c r="AP5" s="503"/>
      <c r="AQ5" s="503"/>
      <c r="AR5" s="503"/>
      <c r="AS5" s="503"/>
      <c r="AT5" s="503"/>
      <c r="AU5" s="503"/>
      <c r="AV5" s="503"/>
      <c r="AW5" s="503"/>
      <c r="AX5" s="503"/>
      <c r="AY5" s="503"/>
      <c r="AZ5" s="503"/>
      <c r="BA5" s="503"/>
    </row>
    <row r="6" customFormat="false" ht="12.6" hidden="false" customHeight="true" outlineLevel="0" collapsed="false">
      <c r="A6" s="384" t="s">
        <v>443</v>
      </c>
      <c r="B6" s="571"/>
      <c r="C6" s="571"/>
      <c r="D6" s="572"/>
      <c r="E6" s="573" t="n">
        <f aca="false">'Book Income Statement'!D61</f>
        <v>8065.31652147059</v>
      </c>
      <c r="F6" s="573" t="n">
        <f aca="false">'Book Income Statement'!E61</f>
        <v>19235.4282899612</v>
      </c>
      <c r="G6" s="573" t="n">
        <f aca="false">'Book Income Statement'!F61</f>
        <v>19490.98026574</v>
      </c>
      <c r="H6" s="573" t="n">
        <f aca="false">'Book Income Statement'!G61</f>
        <v>19444.8659743083</v>
      </c>
      <c r="I6" s="573" t="n">
        <f aca="false">'Book Income Statement'!H61</f>
        <v>25069.7937299641</v>
      </c>
      <c r="J6" s="573" t="n">
        <f aca="false">'Book Income Statement'!I61</f>
        <v>29449.203233183</v>
      </c>
      <c r="K6" s="573" t="n">
        <f aca="false">'Book Income Statement'!J61</f>
        <v>29763.7241658887</v>
      </c>
      <c r="L6" s="573" t="n">
        <f aca="false">'Book Income Statement'!K61</f>
        <v>30075.0498787979</v>
      </c>
      <c r="M6" s="573" t="n">
        <f aca="false">'Book Income Statement'!L61</f>
        <v>31007.8988980011</v>
      </c>
      <c r="N6" s="573" t="n">
        <f aca="false">'Book Income Statement'!M61</f>
        <v>31318.238992447</v>
      </c>
      <c r="O6" s="573" t="n">
        <f aca="false">'Book Income Statement'!N61</f>
        <v>32292.9323136725</v>
      </c>
      <c r="P6" s="573" t="n">
        <f aca="false">'Book Income Statement'!O61</f>
        <v>31807.8373597114</v>
      </c>
      <c r="Q6" s="573" t="n">
        <f aca="false">'Book Income Statement'!P61</f>
        <v>32880.8690215657</v>
      </c>
      <c r="R6" s="573" t="n">
        <f aca="false">'Book Income Statement'!Q61</f>
        <v>33268.6614847461</v>
      </c>
      <c r="S6" s="573" t="n">
        <f aca="false">'Book Income Statement'!R61</f>
        <v>33643.1450252444</v>
      </c>
      <c r="T6" s="573" t="n">
        <f aca="false">'Book Income Statement'!S61</f>
        <v>34003.2619576333</v>
      </c>
      <c r="U6" s="573" t="n">
        <f aca="false">'Book Income Statement'!T61</f>
        <v>34381.1857617769</v>
      </c>
      <c r="V6" s="573" t="n">
        <f aca="false">'Book Income Statement'!U61</f>
        <v>34759.1123247955</v>
      </c>
      <c r="W6" s="573" t="n">
        <f aca="false">'Book Income Statement'!V61</f>
        <v>35119.1816946874</v>
      </c>
      <c r="X6" s="573" t="n">
        <f aca="false">'Book Income Statement'!W61</f>
        <v>35360.2691555253</v>
      </c>
      <c r="Y6" s="574" t="n">
        <f aca="false">'Book Income Statement'!X61</f>
        <v>35530.961374348</v>
      </c>
      <c r="Z6" s="573"/>
      <c r="AA6" s="573"/>
      <c r="AB6" s="573"/>
      <c r="AC6" s="575"/>
      <c r="AF6" s="576"/>
    </row>
    <row r="7" customFormat="false" ht="12.6" hidden="false" customHeight="true" outlineLevel="0" collapsed="false">
      <c r="A7" s="417"/>
      <c r="B7" s="577"/>
      <c r="C7" s="450"/>
      <c r="D7" s="418"/>
      <c r="E7" s="418"/>
      <c r="F7" s="418"/>
      <c r="G7" s="418"/>
      <c r="H7" s="418"/>
      <c r="I7" s="418"/>
      <c r="J7" s="418"/>
      <c r="K7" s="418"/>
      <c r="L7" s="418"/>
      <c r="M7" s="418"/>
      <c r="N7" s="418"/>
      <c r="O7" s="418"/>
      <c r="P7" s="418"/>
      <c r="Q7" s="418"/>
      <c r="R7" s="418"/>
      <c r="S7" s="418"/>
      <c r="T7" s="418"/>
      <c r="U7" s="418"/>
      <c r="V7" s="418"/>
      <c r="W7" s="418"/>
      <c r="X7" s="418"/>
      <c r="Y7" s="508"/>
      <c r="Z7" s="418"/>
      <c r="AA7" s="418"/>
      <c r="AB7" s="418"/>
      <c r="AC7" s="578"/>
      <c r="AE7" s="576"/>
    </row>
    <row r="8" customFormat="false" ht="12.75" hidden="false" customHeight="false" outlineLevel="0" collapsed="false">
      <c r="A8" s="579" t="s">
        <v>444</v>
      </c>
      <c r="B8" s="376"/>
      <c r="C8" s="376"/>
      <c r="D8" s="376"/>
      <c r="E8" s="580" t="n">
        <f aca="false">IF(E4&lt;=PPAterm,'Project Assumptions'!$F$42,0)</f>
        <v>1.5</v>
      </c>
      <c r="F8" s="580" t="n">
        <f aca="false">IF(F4&lt;=PPAterm,'Project Assumptions'!$F$42,0)</f>
        <v>1.5</v>
      </c>
      <c r="G8" s="580" t="n">
        <f aca="false">IF(G4&lt;=PPAterm,'Project Assumptions'!$F$42,0)</f>
        <v>1.5</v>
      </c>
      <c r="H8" s="580" t="n">
        <f aca="false">IF(H4&lt;=PPAterm,'Project Assumptions'!$F$42,0)</f>
        <v>1.5</v>
      </c>
      <c r="I8" s="580" t="n">
        <f aca="false">IF(I4&lt;=PPAterm,'Project Assumptions'!$F$42,0)</f>
        <v>0</v>
      </c>
      <c r="J8" s="580" t="n">
        <f aca="false">IF(J4&lt;=PPAterm,'Project Assumptions'!$F$42,0)</f>
        <v>0</v>
      </c>
      <c r="K8" s="580" t="n">
        <f aca="false">IF(K4&lt;=PPAterm,'Project Assumptions'!$F$42,0)</f>
        <v>0</v>
      </c>
      <c r="L8" s="580" t="n">
        <f aca="false">IF(L4&lt;=PPAterm,'Project Assumptions'!$F$42,0)</f>
        <v>0</v>
      </c>
      <c r="M8" s="580" t="n">
        <f aca="false">IF(M4&lt;=PPAterm,'Project Assumptions'!$F$42,0)</f>
        <v>0</v>
      </c>
      <c r="N8" s="580" t="n">
        <f aca="false">IF(N4&lt;=PPAterm,'Project Assumptions'!$F$42,0)</f>
        <v>0</v>
      </c>
      <c r="O8" s="580" t="n">
        <f aca="false">IF(O4&lt;=PPAterm,'Project Assumptions'!$F$42,0)</f>
        <v>0</v>
      </c>
      <c r="P8" s="580" t="n">
        <f aca="false">IF(P4&lt;=PPAterm,'Project Assumptions'!$F$42,0)</f>
        <v>0</v>
      </c>
      <c r="Q8" s="580" t="n">
        <f aca="false">IF(Q4&lt;=PPAterm,'Project Assumptions'!$F$42,0)</f>
        <v>0</v>
      </c>
      <c r="R8" s="580" t="n">
        <f aca="false">IF(R4&lt;=PPAterm,'Project Assumptions'!$F$42,0)</f>
        <v>0</v>
      </c>
      <c r="S8" s="580" t="n">
        <f aca="false">IF(S4&lt;=PPAterm,'Project Assumptions'!$F$42,0)</f>
        <v>0</v>
      </c>
      <c r="T8" s="580" t="n">
        <f aca="false">IF(T4&lt;=PPAterm,'Project Assumptions'!$F$42,0)</f>
        <v>0</v>
      </c>
      <c r="U8" s="580" t="n">
        <f aca="false">IF(U4&lt;=PPAterm,'Project Assumptions'!$F$42,0)</f>
        <v>0</v>
      </c>
      <c r="V8" s="580" t="n">
        <f aca="false">IF(V4&lt;=PPAterm,'Project Assumptions'!$F$42,0)</f>
        <v>0</v>
      </c>
      <c r="W8" s="580" t="n">
        <f aca="false">IF(W4&lt;=PPAterm,'Project Assumptions'!$F$42,0)</f>
        <v>0</v>
      </c>
      <c r="X8" s="580" t="n">
        <f aca="false">IF(X4&lt;=PPAterm,'Project Assumptions'!$F$42,0)</f>
        <v>0</v>
      </c>
      <c r="Y8" s="581" t="n">
        <f aca="false">IF(Y4&lt;=PPAterm,'Project Assumptions'!$F$42,0)</f>
        <v>0</v>
      </c>
      <c r="Z8" s="580"/>
      <c r="AA8" s="580"/>
      <c r="AB8" s="580"/>
      <c r="AC8" s="582"/>
      <c r="AD8" s="583"/>
    </row>
    <row r="9" customFormat="false" ht="12.75" hidden="false" customHeight="false" outlineLevel="0" collapsed="false">
      <c r="A9" s="579" t="s">
        <v>445</v>
      </c>
      <c r="B9" s="376"/>
      <c r="C9" s="376"/>
      <c r="D9" s="376"/>
      <c r="E9" s="580" t="n">
        <f aca="false">IF(AND(E4&gt;PPAterm,E4&lt;='Project Assumptions'!$G$40),'Project Assumptions'!$G$42,0)</f>
        <v>0</v>
      </c>
      <c r="F9" s="580" t="n">
        <f aca="false">IF(AND(F4&gt;PPAterm,F4&lt;='Project Assumptions'!$G$40),'Project Assumptions'!$G$42,0)</f>
        <v>0</v>
      </c>
      <c r="G9" s="580" t="n">
        <f aca="false">IF(AND(G4&gt;PPAterm,G4&lt;='Project Assumptions'!$G$40),'Project Assumptions'!$G$42,0)</f>
        <v>0</v>
      </c>
      <c r="H9" s="580" t="n">
        <f aca="false">IF(AND(H4&gt;PPAterm,H4&lt;='Project Assumptions'!$G$40),'Project Assumptions'!$G$42,0)</f>
        <v>0</v>
      </c>
      <c r="I9" s="580" t="n">
        <f aca="false">IF(AND(I4&gt;PPAterm,I4&lt;='Project Assumptions'!$G$40),'Project Assumptions'!$G$42,0)</f>
        <v>2.5</v>
      </c>
      <c r="J9" s="580" t="n">
        <f aca="false">IF(AND(J4&gt;PPAterm,J4&lt;='Project Assumptions'!$G$40),'Project Assumptions'!$G$42,0)</f>
        <v>2.5</v>
      </c>
      <c r="K9" s="580" t="n">
        <f aca="false">IF(AND(K4&gt;PPAterm,K4&lt;='Project Assumptions'!$G$40),'Project Assumptions'!$G$42,0)</f>
        <v>2.5</v>
      </c>
      <c r="L9" s="580" t="n">
        <f aca="false">IF(AND(L4&gt;PPAterm,L4&lt;='Project Assumptions'!$G$40),'Project Assumptions'!$G$42,0)</f>
        <v>2.5</v>
      </c>
      <c r="M9" s="580" t="n">
        <f aca="false">IF(AND(M4&gt;PPAterm,M4&lt;='Project Assumptions'!$G$40),'Project Assumptions'!$G$42,0)</f>
        <v>2.5</v>
      </c>
      <c r="N9" s="580" t="n">
        <f aca="false">IF(AND(N4&gt;PPAterm,N4&lt;='Project Assumptions'!$G$40),'Project Assumptions'!$G$42,0)</f>
        <v>2.5</v>
      </c>
      <c r="O9" s="580" t="n">
        <f aca="false">IF(AND(O4&gt;PPAterm,O4&lt;='Project Assumptions'!$G$40),'Project Assumptions'!$G$42,0)</f>
        <v>0</v>
      </c>
      <c r="P9" s="580" t="n">
        <f aca="false">IF(AND(P4&gt;PPAterm,P4&lt;='Project Assumptions'!$G$40),'Project Assumptions'!$G$42,0)</f>
        <v>0</v>
      </c>
      <c r="Q9" s="580" t="n">
        <f aca="false">IF(AND(Q4&gt;PPAterm,Q4&lt;='Project Assumptions'!$G$40),'Project Assumptions'!$G$42,0)</f>
        <v>0</v>
      </c>
      <c r="R9" s="580" t="n">
        <f aca="false">IF(AND(R4&gt;PPAterm,R4&lt;='Project Assumptions'!$G$40),'Project Assumptions'!$G$42,0)</f>
        <v>0</v>
      </c>
      <c r="S9" s="580" t="n">
        <f aca="false">IF(AND(S4&gt;PPAterm,S4&lt;='Project Assumptions'!$G$40),'Project Assumptions'!$G$42,0)</f>
        <v>0</v>
      </c>
      <c r="T9" s="580" t="n">
        <f aca="false">IF(AND(T4&gt;PPAterm,T4&lt;='Project Assumptions'!$G$40),'Project Assumptions'!$G$42,0)</f>
        <v>0</v>
      </c>
      <c r="U9" s="580" t="n">
        <f aca="false">IF(AND(U4&gt;PPAterm,U4&lt;='Project Assumptions'!$G$40),'Project Assumptions'!$G$42,0)</f>
        <v>0</v>
      </c>
      <c r="V9" s="580" t="n">
        <f aca="false">IF(AND(V4&gt;PPAterm,V4&lt;='Project Assumptions'!$G$40),'Project Assumptions'!$G$42,0)</f>
        <v>0</v>
      </c>
      <c r="W9" s="580" t="n">
        <f aca="false">IF(AND(W4&gt;PPAterm,W4&lt;='Project Assumptions'!$G$40),'Project Assumptions'!$G$42,0)</f>
        <v>0</v>
      </c>
      <c r="X9" s="580" t="n">
        <f aca="false">IF(AND(X4&gt;PPAterm,X4&lt;='Project Assumptions'!$G$40),'Project Assumptions'!$G$42,0)</f>
        <v>0</v>
      </c>
      <c r="Y9" s="581" t="n">
        <f aca="false">IF(AND(Y4&gt;PPAterm,Y4&lt;='Project Assumptions'!$G$40),'Project Assumptions'!$G$42,0)</f>
        <v>0</v>
      </c>
      <c r="Z9" s="580"/>
      <c r="AA9" s="580"/>
      <c r="AB9" s="580"/>
      <c r="AC9" s="582"/>
      <c r="AD9" s="583"/>
    </row>
    <row r="10" customFormat="false" ht="12.75" hidden="false" customHeight="false" outlineLevel="0" collapsed="false">
      <c r="A10" s="579" t="s">
        <v>446</v>
      </c>
      <c r="B10" s="376"/>
      <c r="C10" s="376"/>
      <c r="D10" s="376"/>
      <c r="E10" s="580" t="n">
        <f aca="false">IF(AND(E4&gt;'Project Assumptions'!$G$40,E4&lt;='Project Assumptions'!$H$40),'Project Assumptions'!$H$42,0)</f>
        <v>0</v>
      </c>
      <c r="F10" s="580" t="n">
        <f aca="false">IF(AND(F4&gt;'Project Assumptions'!$G$40,F4&lt;='Project Assumptions'!$H$40),'Project Assumptions'!$H$42,0)</f>
        <v>0</v>
      </c>
      <c r="G10" s="580" t="n">
        <f aca="false">IF(AND(G4&gt;'Project Assumptions'!$G$40,G4&lt;='Project Assumptions'!$H$40),'Project Assumptions'!$H$42,0)</f>
        <v>0</v>
      </c>
      <c r="H10" s="580" t="n">
        <f aca="false">IF(AND(H4&gt;'Project Assumptions'!$G$40,H4&lt;='Project Assumptions'!$H$40),'Project Assumptions'!$H$42,0)</f>
        <v>0</v>
      </c>
      <c r="I10" s="580" t="n">
        <f aca="false">IF(AND(I4&gt;'Project Assumptions'!$G$40,I4&lt;='Project Assumptions'!$H$40),'Project Assumptions'!$H$42,0)</f>
        <v>0</v>
      </c>
      <c r="J10" s="580" t="n">
        <f aca="false">IF(AND(J4&gt;'Project Assumptions'!$G$40,J4&lt;='Project Assumptions'!$H$40),'Project Assumptions'!$H$42,0)</f>
        <v>0</v>
      </c>
      <c r="K10" s="580" t="n">
        <f aca="false">IF(AND(K4&gt;'Project Assumptions'!$G$40,K4&lt;='Project Assumptions'!$H$40),'Project Assumptions'!$H$42,0)</f>
        <v>0</v>
      </c>
      <c r="L10" s="580" t="n">
        <f aca="false">IF(AND(L4&gt;'Project Assumptions'!$G$40,L4&lt;='Project Assumptions'!$H$40),'Project Assumptions'!$H$42,0)</f>
        <v>0</v>
      </c>
      <c r="M10" s="580" t="n">
        <f aca="false">IF(AND(M4&gt;'Project Assumptions'!$G$40,M4&lt;='Project Assumptions'!$H$40),'Project Assumptions'!$H$42,0)</f>
        <v>0</v>
      </c>
      <c r="N10" s="580" t="n">
        <f aca="false">IF(AND(N4&gt;'Project Assumptions'!$G$40,N4&lt;='Project Assumptions'!$H$40),'Project Assumptions'!$H$42,0)</f>
        <v>0</v>
      </c>
      <c r="O10" s="580" t="n">
        <f aca="false">IF(AND(O4&gt;'Project Assumptions'!$G$40,O4&lt;='Project Assumptions'!$H$40),'Project Assumptions'!$H$42,0)</f>
        <v>2.5</v>
      </c>
      <c r="P10" s="580" t="n">
        <f aca="false">IF(AND(P4&gt;'Project Assumptions'!$G$40,P4&lt;='Project Assumptions'!$H$40),'Project Assumptions'!$H$42,0)</f>
        <v>2.5</v>
      </c>
      <c r="Q10" s="580" t="n">
        <f aca="false">IF(AND(Q4&gt;'Project Assumptions'!$G$40,Q4&lt;='Project Assumptions'!$H$40),'Project Assumptions'!$H$42,0)</f>
        <v>2.5</v>
      </c>
      <c r="R10" s="580" t="n">
        <f aca="false">IF(AND(R4&gt;'Project Assumptions'!$G$40,R4&lt;='Project Assumptions'!$H$40),'Project Assumptions'!$H$42,0)</f>
        <v>2.5</v>
      </c>
      <c r="S10" s="580" t="n">
        <f aca="false">IF(AND(S4&gt;'Project Assumptions'!$G$40,S4&lt;='Project Assumptions'!$H$40),'Project Assumptions'!$H$42,0)</f>
        <v>2.5</v>
      </c>
      <c r="T10" s="580" t="n">
        <f aca="false">IF(AND(T4&gt;'Project Assumptions'!$G$40,T4&lt;='Project Assumptions'!$H$40),'Project Assumptions'!$H$42,0)</f>
        <v>2.5</v>
      </c>
      <c r="U10" s="580" t="n">
        <f aca="false">IF(AND(U4&gt;'Project Assumptions'!$G$40,U4&lt;='Project Assumptions'!$H$40),'Project Assumptions'!$H$42,0)</f>
        <v>2.5</v>
      </c>
      <c r="V10" s="580" t="n">
        <f aca="false">IF(AND(V4&gt;'Project Assumptions'!$G$40,V4&lt;='Project Assumptions'!$H$40),'Project Assumptions'!$H$42,0)</f>
        <v>2.5</v>
      </c>
      <c r="W10" s="580" t="n">
        <f aca="false">IF(AND(W4&gt;'Project Assumptions'!$G$40,W4&lt;='Project Assumptions'!$H$40),'Project Assumptions'!$H$42,0)</f>
        <v>2.5</v>
      </c>
      <c r="X10" s="580" t="n">
        <f aca="false">IF(AND(X4&gt;'Project Assumptions'!$G$40,X4&lt;='Project Assumptions'!$H$40),'Project Assumptions'!$H$42,0)</f>
        <v>2.5</v>
      </c>
      <c r="Y10" s="581" t="n">
        <f aca="false">IF(AND(Y4&gt;'Project Assumptions'!$G$40,Y4&lt;='Project Assumptions'!$H$40),'Project Assumptions'!$H$42,0)</f>
        <v>0</v>
      </c>
      <c r="Z10" s="580"/>
      <c r="AA10" s="580"/>
      <c r="AB10" s="580"/>
      <c r="AC10" s="582"/>
      <c r="AD10" s="583"/>
    </row>
    <row r="11" customFormat="false" ht="12.75" hidden="false" customHeight="false" outlineLevel="0" collapsed="false">
      <c r="A11" s="579"/>
      <c r="B11" s="376"/>
      <c r="C11" s="376"/>
      <c r="D11" s="376"/>
      <c r="E11" s="580"/>
      <c r="F11" s="580"/>
      <c r="G11" s="580"/>
      <c r="H11" s="580"/>
      <c r="I11" s="580"/>
      <c r="J11" s="580"/>
      <c r="K11" s="580"/>
      <c r="L11" s="580"/>
      <c r="M11" s="580"/>
      <c r="N11" s="580"/>
      <c r="O11" s="580"/>
      <c r="P11" s="580"/>
      <c r="Q11" s="580"/>
      <c r="R11" s="580"/>
      <c r="S11" s="580"/>
      <c r="T11" s="580"/>
      <c r="U11" s="580"/>
      <c r="V11" s="580"/>
      <c r="W11" s="580"/>
      <c r="X11" s="580"/>
      <c r="Y11" s="581"/>
      <c r="Z11" s="580"/>
      <c r="AA11" s="580"/>
      <c r="AB11" s="580"/>
      <c r="AC11" s="582"/>
      <c r="AD11" s="583"/>
    </row>
    <row r="12" customFormat="false" ht="12.75" hidden="false" customHeight="false" outlineLevel="0" collapsed="false">
      <c r="A12" s="579" t="s">
        <v>447</v>
      </c>
      <c r="B12" s="376"/>
      <c r="C12" s="376"/>
      <c r="D12" s="376"/>
      <c r="E12" s="473" t="n">
        <f aca="false">IF(E4&lt;=PPAterm,'Project Assumptions'!$F$41,0)</f>
        <v>0.0673</v>
      </c>
      <c r="F12" s="473" t="n">
        <f aca="false">IF(F4&lt;=PPAterm,'Project Assumptions'!$F$41,0)</f>
        <v>0.0673</v>
      </c>
      <c r="G12" s="473" t="n">
        <f aca="false">IF(G4&lt;=PPAterm,'Project Assumptions'!$F$41,0)</f>
        <v>0.0673</v>
      </c>
      <c r="H12" s="473" t="n">
        <f aca="false">IF(H4&lt;=PPAterm,'Project Assumptions'!$F$41,0)</f>
        <v>0.0673</v>
      </c>
      <c r="I12" s="473" t="n">
        <f aca="false">IF(I4&lt;=PPAterm,'Project Assumptions'!$F$41,0)</f>
        <v>0</v>
      </c>
      <c r="J12" s="473" t="n">
        <f aca="false">IF(J4&lt;=PPAterm,'Project Assumptions'!$F$41,0)</f>
        <v>0</v>
      </c>
      <c r="K12" s="473" t="n">
        <f aca="false">IF(K4&lt;=PPAterm,'Project Assumptions'!$F$41,0)</f>
        <v>0</v>
      </c>
      <c r="L12" s="473" t="n">
        <f aca="false">IF(L4&lt;=PPAterm,'Project Assumptions'!$F$41,0)</f>
        <v>0</v>
      </c>
      <c r="M12" s="473" t="n">
        <f aca="false">IF(M4&lt;=PPAterm,'Project Assumptions'!$F$41,0)</f>
        <v>0</v>
      </c>
      <c r="N12" s="473" t="n">
        <f aca="false">IF(N4&lt;=PPAterm,'Project Assumptions'!$F$41,0)</f>
        <v>0</v>
      </c>
      <c r="O12" s="473" t="n">
        <f aca="false">IF(O4&lt;=PPAterm,'Project Assumptions'!$F$41,0)</f>
        <v>0</v>
      </c>
      <c r="P12" s="473" t="n">
        <f aca="false">IF(P4&lt;=PPAterm,'Project Assumptions'!$F$41,0)</f>
        <v>0</v>
      </c>
      <c r="Q12" s="473" t="n">
        <f aca="false">IF(Q4&lt;=PPAterm,'Project Assumptions'!$F$41,0)</f>
        <v>0</v>
      </c>
      <c r="R12" s="473" t="n">
        <f aca="false">IF(R4&lt;=PPAterm,'Project Assumptions'!$F$41,0)</f>
        <v>0</v>
      </c>
      <c r="S12" s="473" t="n">
        <f aca="false">IF(S4&lt;=PPAterm,'Project Assumptions'!$F$41,0)</f>
        <v>0</v>
      </c>
      <c r="T12" s="473" t="n">
        <f aca="false">IF(T4&lt;=PPAterm,'Project Assumptions'!$F$41,0)</f>
        <v>0</v>
      </c>
      <c r="U12" s="473" t="n">
        <f aca="false">IF(U4&lt;=PPAterm,'Project Assumptions'!$F$41,0)</f>
        <v>0</v>
      </c>
      <c r="V12" s="473" t="n">
        <f aca="false">IF(V4&lt;=PPAterm,'Project Assumptions'!$F$41,0)</f>
        <v>0</v>
      </c>
      <c r="W12" s="473" t="n">
        <f aca="false">IF(W4&lt;=PPAterm,'Project Assumptions'!$F$41,0)</f>
        <v>0</v>
      </c>
      <c r="X12" s="473" t="n">
        <f aca="false">IF(X4&lt;=PPAterm,'Project Assumptions'!$F$41,0)</f>
        <v>0</v>
      </c>
      <c r="Y12" s="584" t="n">
        <f aca="false">IF(Y4&lt;=PPAterm,'Project Assumptions'!$F$41,0)</f>
        <v>0</v>
      </c>
      <c r="Z12" s="473"/>
      <c r="AA12" s="473"/>
      <c r="AB12" s="473"/>
      <c r="AC12" s="585"/>
    </row>
    <row r="13" customFormat="false" ht="12.75" hidden="false" customHeight="false" outlineLevel="0" collapsed="false">
      <c r="A13" s="579" t="s">
        <v>448</v>
      </c>
      <c r="B13" s="376"/>
      <c r="C13" s="376"/>
      <c r="D13" s="376"/>
      <c r="E13" s="473" t="n">
        <f aca="false">IF('Project Assumptions'!$G$40=0,0,IF(E4&lt;=PPAterm,'Project Assumptions'!$F$41,IF(E4&lt;='Project Assumptions'!$G$40,'Project Assumptions'!$G$41,0)))</f>
        <v>0.0673</v>
      </c>
      <c r="F13" s="473" t="n">
        <f aca="false">IF('Project Assumptions'!$G$40=0,0,IF(F4&lt;=PPAterm,'Project Assumptions'!$F$41,IF(F4&lt;='Project Assumptions'!$G$40,'Project Assumptions'!$G$41,0)))</f>
        <v>0.0673</v>
      </c>
      <c r="G13" s="473" t="n">
        <f aca="false">IF('Project Assumptions'!$G$40=0,0,IF(G4&lt;=PPAterm,'Project Assumptions'!$F$41,IF(G4&lt;='Project Assumptions'!$G$40,'Project Assumptions'!$G$41,0)))</f>
        <v>0.0673</v>
      </c>
      <c r="H13" s="473" t="n">
        <f aca="false">IF('Project Assumptions'!$G$40=0,0,IF(H4&lt;=PPAterm,'Project Assumptions'!$F$41,IF(H4&lt;='Project Assumptions'!$G$40,'Project Assumptions'!$G$41,0)))</f>
        <v>0.0673</v>
      </c>
      <c r="I13" s="473" t="n">
        <f aca="false">IF('Project Assumptions'!$G$40=0,0,IF(I4&lt;=PPAterm,'Project Assumptions'!$F$41,IF(I4&lt;='Project Assumptions'!$G$40,'Project Assumptions'!$G$41,0)))</f>
        <v>0.0757</v>
      </c>
      <c r="J13" s="473" t="n">
        <f aca="false">IF('Project Assumptions'!$G$40=0,0,IF(J4&lt;=PPAterm,'Project Assumptions'!$F$41,IF(J4&lt;='Project Assumptions'!$G$40,'Project Assumptions'!$G$41,0)))</f>
        <v>0.0757</v>
      </c>
      <c r="K13" s="473" t="n">
        <f aca="false">IF('Project Assumptions'!$G$40=0,0,IF(K4&lt;=PPAterm,'Project Assumptions'!$F$41,IF(K4&lt;='Project Assumptions'!$G$40,'Project Assumptions'!$G$41,0)))</f>
        <v>0.0757</v>
      </c>
      <c r="L13" s="473" t="n">
        <f aca="false">IF('Project Assumptions'!$G$40=0,0,IF(L4&lt;=PPAterm,'Project Assumptions'!$F$41,IF(L4&lt;='Project Assumptions'!$G$40,'Project Assumptions'!$G$41,0)))</f>
        <v>0.0757</v>
      </c>
      <c r="M13" s="473" t="n">
        <f aca="false">IF('Project Assumptions'!$G$40=0,0,IF(M4&lt;=PPAterm,'Project Assumptions'!$F$41,IF(M4&lt;='Project Assumptions'!$G$40,'Project Assumptions'!$G$41,0)))</f>
        <v>0.0757</v>
      </c>
      <c r="N13" s="473" t="n">
        <f aca="false">IF('Project Assumptions'!$G$40=0,0,IF(N4&lt;=PPAterm,'Project Assumptions'!$F$41,IF(N4&lt;='Project Assumptions'!$G$40,'Project Assumptions'!$G$41,0)))</f>
        <v>0.0757</v>
      </c>
      <c r="O13" s="473" t="n">
        <f aca="false">IF('Project Assumptions'!$G$40=0,0,IF(O4&lt;=PPAterm,'Project Assumptions'!$F$41,IF(O4&lt;='Project Assumptions'!$G$40,'Project Assumptions'!$G$41,0)))</f>
        <v>0</v>
      </c>
      <c r="P13" s="473" t="n">
        <f aca="false">IF('Project Assumptions'!$G$40=0,0,IF(P4&lt;=PPAterm,'Project Assumptions'!$F$41,IF(P4&lt;='Project Assumptions'!$G$40,'Project Assumptions'!$G$41,0)))</f>
        <v>0</v>
      </c>
      <c r="Q13" s="473" t="n">
        <f aca="false">IF('Project Assumptions'!$G$40=0,0,IF(Q4&lt;=PPAterm,'Project Assumptions'!$F$41,IF(Q4&lt;='Project Assumptions'!$G$40,'Project Assumptions'!$G$41,0)))</f>
        <v>0</v>
      </c>
      <c r="R13" s="473" t="n">
        <f aca="false">IF('Project Assumptions'!$G$40=0,0,IF(R4&lt;=PPAterm,'Project Assumptions'!$F$41,IF(R4&lt;='Project Assumptions'!$G$40,'Project Assumptions'!$G$41,0)))</f>
        <v>0</v>
      </c>
      <c r="S13" s="473" t="n">
        <f aca="false">IF('Project Assumptions'!$G$40=0,0,IF(S4&lt;=PPAterm,'Project Assumptions'!$F$41,IF(S4&lt;='Project Assumptions'!$G$40,'Project Assumptions'!$G$41,0)))</f>
        <v>0</v>
      </c>
      <c r="T13" s="473" t="n">
        <f aca="false">IF('Project Assumptions'!$G$40=0,0,IF(T4&lt;=PPAterm,'Project Assumptions'!$F$41,IF(T4&lt;='Project Assumptions'!$G$40,'Project Assumptions'!$G$41,0)))</f>
        <v>0</v>
      </c>
      <c r="U13" s="473" t="n">
        <f aca="false">IF('Project Assumptions'!$G$40=0,0,IF(U4&lt;=PPAterm,'Project Assumptions'!$F$41,IF(U4&lt;='Project Assumptions'!$G$40,'Project Assumptions'!$G$41,0)))</f>
        <v>0</v>
      </c>
      <c r="V13" s="473" t="n">
        <f aca="false">IF('Project Assumptions'!$G$40=0,0,IF(V4&lt;=PPAterm,'Project Assumptions'!$F$41,IF(V4&lt;='Project Assumptions'!$G$40,'Project Assumptions'!$G$41,0)))</f>
        <v>0</v>
      </c>
      <c r="W13" s="473" t="n">
        <f aca="false">IF('Project Assumptions'!$G$40=0,0,IF(W4&lt;=PPAterm,'Project Assumptions'!$F$41,IF(W4&lt;='Project Assumptions'!$G$40,'Project Assumptions'!$G$41,0)))</f>
        <v>0</v>
      </c>
      <c r="X13" s="473" t="n">
        <f aca="false">IF('Project Assumptions'!$G$40=0,0,IF(X4&lt;=PPAterm,'Project Assumptions'!$F$41,IF(X4&lt;='Project Assumptions'!$G$40,'Project Assumptions'!$G$41,0)))</f>
        <v>0</v>
      </c>
      <c r="Y13" s="584" t="n">
        <f aca="false">IF('Project Assumptions'!$G$40=0,0,IF(Y4&lt;=PPAterm,'Project Assumptions'!$F$41,IF(Y4&lt;='Project Assumptions'!$G$40,'Project Assumptions'!$G$41,0)))</f>
        <v>0</v>
      </c>
      <c r="Z13" s="473"/>
      <c r="AA13" s="473"/>
      <c r="AB13" s="473"/>
      <c r="AC13" s="585"/>
    </row>
    <row r="14" customFormat="false" ht="12.75" hidden="false" customHeight="false" outlineLevel="0" collapsed="false">
      <c r="A14" s="579" t="s">
        <v>449</v>
      </c>
      <c r="B14" s="376"/>
      <c r="C14" s="376"/>
      <c r="D14" s="376"/>
      <c r="E14" s="473" t="n">
        <f aca="false">IF('Project Assumptions'!$H$40=0,0,IF(E4&lt;='Project Assumptions'!$H$40,'Project Assumptions'!$H$41,0))</f>
        <v>0.0818</v>
      </c>
      <c r="F14" s="473" t="n">
        <f aca="false">IF('Project Assumptions'!$H$40=0,0,IF(F4&lt;='Project Assumptions'!$H$40,'Project Assumptions'!$H$41,0))</f>
        <v>0.0818</v>
      </c>
      <c r="G14" s="473" t="n">
        <f aca="false">IF('Project Assumptions'!$H$40=0,0,IF(G4&lt;='Project Assumptions'!$H$40,'Project Assumptions'!$H$41,0))</f>
        <v>0.0818</v>
      </c>
      <c r="H14" s="473" t="n">
        <f aca="false">IF('Project Assumptions'!$H$40=0,0,IF(H4&lt;='Project Assumptions'!$H$40,'Project Assumptions'!$H$41,0))</f>
        <v>0.0818</v>
      </c>
      <c r="I14" s="473" t="n">
        <f aca="false">IF('Project Assumptions'!$H$40=0,0,IF(I4&lt;='Project Assumptions'!$H$40,'Project Assumptions'!$H$41,0))</f>
        <v>0.0818</v>
      </c>
      <c r="J14" s="473" t="n">
        <f aca="false">IF('Project Assumptions'!$H$40=0,0,IF(J4&lt;='Project Assumptions'!$H$40,'Project Assumptions'!$H$41,0))</f>
        <v>0.0818</v>
      </c>
      <c r="K14" s="473" t="n">
        <f aca="false">IF('Project Assumptions'!$H$40=0,0,IF(K4&lt;='Project Assumptions'!$H$40,'Project Assumptions'!$H$41,0))</f>
        <v>0.0818</v>
      </c>
      <c r="L14" s="473" t="n">
        <f aca="false">IF('Project Assumptions'!$H$40=0,0,IF(L4&lt;='Project Assumptions'!$H$40,'Project Assumptions'!$H$41,0))</f>
        <v>0.0818</v>
      </c>
      <c r="M14" s="473" t="n">
        <f aca="false">IF('Project Assumptions'!$H$40=0,0,IF(M4&lt;='Project Assumptions'!$H$40,'Project Assumptions'!$H$41,0))</f>
        <v>0.0818</v>
      </c>
      <c r="N14" s="473" t="n">
        <f aca="false">IF('Project Assumptions'!$H$40=0,0,IF(N4&lt;='Project Assumptions'!$H$40,'Project Assumptions'!$H$41,0))</f>
        <v>0.0818</v>
      </c>
      <c r="O14" s="473" t="n">
        <f aca="false">IF('Project Assumptions'!$H$40=0,0,IF(O4&lt;='Project Assumptions'!$H$40,'Project Assumptions'!$H$41,0))</f>
        <v>0.0818</v>
      </c>
      <c r="P14" s="473" t="n">
        <f aca="false">IF('Project Assumptions'!$H$40=0,0,IF(P4&lt;='Project Assumptions'!$H$40,'Project Assumptions'!$H$41,0))</f>
        <v>0.0818</v>
      </c>
      <c r="Q14" s="473" t="n">
        <f aca="false">IF('Project Assumptions'!$H$40=0,0,IF(Q4&lt;='Project Assumptions'!$H$40,'Project Assumptions'!$H$41,0))</f>
        <v>0.0818</v>
      </c>
      <c r="R14" s="473" t="n">
        <f aca="false">IF('Project Assumptions'!$H$40=0,0,IF(R4&lt;='Project Assumptions'!$H$40,'Project Assumptions'!$H$41,0))</f>
        <v>0.0818</v>
      </c>
      <c r="S14" s="473" t="n">
        <f aca="false">IF('Project Assumptions'!$H$40=0,0,IF(S4&lt;='Project Assumptions'!$H$40,'Project Assumptions'!$H$41,0))</f>
        <v>0.0818</v>
      </c>
      <c r="T14" s="473" t="n">
        <f aca="false">IF('Project Assumptions'!$H$40=0,0,IF(T4&lt;='Project Assumptions'!$H$40,'Project Assumptions'!$H$41,0))</f>
        <v>0.0818</v>
      </c>
      <c r="U14" s="473" t="n">
        <f aca="false">IF('Project Assumptions'!$H$40=0,0,IF(U4&lt;='Project Assumptions'!$H$40,'Project Assumptions'!$H$41,0))</f>
        <v>0.0818</v>
      </c>
      <c r="V14" s="473" t="n">
        <f aca="false">IF('Project Assumptions'!$H$40=0,0,IF(V4&lt;='Project Assumptions'!$H$40,'Project Assumptions'!$H$41,0))</f>
        <v>0.0818</v>
      </c>
      <c r="W14" s="473" t="n">
        <f aca="false">IF('Project Assumptions'!$H$40=0,0,IF(W4&lt;='Project Assumptions'!$H$40,'Project Assumptions'!$H$41,0))</f>
        <v>0.0818</v>
      </c>
      <c r="X14" s="473" t="n">
        <f aca="false">IF('Project Assumptions'!$H$40=0,0,IF(X4&lt;='Project Assumptions'!$H$40,'Project Assumptions'!$H$41,0))</f>
        <v>0.0818</v>
      </c>
      <c r="Y14" s="584" t="n">
        <f aca="false">IF('Project Assumptions'!$H$40=0,0,IF(Y4&lt;='Project Assumptions'!$H$40,'Project Assumptions'!$H$41,0))</f>
        <v>0</v>
      </c>
      <c r="Z14" s="473"/>
      <c r="AA14" s="473"/>
      <c r="AB14" s="473"/>
      <c r="AC14" s="585"/>
    </row>
    <row r="15" customFormat="false" ht="12.75" hidden="false" customHeight="false" outlineLevel="0" collapsed="false">
      <c r="A15" s="579"/>
      <c r="B15" s="376"/>
      <c r="C15" s="376"/>
      <c r="D15" s="586"/>
      <c r="E15" s="586"/>
      <c r="F15" s="586"/>
      <c r="G15" s="586"/>
      <c r="H15" s="586"/>
      <c r="I15" s="586"/>
      <c r="J15" s="586"/>
      <c r="K15" s="586"/>
      <c r="L15" s="586"/>
      <c r="M15" s="586"/>
      <c r="N15" s="586"/>
      <c r="O15" s="586"/>
      <c r="P15" s="586"/>
      <c r="Q15" s="586"/>
      <c r="R15" s="586"/>
      <c r="S15" s="586"/>
      <c r="T15" s="586"/>
      <c r="U15" s="586"/>
      <c r="V15" s="586"/>
      <c r="W15" s="586"/>
      <c r="X15" s="586"/>
      <c r="Y15" s="587"/>
      <c r="Z15" s="586"/>
      <c r="AA15" s="586"/>
      <c r="AB15" s="586"/>
      <c r="AC15" s="588"/>
    </row>
    <row r="16" customFormat="false" ht="12.75" hidden="false" customHeight="false" outlineLevel="0" collapsed="false">
      <c r="A16" s="589" t="s">
        <v>450</v>
      </c>
      <c r="B16" s="376"/>
      <c r="C16" s="376"/>
      <c r="D16" s="376"/>
      <c r="E16" s="573" t="n">
        <f aca="false">IF(E4&gt;MAX(PPAterm,'Project Assumptions'!$G$40,'Project Assumptions'!$H$40),0,IF(E4&lt;=PPAterm,E6/E8,IF(E4&lt;='Project Assumptions'!$G$40,E6/E9,E6/E10)))</f>
        <v>5376.87768098039</v>
      </c>
      <c r="F16" s="573" t="n">
        <f aca="false">IF(F4&gt;MAX('Project Assumptions'!$F$40,'Project Assumptions'!$G$40,'Project Assumptions'!$H$40),0,IF(F4&lt;='Project Assumptions'!$F$40,F6/F8,IF(F4&lt;='Project Assumptions'!$G$40,F6/F9,F6/F10)))</f>
        <v>12823.6188599741</v>
      </c>
      <c r="G16" s="573" t="n">
        <f aca="false">IF(G4&gt;MAX('Project Assumptions'!$F$40,'Project Assumptions'!$G$40,'Project Assumptions'!$H$40),0,IF(G4&lt;='Project Assumptions'!$F$40,G6/G8,IF(G4&lt;='Project Assumptions'!$G$40,G6/G9,G6/G10)))</f>
        <v>12993.9868438267</v>
      </c>
      <c r="H16" s="573" t="n">
        <f aca="false">IF(H4&gt;MAX('Project Assumptions'!$F$40,'Project Assumptions'!$G$40,'Project Assumptions'!$H$40),0,IF(H4&lt;='Project Assumptions'!$F$40,H6/H8,IF(H4&lt;='Project Assumptions'!$G$40,H6/H9,H6/H10)))</f>
        <v>12963.2439828722</v>
      </c>
      <c r="I16" s="573" t="n">
        <f aca="false">IF(I4&gt;MAX('Project Assumptions'!$F$40,'Project Assumptions'!$G$40,'Project Assumptions'!$H$40),0,IF(I4&lt;='Project Assumptions'!$F$40,I6/I8,IF(I4&lt;='Project Assumptions'!$G$40,I6/I9,I6/I10)))</f>
        <v>10027.9174919856</v>
      </c>
      <c r="J16" s="573" t="n">
        <f aca="false">IF(J4&gt;MAX('Project Assumptions'!$F$40,'Project Assumptions'!$G$40,'Project Assumptions'!$H$40),0,IF(J4&lt;='Project Assumptions'!$F$40,J6/J8,IF(J4&lt;='Project Assumptions'!$G$40,J6/J9,J6/J10)))</f>
        <v>11779.6812932732</v>
      </c>
      <c r="K16" s="573" t="n">
        <f aca="false">IF(K4&gt;MAX('Project Assumptions'!$F$40,'Project Assumptions'!$G$40,'Project Assumptions'!$H$40),0,IF(K4&lt;='Project Assumptions'!$F$40,K6/K8,IF(K4&lt;='Project Assumptions'!$G$40,K6/K9,K6/K10)))</f>
        <v>11905.4896663555</v>
      </c>
      <c r="L16" s="573" t="n">
        <f aca="false">IF(L4&gt;MAX('Project Assumptions'!$F$40,'Project Assumptions'!$G$40,'Project Assumptions'!$H$40),0,IF(L4&lt;='Project Assumptions'!$F$40,L6/L8,IF(L4&lt;='Project Assumptions'!$G$40,L6/L9,L6/L10)))</f>
        <v>12030.0199515192</v>
      </c>
      <c r="M16" s="573" t="n">
        <f aca="false">IF(M4&gt;MAX('Project Assumptions'!$F$40,'Project Assumptions'!$G$40,'Project Assumptions'!$H$40),0,IF(M4&lt;='Project Assumptions'!$F$40,M6/M8,IF(M4&lt;='Project Assumptions'!$G$40,M6/M9,M6/M10)))</f>
        <v>12403.1595592004</v>
      </c>
      <c r="N16" s="573" t="n">
        <f aca="false">IF(N4&gt;MAX('Project Assumptions'!$F$40,'Project Assumptions'!$G$40,'Project Assumptions'!$H$40),0,IF(N4&lt;='Project Assumptions'!$F$40,N6/N8,IF(N4&lt;='Project Assumptions'!$G$40,N6/N9,N6/N10)))</f>
        <v>12527.2955969788</v>
      </c>
      <c r="O16" s="573" t="n">
        <f aca="false">IF(O4&gt;MAX('Project Assumptions'!$F$40,'Project Assumptions'!$G$40,'Project Assumptions'!$H$40),0,IF(O4&lt;='Project Assumptions'!$F$40,O6/O8,IF(O4&lt;='Project Assumptions'!$G$40,O6/O9,O6/O10)))</f>
        <v>12917.172925469</v>
      </c>
      <c r="P16" s="573" t="n">
        <f aca="false">IF(P4&gt;MAX('Project Assumptions'!$F$40,'Project Assumptions'!$G$40,'Project Assumptions'!$H$40),0,IF(P4&lt;='Project Assumptions'!$F$40,P6/P8,IF(P4&lt;='Project Assumptions'!$G$40,P6/P9,P6/P10)))</f>
        <v>12723.1349438845</v>
      </c>
      <c r="Q16" s="573" t="n">
        <f aca="false">IF(Q4&gt;MAX('Project Assumptions'!$F$40,'Project Assumptions'!$G$40,'Project Assumptions'!$H$40),0,IF(Q4&lt;='Project Assumptions'!$F$40,Q6/Q8,IF(Q4&lt;='Project Assumptions'!$G$40,Q6/Q9,Q6/Q10)))</f>
        <v>13152.3476086263</v>
      </c>
      <c r="R16" s="573" t="n">
        <f aca="false">IF(R4&gt;MAX('Project Assumptions'!$F$40,'Project Assumptions'!$G$40,'Project Assumptions'!$H$40),0,IF(R4&lt;='Project Assumptions'!$F$40,R6/R8,IF(R4&lt;='Project Assumptions'!$G$40,R6/R9,R6/R10)))</f>
        <v>13307.4645938984</v>
      </c>
      <c r="S16" s="573" t="n">
        <f aca="false">IF(S4&gt;MAX(PPAterm,'Project Assumptions'!$G$40,'Project Assumptions'!$H$40),0,IF(S4&lt;='Project Assumptions'!$F$40,S6/S8,IF(S4&lt;='Project Assumptions'!$G$40,S6/S9,S6/S10)))</f>
        <v>13457.2580100977</v>
      </c>
      <c r="T16" s="573" t="n">
        <f aca="false">IF(T4&gt;MAX('Project Assumptions'!$F$40,'Project Assumptions'!$G$40,'Project Assumptions'!$H$40),0,IF(T4&lt;='Project Assumptions'!$F$40,T6/T8,IF(T4&lt;='Project Assumptions'!$G$40,T6/T9,T6/T10)))</f>
        <v>13601.3047830533</v>
      </c>
      <c r="U16" s="573" t="n">
        <f aca="false">IF(U4&gt;MAX('Project Assumptions'!$F$40,'Project Assumptions'!$G$40,'Project Assumptions'!$H$40),0,IF(U4&lt;='Project Assumptions'!$F$40,U6/U8,IF(U4&lt;='Project Assumptions'!$G$40,U6/U9,U6/U10)))</f>
        <v>13752.4743047107</v>
      </c>
      <c r="V16" s="573" t="n">
        <f aca="false">IF(V4&gt;MAX('Project Assumptions'!$F$40,'Project Assumptions'!$G$40,'Project Assumptions'!$H$40),0,IF(V4&lt;='Project Assumptions'!$F$40,V6/V8,IF(V4&lt;='Project Assumptions'!$G$40,V6/V9,V6/V10)))</f>
        <v>13903.6449299182</v>
      </c>
      <c r="W16" s="573" t="n">
        <f aca="false">IF(W4&gt;MAX('Project Assumptions'!$F$40,'Project Assumptions'!$G$40,'Project Assumptions'!$H$40),0,IF(W4&lt;='Project Assumptions'!$F$40,W6/W8,IF(W4&lt;='Project Assumptions'!$G$40,W6/W9,W6/W10)))</f>
        <v>14047.672677875</v>
      </c>
      <c r="X16" s="573" t="n">
        <f aca="false">IF(X4&gt;MAX('Project Assumptions'!$F$40,'Project Assumptions'!$G$40,'Project Assumptions'!$H$40),0,IF(X4&lt;='Project Assumptions'!$F$40,X6/X8,IF(X4&lt;='Project Assumptions'!$G$40,X6/X9,X6/X10)))</f>
        <v>14144.1076622101</v>
      </c>
      <c r="Y16" s="574" t="n">
        <f aca="false">IF(Y4&gt;MAX('Project Assumptions'!$F$40,'Project Assumptions'!$G$40,'Project Assumptions'!$H$40),0,IF(Y4&lt;='Project Assumptions'!$F$40,Y6/Y8,IF(Y4&lt;='Project Assumptions'!$G$40,Y6/Y9,Y6/Y10)))</f>
        <v>0</v>
      </c>
      <c r="Z16" s="573"/>
      <c r="AA16" s="573"/>
      <c r="AB16" s="573"/>
      <c r="AC16" s="575"/>
      <c r="AD16" s="590"/>
    </row>
    <row r="17" customFormat="false" ht="12.75" hidden="false" customHeight="false" outlineLevel="0" collapsed="false">
      <c r="A17" s="589"/>
      <c r="B17" s="591" t="n">
        <f aca="false">13-MONTH('Project Assumptions'!I17)</f>
        <v>5</v>
      </c>
      <c r="C17" s="376"/>
      <c r="D17" s="376"/>
      <c r="E17" s="580"/>
      <c r="F17" s="586"/>
      <c r="G17" s="586"/>
      <c r="H17" s="586"/>
      <c r="I17" s="586"/>
      <c r="J17" s="586"/>
      <c r="K17" s="586"/>
      <c r="L17" s="586"/>
      <c r="M17" s="586"/>
      <c r="N17" s="586"/>
      <c r="O17" s="586"/>
      <c r="P17" s="586"/>
      <c r="Q17" s="586"/>
      <c r="R17" s="586"/>
      <c r="S17" s="586"/>
      <c r="T17" s="586"/>
      <c r="U17" s="586"/>
      <c r="V17" s="586"/>
      <c r="W17" s="586"/>
      <c r="X17" s="586"/>
      <c r="Y17" s="587"/>
      <c r="Z17" s="586"/>
      <c r="AA17" s="586"/>
      <c r="AB17" s="586"/>
      <c r="AC17" s="590"/>
      <c r="AD17" s="590"/>
    </row>
    <row r="18" customFormat="false" ht="12.75" hidden="false" customHeight="false" outlineLevel="0" collapsed="false">
      <c r="A18" s="579"/>
      <c r="B18" s="592" t="n">
        <f aca="false">'Project Assumptions'!$I$17</f>
        <v>36373</v>
      </c>
      <c r="C18" s="592" t="n">
        <f aca="false">DATE(YEAR('Project Assumptions'!$I$17),12,31)</f>
        <v>36525</v>
      </c>
      <c r="D18" s="376"/>
      <c r="E18" s="586"/>
      <c r="F18" s="586"/>
      <c r="G18" s="586"/>
      <c r="H18" s="586"/>
      <c r="I18" s="586"/>
      <c r="J18" s="586"/>
      <c r="K18" s="586"/>
      <c r="L18" s="586"/>
      <c r="M18" s="586"/>
      <c r="N18" s="586"/>
      <c r="O18" s="586"/>
      <c r="P18" s="586"/>
      <c r="Q18" s="586"/>
      <c r="R18" s="586"/>
      <c r="S18" s="586"/>
      <c r="T18" s="586"/>
      <c r="U18" s="586"/>
      <c r="V18" s="586"/>
      <c r="W18" s="586"/>
      <c r="X18" s="586"/>
      <c r="Y18" s="587"/>
      <c r="Z18" s="586"/>
      <c r="AA18" s="586"/>
      <c r="AB18" s="586"/>
      <c r="AC18" s="590"/>
    </row>
    <row r="19" customFormat="false" ht="12.75" hidden="false" customHeight="false" outlineLevel="0" collapsed="false">
      <c r="A19" s="579" t="s">
        <v>451</v>
      </c>
      <c r="B19" s="573" t="n">
        <f aca="false">NPV(E12*(13-MONTH('Project Assumptions'!I17))/12,C19)</f>
        <v>27439.1017834547</v>
      </c>
      <c r="C19" s="573" t="n">
        <f aca="false">NPV(F12,F19:AC19)+E19</f>
        <v>28208.5399292991</v>
      </c>
      <c r="D19" s="376"/>
      <c r="E19" s="573" t="n">
        <f aca="false">IF(E4&gt;'Project Assumptions'!$F$40,0,E16-E35-E43)</f>
        <v>3841.6318546482</v>
      </c>
      <c r="F19" s="573" t="n">
        <f aca="false">IF(F4&gt;'Project Assumptions'!$F$40,0,F16-F35-F43)</f>
        <v>9139.02887677687</v>
      </c>
      <c r="G19" s="573" t="n">
        <f aca="false">IF(G4&gt;'Project Assumptions'!$F$40,0,G16-G35-G43)</f>
        <v>9309.39686062942</v>
      </c>
      <c r="H19" s="573" t="n">
        <f aca="false">IF(H4&gt;'Project Assumptions'!$F$40,0,H16-H35-H43)</f>
        <v>9278.65399967497</v>
      </c>
      <c r="I19" s="573" t="n">
        <f aca="false">IF(I4&gt;'Project Assumptions'!$F$40,0,I16-I35-I43)</f>
        <v>0</v>
      </c>
      <c r="J19" s="573" t="n">
        <f aca="false">IF(J4&gt;'Project Assumptions'!$F$40,0,J16-J35-J43)</f>
        <v>0</v>
      </c>
      <c r="K19" s="573" t="n">
        <f aca="false">IF(K4&gt;'Project Assumptions'!$F$40,0,K16-K35-K43)</f>
        <v>0</v>
      </c>
      <c r="L19" s="573" t="n">
        <f aca="false">IF(L4&gt;'Project Assumptions'!$F$40,0,L16-L35-L43)</f>
        <v>0</v>
      </c>
      <c r="M19" s="573" t="n">
        <f aca="false">IF(M4&gt;'Project Assumptions'!$F$40,0,M16-M35-M43)</f>
        <v>0</v>
      </c>
      <c r="N19" s="573" t="n">
        <f aca="false">IF(N4&gt;'Project Assumptions'!$F$40,0,N16-N35-N43)</f>
        <v>0</v>
      </c>
      <c r="O19" s="573" t="n">
        <f aca="false">IF(O4&gt;'Project Assumptions'!$F$40,0,O16-O35-O43)</f>
        <v>0</v>
      </c>
      <c r="P19" s="573" t="n">
        <f aca="false">IF(P4&gt;'Project Assumptions'!$F$40,0,P16-P35-P43)</f>
        <v>0</v>
      </c>
      <c r="Q19" s="573" t="n">
        <f aca="false">IF(Q4&gt;'Project Assumptions'!$F$40,0,Q16-Q35-Q43)</f>
        <v>0</v>
      </c>
      <c r="R19" s="573" t="n">
        <f aca="false">IF(R4&gt;'Project Assumptions'!$F$40,0,R16-R35-R43)</f>
        <v>0</v>
      </c>
      <c r="S19" s="573" t="n">
        <f aca="false">IF(S4&gt;'Project Assumptions'!$F$40,0,S16-S35-S43)</f>
        <v>0</v>
      </c>
      <c r="T19" s="573" t="n">
        <f aca="false">IF(T4&gt;'Project Assumptions'!$F$40,0,T16-T35-T43)</f>
        <v>0</v>
      </c>
      <c r="U19" s="573" t="n">
        <f aca="false">IF(U4&gt;'Project Assumptions'!$F$40,0,U16-U35-U43)</f>
        <v>0</v>
      </c>
      <c r="V19" s="573" t="n">
        <f aca="false">IF(V4&gt;'Project Assumptions'!$F$40,0,V16-V35-V43)</f>
        <v>0</v>
      </c>
      <c r="W19" s="573" t="n">
        <f aca="false">IF(W4&gt;'Project Assumptions'!$F$40,0,W16-W35-W43)</f>
        <v>0</v>
      </c>
      <c r="X19" s="573" t="n">
        <f aca="false">IF(X4&gt;'Project Assumptions'!$F$40,0,X16-X35-X43)</f>
        <v>0</v>
      </c>
      <c r="Y19" s="574" t="n">
        <f aca="false">IF(Y4&gt;'Project Assumptions'!$F$40,0,Y16-Y35-Y43)</f>
        <v>0</v>
      </c>
      <c r="Z19" s="573"/>
      <c r="AA19" s="573"/>
      <c r="AB19" s="573"/>
      <c r="AC19" s="575"/>
    </row>
    <row r="20" customFormat="false" ht="12.75" hidden="false" customHeight="false" outlineLevel="0" collapsed="false">
      <c r="A20" s="579" t="s">
        <v>452</v>
      </c>
      <c r="B20" s="586" t="n">
        <f aca="false">HLOOKUP('Project Assumptions'!$F$40,$E$4:$AC$20,17)</f>
        <v>54748.7367488448</v>
      </c>
      <c r="C20" s="586"/>
      <c r="D20" s="376"/>
      <c r="E20" s="573" t="n">
        <f aca="false">IF(E4&lt;'Project Assumptions'!$F$40,0,IF(E4='Project Assumptions'!$F$40,NPV(F13,F20:$AC$20),IF(E4&lt;='Project Assumptions'!$G$40,E16-E43,0)))</f>
        <v>0</v>
      </c>
      <c r="F20" s="573" t="n">
        <f aca="false">IF(F4&lt;'Project Assumptions'!$F$40,0,IF(F4='Project Assumptions'!$F$40,NPV(G13,G20:$AC$20),IF(F4&lt;='Project Assumptions'!$G$40,F16-F43,0)))</f>
        <v>0</v>
      </c>
      <c r="G20" s="573" t="n">
        <f aca="false">IF(G4&lt;'Project Assumptions'!$F$40,0,IF(G4='Project Assumptions'!$F$40,NPV(H13,H20:$AC$20),IF(G4&lt;='Project Assumptions'!$G$40,G16-G43,0)))</f>
        <v>0</v>
      </c>
      <c r="H20" s="573" t="n">
        <f aca="false">IF(H4&lt;'Project Assumptions'!$F$40,0,IF(H4='Project Assumptions'!$F$40,NPV(I13,I20:$AC$20),IF(H4&lt;='Project Assumptions'!$G$40,H16-H43,0)))</f>
        <v>54748.7367488448</v>
      </c>
      <c r="I20" s="573" t="n">
        <f aca="false">IF(I4&lt;'Project Assumptions'!$F$40,0,IF(I4='Project Assumptions'!$F$40,NPV(J13,J20:$AC$20),IF(I4&lt;='Project Assumptions'!$G$40,I16-I43,0)))</f>
        <v>10027.9174919856</v>
      </c>
      <c r="J20" s="573" t="n">
        <f aca="false">IF(J4&lt;'Project Assumptions'!$F$40,0,IF(J4='Project Assumptions'!$F$40,NPV(K13,K20:$AC$20),IF(J4&lt;='Project Assumptions'!$G$40,J16-J43,0)))</f>
        <v>11779.6812932732</v>
      </c>
      <c r="K20" s="573" t="n">
        <f aca="false">IF(K4&lt;'Project Assumptions'!$F$40,0,IF(K4='Project Assumptions'!$F$40,NPV(L13,L20:$AC$20),IF(K4&lt;='Project Assumptions'!$G$40,K16-K43,0)))</f>
        <v>11905.4896663555</v>
      </c>
      <c r="L20" s="573" t="n">
        <f aca="false">IF(L4&lt;'Project Assumptions'!$F$40,0,IF(L4='Project Assumptions'!$F$40,NPV(M13,M20:$AC$20),IF(L4&lt;='Project Assumptions'!$G$40,L16-L43,0)))</f>
        <v>12030.0199515192</v>
      </c>
      <c r="M20" s="573" t="n">
        <f aca="false">IF(M4&lt;'Project Assumptions'!$F$40,0,IF(M4='Project Assumptions'!$F$40,NPV(N13,N20:$AC$20),IF(M4&lt;='Project Assumptions'!$G$40,M16-M43,0)))</f>
        <v>12403.1595592004</v>
      </c>
      <c r="N20" s="573" t="n">
        <f aca="false">IF(N4&lt;'Project Assumptions'!$F$40,0,IF(N4='Project Assumptions'!$F$40,NPV(O13,O20:$AC$20),IF(N4&lt;='Project Assumptions'!$G$40,N16-N43,0)))</f>
        <v>12527.2955969788</v>
      </c>
      <c r="O20" s="573" t="n">
        <f aca="false">IF(O4&lt;'Project Assumptions'!$F$40,0,IF(O4='Project Assumptions'!$F$40,NPV(P13,P20:$AC$20),IF(O4&lt;='Project Assumptions'!$G$40,O16-O43,0)))</f>
        <v>0</v>
      </c>
      <c r="P20" s="573" t="n">
        <f aca="false">IF(P4&lt;'Project Assumptions'!$F$40,0,IF(P4='Project Assumptions'!$F$40,NPV(Q13,Q20:$AC$20),IF(P4&lt;='Project Assumptions'!$G$40,P16-P43,0)))</f>
        <v>0</v>
      </c>
      <c r="Q20" s="573" t="n">
        <f aca="false">IF(Q4&lt;'Project Assumptions'!$F$40,0,IF(Q4='Project Assumptions'!$F$40,NPV(R13,R20:$AC$20),IF(Q4&lt;='Project Assumptions'!$G$40,Q16-Q43,0)))</f>
        <v>0</v>
      </c>
      <c r="R20" s="573" t="n">
        <f aca="false">IF(R4&lt;'Project Assumptions'!$F$40,0,IF(R4='Project Assumptions'!$F$40,NPV(S13,S20:$AC$20),IF(R4&lt;='Project Assumptions'!$G$40,R16-R43,0)))</f>
        <v>0</v>
      </c>
      <c r="S20" s="573" t="n">
        <f aca="false">IF(S4&lt;'Project Assumptions'!$F$40,0,IF(S4='Project Assumptions'!$F$40,NPV(T13,T20:$AC$20),IF(S4&lt;='Project Assumptions'!$G$40,S16-S43,0)))</f>
        <v>0</v>
      </c>
      <c r="T20" s="573" t="n">
        <f aca="false">IF(T4&lt;'Project Assumptions'!$F$40,0,IF(T4='Project Assumptions'!$F$40,NPV(U13,U20:$AC$20),IF(T4&lt;='Project Assumptions'!$G$40,T16-T43,0)))</f>
        <v>0</v>
      </c>
      <c r="U20" s="573" t="n">
        <f aca="false">IF(U4&lt;'Project Assumptions'!$F$40,0,IF(U4='Project Assumptions'!$F$40,NPV(V13,V20:$AC$20),IF(U4&lt;='Project Assumptions'!$G$40,U16-U43,0)))</f>
        <v>0</v>
      </c>
      <c r="V20" s="573" t="n">
        <f aca="false">IF(V4&lt;'Project Assumptions'!$F$40,0,IF(V4='Project Assumptions'!$F$40,NPV(W13,W20:$AC$20),IF(V4&lt;='Project Assumptions'!$G$40,V16-V43,0)))</f>
        <v>0</v>
      </c>
      <c r="W20" s="573" t="n">
        <f aca="false">IF(W4&lt;'Project Assumptions'!$F$40,0,IF(W4='Project Assumptions'!$F$40,NPV(X13,X20:$AC$20),IF(W4&lt;='Project Assumptions'!$G$40,W16-W43,0)))</f>
        <v>0</v>
      </c>
      <c r="X20" s="573" t="n">
        <f aca="false">IF(X4&lt;'Project Assumptions'!$F$40,0,IF(X4='Project Assumptions'!$F$40,NPV(Y13,Y20:$AC$20),IF(X4&lt;='Project Assumptions'!$G$40,X16-X43,0)))</f>
        <v>0</v>
      </c>
      <c r="Y20" s="574" t="n">
        <f aca="false">IF(Y4&lt;'Project Assumptions'!$F$40,0,IF(Y4='Project Assumptions'!$F$40,NPV(Z13,Z20:$AC$20),IF(Y4&lt;='Project Assumptions'!$G$40,Y16-Y43,0)))</f>
        <v>0</v>
      </c>
      <c r="Z20" s="573"/>
      <c r="AA20" s="573"/>
      <c r="AB20" s="573"/>
      <c r="AC20" s="575"/>
    </row>
    <row r="21" customFormat="false" ht="15" hidden="false" customHeight="false" outlineLevel="0" collapsed="false">
      <c r="A21" s="579" t="s">
        <v>453</v>
      </c>
      <c r="B21" s="593" t="n">
        <f aca="false">IF('Project Assumptions'!$H$40=0,0,HLOOKUP('Project Assumptions'!$G$40,$E$4:$AC$21,18))</f>
        <v>89195.9371362093</v>
      </c>
      <c r="C21" s="593"/>
      <c r="D21" s="376"/>
      <c r="E21" s="573" t="n">
        <f aca="false">IF(OR(E4&lt;'Project Assumptions'!$G$40,'Project Assumptions'!$G$40=0,'Project Assumptions'!$H$40=0),0,IF(E4='Project Assumptions'!$G$40,NPV(F14,F21:$AC$21),IF(E4&lt;='Project Assumptions'!$H$40,E16,0)))</f>
        <v>0</v>
      </c>
      <c r="F21" s="573" t="n">
        <f aca="false">IF(OR(F4&lt;'Project Assumptions'!$G$40,'Project Assumptions'!$G$40=0,'Project Assumptions'!$H$40=0),0,IF(F4='Project Assumptions'!$G$40,NPV(G14,G21:$AC$21),IF(F4&lt;='Project Assumptions'!$H$40,F16,0)))</f>
        <v>0</v>
      </c>
      <c r="G21" s="573" t="n">
        <f aca="false">IF(OR(G4&lt;'Project Assumptions'!$G$40,'Project Assumptions'!$G$40=0,'Project Assumptions'!$H$40=0),0,IF(G4='Project Assumptions'!$G$40,NPV(H14,H21:$AC$21),IF(G4&lt;='Project Assumptions'!$H$40,G16,0)))</f>
        <v>0</v>
      </c>
      <c r="H21" s="573" t="n">
        <f aca="false">IF(OR(H4&lt;'Project Assumptions'!$G$40,'Project Assumptions'!$G$40=0,'Project Assumptions'!$H$40=0),0,IF(H4='Project Assumptions'!$G$40,NPV(I14,I21:$AC$21),IF(H4&lt;='Project Assumptions'!$H$40,H16,0)))</f>
        <v>0</v>
      </c>
      <c r="I21" s="573" t="n">
        <f aca="false">IF(OR(I4&lt;'Project Assumptions'!$G$40,'Project Assumptions'!$G$40=0,'Project Assumptions'!$H$40=0),0,IF(I4='Project Assumptions'!$G$40,NPV(J14,J21:$AC$21),IF(I4&lt;='Project Assumptions'!$H$40,I16,0)))</f>
        <v>0</v>
      </c>
      <c r="J21" s="573" t="n">
        <f aca="false">IF(OR(J4&lt;'Project Assumptions'!$G$40,'Project Assumptions'!$G$40=0,'Project Assumptions'!$H$40=0),0,IF(J4='Project Assumptions'!$G$40,NPV(K14,K21:$AC$21),IF(J4&lt;='Project Assumptions'!$H$40,J16,0)))</f>
        <v>0</v>
      </c>
      <c r="K21" s="573" t="n">
        <f aca="false">IF(OR(K4&lt;'Project Assumptions'!$G$40,'Project Assumptions'!$G$40=0,'Project Assumptions'!$H$40=0),0,IF(K4='Project Assumptions'!$G$40,NPV(L14,L21:$AC$21),IF(K4&lt;='Project Assumptions'!$H$40,K16,0)))</f>
        <v>0</v>
      </c>
      <c r="L21" s="573" t="n">
        <f aca="false">IF(OR(L4&lt;'Project Assumptions'!$G$40,'Project Assumptions'!$G$40=0,'Project Assumptions'!$H$40=0),0,IF(L4='Project Assumptions'!$G$40,NPV(M14,M21:$AC$21),IF(L4&lt;='Project Assumptions'!$H$40,L16,0)))</f>
        <v>0</v>
      </c>
      <c r="M21" s="573" t="n">
        <f aca="false">IF(OR(M4&lt;'Project Assumptions'!$G$40,'Project Assumptions'!$G$40=0,'Project Assumptions'!$H$40=0),0,IF(M4='Project Assumptions'!$G$40,NPV(N14,N21:$AC$21),IF(M4&lt;='Project Assumptions'!$H$40,M16,0)))</f>
        <v>0</v>
      </c>
      <c r="N21" s="573" t="n">
        <f aca="false">IF(OR(N4&lt;'Project Assumptions'!$G$40,'Project Assumptions'!$G$40=0,'Project Assumptions'!$H$40=0),0,IF(N4='Project Assumptions'!$G$40,NPV(O14,O21:$AC$21),IF(N4&lt;='Project Assumptions'!$H$40,N16,0)))</f>
        <v>89195.9371362093</v>
      </c>
      <c r="O21" s="573" t="n">
        <f aca="false">IF(OR(O4&lt;'Project Assumptions'!$G$40,'Project Assumptions'!$G$40=0,'Project Assumptions'!$H$40=0),0,IF(O4='Project Assumptions'!$G$40,NPV(P14,P21:$AC$21),IF(O4&lt;='Project Assumptions'!$H$40,O16,0)))</f>
        <v>12917.172925469</v>
      </c>
      <c r="P21" s="573" t="n">
        <f aca="false">IF(OR(P4&lt;'Project Assumptions'!$G$40,'Project Assumptions'!$G$40=0,'Project Assumptions'!$H$40=0),0,IF(P4='Project Assumptions'!$G$40,NPV(Q14,Q21:$AC$21),IF(P4&lt;='Project Assumptions'!$H$40,P16,0)))</f>
        <v>12723.1349438845</v>
      </c>
      <c r="Q21" s="573" t="n">
        <f aca="false">IF(OR(Q4&lt;'Project Assumptions'!$G$40,'Project Assumptions'!$G$40=0,'Project Assumptions'!$H$40=0),0,IF(Q4='Project Assumptions'!$G$40,NPV(R14,R21:$AC$21),IF(Q4&lt;='Project Assumptions'!$H$40,Q16,0)))</f>
        <v>13152.3476086263</v>
      </c>
      <c r="R21" s="573" t="n">
        <f aca="false">IF(OR(R4&lt;'Project Assumptions'!$G$40,'Project Assumptions'!$G$40=0,'Project Assumptions'!$H$40=0),0,IF(R4='Project Assumptions'!$G$40,NPV(S14,S21:$AC$21),IF(R4&lt;='Project Assumptions'!$H$40,R16,0)))</f>
        <v>13307.4645938984</v>
      </c>
      <c r="S21" s="573" t="n">
        <f aca="false">IF(OR(S4&lt;'Project Assumptions'!$G$40,'Project Assumptions'!$G$40=0,'Project Assumptions'!$H$40=0),0,IF(S4='Project Assumptions'!$G$40,NPV(T14,T21:$AC$21),IF(S4&lt;='Project Assumptions'!$H$40,S16,0)))</f>
        <v>13457.2580100977</v>
      </c>
      <c r="T21" s="573" t="n">
        <f aca="false">IF(OR(T4&lt;'Project Assumptions'!$G$40,'Project Assumptions'!$G$40=0,'Project Assumptions'!$H$40=0),0,IF(T4='Project Assumptions'!$G$40,NPV(U14,U21:$AC$21),IF(T4&lt;='Project Assumptions'!$H$40,T16,0)))</f>
        <v>13601.3047830533</v>
      </c>
      <c r="U21" s="573" t="n">
        <f aca="false">IF(OR(U4&lt;'Project Assumptions'!$G$40,'Project Assumptions'!$G$40=0,'Project Assumptions'!$H$40=0),0,IF(U4='Project Assumptions'!$G$40,NPV(V14,V21:$AC$21),IF(U4&lt;='Project Assumptions'!$H$40,U16,0)))</f>
        <v>13752.4743047107</v>
      </c>
      <c r="V21" s="573" t="n">
        <f aca="false">IF(OR(V4&lt;'Project Assumptions'!$G$40,'Project Assumptions'!$G$40=0,'Project Assumptions'!$H$40=0),0,IF(V4='Project Assumptions'!$G$40,NPV(W14,W21:$AC$21),IF(V4&lt;='Project Assumptions'!$H$40,V16,0)))</f>
        <v>13903.6449299182</v>
      </c>
      <c r="W21" s="573" t="n">
        <f aca="false">IF(OR(W4&lt;'Project Assumptions'!$G$40,'Project Assumptions'!$G$40=0,'Project Assumptions'!$H$40=0),0,IF(W4='Project Assumptions'!$G$40,NPV(X14,X21:$AC$21),IF(W4&lt;='Project Assumptions'!$H$40,W16,0)))</f>
        <v>14047.672677875</v>
      </c>
      <c r="X21" s="573" t="n">
        <f aca="false">IF(OR(X4&lt;'Project Assumptions'!$G$40,'Project Assumptions'!$G$40=0,'Project Assumptions'!$H$40=0),0,IF(X4='Project Assumptions'!$G$40,NPV(Y14,Y21:$AC$21),IF(X4&lt;='Project Assumptions'!$H$40,X16,0)))</f>
        <v>14144.1076622101</v>
      </c>
      <c r="Y21" s="574" t="n">
        <f aca="false">IF(OR(Y4&lt;'Project Assumptions'!$G$40,'Project Assumptions'!$G$40=0,'Project Assumptions'!$H$40=0),0,IF(Y4='Project Assumptions'!$G$40,NPV(Z14,Z21:$AC$21),IF(Y4&lt;='Project Assumptions'!$H$40,Y16,0)))</f>
        <v>0</v>
      </c>
      <c r="Z21" s="573"/>
      <c r="AA21" s="573"/>
      <c r="AB21" s="573"/>
      <c r="AC21" s="575"/>
    </row>
    <row r="22" customFormat="false" ht="12.75" hidden="false" customHeight="false" outlineLevel="0" collapsed="false">
      <c r="A22" s="594" t="s">
        <v>454</v>
      </c>
      <c r="B22" s="595" t="n">
        <f aca="false">SUM(B19:B21)</f>
        <v>171383.775668509</v>
      </c>
      <c r="C22" s="596"/>
      <c r="D22" s="597"/>
      <c r="E22" s="598"/>
      <c r="F22" s="598"/>
      <c r="G22" s="598"/>
      <c r="H22" s="598"/>
      <c r="I22" s="598"/>
      <c r="J22" s="598"/>
      <c r="K22" s="598"/>
      <c r="L22" s="598"/>
      <c r="M22" s="598"/>
      <c r="N22" s="598"/>
      <c r="O22" s="598"/>
      <c r="P22" s="598"/>
      <c r="Q22" s="598"/>
      <c r="R22" s="598"/>
      <c r="S22" s="598"/>
      <c r="T22" s="598"/>
      <c r="U22" s="598"/>
      <c r="V22" s="598"/>
      <c r="W22" s="598"/>
      <c r="X22" s="598"/>
      <c r="Y22" s="599"/>
      <c r="Z22" s="600"/>
      <c r="AA22" s="600"/>
      <c r="AB22" s="600"/>
      <c r="AC22" s="601"/>
    </row>
    <row r="23" customFormat="false" ht="12.75" hidden="false" customHeight="false" outlineLevel="0" collapsed="false">
      <c r="B23" s="602"/>
      <c r="C23" s="602"/>
      <c r="D23" s="586"/>
      <c r="E23" s="603"/>
      <c r="F23" s="603"/>
      <c r="G23" s="603"/>
      <c r="H23" s="603"/>
      <c r="I23" s="603"/>
      <c r="J23" s="603"/>
      <c r="K23" s="603"/>
      <c r="L23" s="603"/>
      <c r="M23" s="603"/>
      <c r="N23" s="603"/>
      <c r="O23" s="603"/>
      <c r="P23" s="603"/>
      <c r="Q23" s="603"/>
      <c r="R23" s="603"/>
      <c r="S23" s="603"/>
      <c r="T23" s="603"/>
      <c r="U23" s="603"/>
      <c r="V23" s="603"/>
      <c r="W23" s="603"/>
      <c r="X23" s="603"/>
      <c r="Y23" s="603"/>
      <c r="Z23" s="603"/>
      <c r="AA23" s="603"/>
      <c r="AB23" s="603"/>
      <c r="AC23" s="604"/>
    </row>
    <row r="24" customFormat="false" ht="12.75" hidden="false" customHeight="false" outlineLevel="0" collapsed="false">
      <c r="B24" s="602"/>
      <c r="C24" s="602"/>
      <c r="D24" s="586"/>
      <c r="E24" s="605"/>
      <c r="F24" s="605"/>
      <c r="G24" s="586"/>
      <c r="H24" s="586"/>
      <c r="I24" s="586"/>
      <c r="J24" s="586"/>
      <c r="K24" s="586"/>
      <c r="L24" s="586"/>
      <c r="M24" s="586"/>
      <c r="N24" s="586"/>
      <c r="O24" s="586"/>
      <c r="P24" s="586"/>
      <c r="Q24" s="586"/>
      <c r="R24" s="586"/>
      <c r="S24" s="586"/>
      <c r="T24" s="586"/>
      <c r="U24" s="586"/>
      <c r="V24" s="586"/>
      <c r="W24" s="586"/>
      <c r="X24" s="586"/>
      <c r="Y24" s="586"/>
      <c r="Z24" s="586"/>
      <c r="AA24" s="586"/>
      <c r="AB24" s="586"/>
      <c r="AC24" s="576"/>
    </row>
    <row r="25" customFormat="false" ht="12.75" hidden="false" customHeight="false" outlineLevel="0" collapsed="false">
      <c r="A25" s="606" t="s">
        <v>244</v>
      </c>
      <c r="B25" s="607"/>
      <c r="C25" s="607"/>
      <c r="D25" s="608"/>
      <c r="E25" s="608"/>
      <c r="F25" s="608"/>
      <c r="G25" s="608"/>
      <c r="H25" s="608"/>
      <c r="I25" s="608"/>
      <c r="J25" s="608"/>
      <c r="K25" s="608"/>
      <c r="L25" s="608"/>
      <c r="M25" s="608"/>
      <c r="N25" s="608"/>
      <c r="O25" s="608"/>
      <c r="P25" s="608"/>
      <c r="Q25" s="608"/>
      <c r="R25" s="608"/>
      <c r="S25" s="608"/>
      <c r="T25" s="608"/>
      <c r="U25" s="608"/>
      <c r="V25" s="608"/>
      <c r="W25" s="608"/>
      <c r="X25" s="608"/>
      <c r="Y25" s="609"/>
      <c r="Z25" s="586"/>
      <c r="AA25" s="586"/>
      <c r="AB25" s="586"/>
      <c r="AC25" s="576"/>
    </row>
    <row r="26" customFormat="false" ht="12.75" hidden="false" customHeight="false" outlineLevel="0" collapsed="false">
      <c r="A26" s="402" t="s">
        <v>455</v>
      </c>
      <c r="B26" s="610"/>
      <c r="C26" s="610"/>
      <c r="D26" s="149"/>
      <c r="E26" s="573" t="n">
        <f aca="false">IF(E4&gt;'Project Assumptions'!$F$40,0,B19)</f>
        <v>27439.1017834547</v>
      </c>
      <c r="F26" s="573" t="n">
        <f aca="false">IF(F4&gt;'Project Assumptions'!$F$40,0,E30)</f>
        <v>24366.9080746509</v>
      </c>
      <c r="G26" s="573" t="n">
        <f aca="false">IF(G4&gt;'Project Assumptions'!$F$40,0,F30)</f>
        <v>16867.772111298</v>
      </c>
      <c r="H26" s="573" t="n">
        <f aca="false">IF(H4&gt;'Project Assumptions'!$F$40,0,G30)</f>
        <v>8693.57631375899</v>
      </c>
      <c r="I26" s="573" t="n">
        <f aca="false">IF(I4&gt;'Project Assumptions'!$F$40,0,H30)</f>
        <v>0</v>
      </c>
      <c r="J26" s="573" t="n">
        <f aca="false">IF(J4&gt;'Project Assumptions'!$F$40,0,I30)</f>
        <v>0</v>
      </c>
      <c r="K26" s="573" t="n">
        <f aca="false">IF(K4&gt;'Project Assumptions'!$F$40,0,J30)</f>
        <v>0</v>
      </c>
      <c r="L26" s="573" t="n">
        <f aca="false">IF(L4&gt;'Project Assumptions'!$F$40,0,K30)</f>
        <v>0</v>
      </c>
      <c r="M26" s="573" t="n">
        <f aca="false">IF(M4&gt;'Project Assumptions'!$F$40,0,L30)</f>
        <v>0</v>
      </c>
      <c r="N26" s="573" t="n">
        <f aca="false">IF(N4&gt;'Project Assumptions'!$F$40,0,M30)</f>
        <v>0</v>
      </c>
      <c r="O26" s="573" t="n">
        <f aca="false">IF(O4&gt;'Project Assumptions'!$F$40,0,N30)</f>
        <v>0</v>
      </c>
      <c r="P26" s="573" t="n">
        <f aca="false">IF(P4&gt;'Project Assumptions'!$F$40,0,O30)</f>
        <v>0</v>
      </c>
      <c r="Q26" s="573" t="n">
        <f aca="false">IF(Q4&gt;'Project Assumptions'!$F$40,0,P30)</f>
        <v>0</v>
      </c>
      <c r="R26" s="573" t="n">
        <f aca="false">IF(R4&gt;'Project Assumptions'!$F$40,0,Q30)</f>
        <v>0</v>
      </c>
      <c r="S26" s="573" t="n">
        <f aca="false">IF(S4&gt;'Project Assumptions'!$F$40,0,R30)</f>
        <v>0</v>
      </c>
      <c r="T26" s="573" t="n">
        <f aca="false">IF(T4&gt;'Project Assumptions'!$F$40,0,S30)</f>
        <v>0</v>
      </c>
      <c r="U26" s="573" t="n">
        <f aca="false">IF(U4&gt;'Project Assumptions'!$F$40,0,T30)</f>
        <v>0</v>
      </c>
      <c r="V26" s="573" t="n">
        <f aca="false">IF(V4&gt;'Project Assumptions'!$F$40,0,U30)</f>
        <v>0</v>
      </c>
      <c r="W26" s="573" t="n">
        <f aca="false">IF(W4&gt;'Project Assumptions'!$F$40,0,V30)</f>
        <v>0</v>
      </c>
      <c r="X26" s="573" t="n">
        <f aca="false">IF(X4&gt;'Project Assumptions'!$F$40,0,W30)</f>
        <v>0</v>
      </c>
      <c r="Y26" s="574" t="n">
        <f aca="false">IF(Y4&gt;'Project Assumptions'!$F$40,0,X30)</f>
        <v>0</v>
      </c>
      <c r="Z26" s="573"/>
      <c r="AA26" s="573"/>
      <c r="AB26" s="573"/>
      <c r="AC26" s="575"/>
    </row>
    <row r="27" customFormat="false" ht="12.75" hidden="false" customHeight="false" outlineLevel="0" collapsed="false">
      <c r="A27" s="402" t="s">
        <v>456</v>
      </c>
      <c r="B27" s="611"/>
      <c r="C27" s="611"/>
      <c r="D27" s="149"/>
      <c r="E27" s="586" t="n">
        <f aca="false">E26*$E$12*(13-MONTH('Project Assumptions'!I17))/12</f>
        <v>769.438145844376</v>
      </c>
      <c r="F27" s="586" t="n">
        <f aca="false">F26*F$12</f>
        <v>1639.89291342401</v>
      </c>
      <c r="G27" s="586" t="n">
        <f aca="false">G26*G$12</f>
        <v>1135.20106309036</v>
      </c>
      <c r="H27" s="586" t="n">
        <f aca="false">H26*H$12</f>
        <v>585.07768591598</v>
      </c>
      <c r="I27" s="586" t="n">
        <f aca="false">I26*I$12</f>
        <v>0</v>
      </c>
      <c r="J27" s="586" t="n">
        <f aca="false">J26*J$12</f>
        <v>0</v>
      </c>
      <c r="K27" s="586" t="n">
        <f aca="false">K26*K$12</f>
        <v>0</v>
      </c>
      <c r="L27" s="586" t="n">
        <f aca="false">L26*L$12</f>
        <v>0</v>
      </c>
      <c r="M27" s="586" t="n">
        <f aca="false">M26*M$12</f>
        <v>0</v>
      </c>
      <c r="N27" s="586" t="n">
        <f aca="false">N26*N$12</f>
        <v>0</v>
      </c>
      <c r="O27" s="586" t="n">
        <f aca="false">O26*O$12</f>
        <v>0</v>
      </c>
      <c r="P27" s="586" t="n">
        <f aca="false">P26*P$12</f>
        <v>0</v>
      </c>
      <c r="Q27" s="586" t="n">
        <f aca="false">Q26*Q$12</f>
        <v>0</v>
      </c>
      <c r="R27" s="586" t="n">
        <f aca="false">R26*R$12</f>
        <v>0</v>
      </c>
      <c r="S27" s="586" t="n">
        <f aca="false">S26*S$12</f>
        <v>0</v>
      </c>
      <c r="T27" s="586" t="n">
        <f aca="false">T26*T$12</f>
        <v>0</v>
      </c>
      <c r="U27" s="586" t="n">
        <f aca="false">U26*U$12</f>
        <v>0</v>
      </c>
      <c r="V27" s="586" t="n">
        <f aca="false">V26*V$12</f>
        <v>0</v>
      </c>
      <c r="W27" s="586" t="n">
        <f aca="false">W26*W$12</f>
        <v>0</v>
      </c>
      <c r="X27" s="586" t="n">
        <f aca="false">X26*X$12</f>
        <v>0</v>
      </c>
      <c r="Y27" s="587" t="n">
        <f aca="false">Y26*Y$12</f>
        <v>0</v>
      </c>
      <c r="Z27" s="586"/>
      <c r="AA27" s="586"/>
      <c r="AB27" s="586"/>
      <c r="AC27" s="590"/>
    </row>
    <row r="28" customFormat="false" ht="12.75" hidden="false" customHeight="false" outlineLevel="0" collapsed="false">
      <c r="A28" s="402" t="s">
        <v>457</v>
      </c>
      <c r="B28" s="149"/>
      <c r="C28" s="149"/>
      <c r="D28" s="149"/>
      <c r="E28" s="586" t="n">
        <f aca="false">IF(E4&gt;'Project Assumptions'!$F$40,0,E29-E27)</f>
        <v>3072.19370880383</v>
      </c>
      <c r="F28" s="586" t="n">
        <f aca="false">IF(F4&gt;'Project Assumptions'!$F$40,0,F29-F27)</f>
        <v>7499.13596335286</v>
      </c>
      <c r="G28" s="586" t="n">
        <f aca="false">IF(G4&gt;'Project Assumptions'!$F$40,0,G29-G27)</f>
        <v>8174.19579753906</v>
      </c>
      <c r="H28" s="586" t="n">
        <f aca="false">IF(H4&gt;'Project Assumptions'!$F$40,0,H29-H27)</f>
        <v>8693.57631375899</v>
      </c>
      <c r="I28" s="586" t="n">
        <f aca="false">IF(I4&gt;'Project Assumptions'!$F$40,0,I29-I27)</f>
        <v>0</v>
      </c>
      <c r="J28" s="586" t="n">
        <f aca="false">IF(J4&gt;'Project Assumptions'!$F$40,0,J29-J27)</f>
        <v>0</v>
      </c>
      <c r="K28" s="586" t="n">
        <f aca="false">IF(K4&gt;'Project Assumptions'!$F$40,0,K29-K27)</f>
        <v>0</v>
      </c>
      <c r="L28" s="586" t="n">
        <f aca="false">IF(L4&gt;'Project Assumptions'!$F$40,0,L29-L27)</f>
        <v>0</v>
      </c>
      <c r="M28" s="586" t="n">
        <f aca="false">IF(M4&gt;'Project Assumptions'!$F$40,0,M29-M27)</f>
        <v>0</v>
      </c>
      <c r="N28" s="586" t="n">
        <f aca="false">IF(N4&gt;'Project Assumptions'!$F$40,0,N29-N27)</f>
        <v>0</v>
      </c>
      <c r="O28" s="586" t="n">
        <f aca="false">IF(O4&gt;'Project Assumptions'!$F$40,0,O29-O27)</f>
        <v>0</v>
      </c>
      <c r="P28" s="586" t="n">
        <f aca="false">IF(P4&gt;'Project Assumptions'!$F$40,0,P29-P27)</f>
        <v>0</v>
      </c>
      <c r="Q28" s="586" t="n">
        <f aca="false">IF(Q4&gt;'Project Assumptions'!$F$40,0,Q29-Q27)</f>
        <v>0</v>
      </c>
      <c r="R28" s="586" t="n">
        <f aca="false">IF(R4&gt;'Project Assumptions'!$F$40,0,R29-R27)</f>
        <v>0</v>
      </c>
      <c r="S28" s="586" t="n">
        <f aca="false">IF(S4&gt;'Project Assumptions'!$F$40,0,S29-S27)</f>
        <v>0</v>
      </c>
      <c r="T28" s="586" t="n">
        <f aca="false">IF(T4&gt;'Project Assumptions'!$F$40,0,T29-T27)</f>
        <v>0</v>
      </c>
      <c r="U28" s="586" t="n">
        <f aca="false">IF(U4&gt;'Project Assumptions'!$F$40,0,U29-U27)</f>
        <v>0</v>
      </c>
      <c r="V28" s="586" t="n">
        <f aca="false">IF(V4&gt;'Project Assumptions'!$F$40,0,V29-V27)</f>
        <v>0</v>
      </c>
      <c r="W28" s="586" t="n">
        <f aca="false">IF(W4&gt;'Project Assumptions'!$F$40,0,W29-W27)</f>
        <v>0</v>
      </c>
      <c r="X28" s="586" t="n">
        <f aca="false">IF(X4&gt;'Project Assumptions'!$F$40,0,X29-X27)</f>
        <v>0</v>
      </c>
      <c r="Y28" s="587" t="n">
        <f aca="false">IF(Y4&gt;'Project Assumptions'!$F$40,0,Y29-Y27)</f>
        <v>0</v>
      </c>
      <c r="Z28" s="586"/>
      <c r="AA28" s="586"/>
      <c r="AB28" s="586"/>
      <c r="AC28" s="590"/>
    </row>
    <row r="29" customFormat="false" ht="12.75" hidden="false" customHeight="false" outlineLevel="0" collapsed="false">
      <c r="A29" s="402" t="s">
        <v>458</v>
      </c>
      <c r="B29" s="149"/>
      <c r="C29" s="149"/>
      <c r="D29" s="149"/>
      <c r="E29" s="586" t="n">
        <f aca="false">IF(E4&gt;'Project Assumptions'!$F$40,0,E19)</f>
        <v>3841.6318546482</v>
      </c>
      <c r="F29" s="586" t="n">
        <f aca="false">IF(F4&gt;'Project Assumptions'!$F$40,0,F19)</f>
        <v>9139.02887677687</v>
      </c>
      <c r="G29" s="586" t="n">
        <f aca="false">IF(G4&gt;'Project Assumptions'!$F$40,0,G19)</f>
        <v>9309.39686062942</v>
      </c>
      <c r="H29" s="586" t="n">
        <f aca="false">IF(H4&gt;'Project Assumptions'!$F$40,0,H19)</f>
        <v>9278.65399967497</v>
      </c>
      <c r="I29" s="586" t="n">
        <f aca="false">IF(I4&gt;'Project Assumptions'!$F$40,0,I19)</f>
        <v>0</v>
      </c>
      <c r="J29" s="586" t="n">
        <f aca="false">IF(J4&gt;'Project Assumptions'!$F$40,0,J19)</f>
        <v>0</v>
      </c>
      <c r="K29" s="586" t="n">
        <f aca="false">IF(K4&gt;'Project Assumptions'!$F$40,0,K19)</f>
        <v>0</v>
      </c>
      <c r="L29" s="586" t="n">
        <f aca="false">IF(L4&gt;'Project Assumptions'!$F$40,0,L19)</f>
        <v>0</v>
      </c>
      <c r="M29" s="586" t="n">
        <f aca="false">IF(M4&gt;'Project Assumptions'!$F$40,0,M19)</f>
        <v>0</v>
      </c>
      <c r="N29" s="586" t="n">
        <f aca="false">IF(N4&gt;'Project Assumptions'!$F$40,0,N19)</f>
        <v>0</v>
      </c>
      <c r="O29" s="586" t="n">
        <f aca="false">IF(O4&gt;'Project Assumptions'!$F$40,0,O19)</f>
        <v>0</v>
      </c>
      <c r="P29" s="586" t="n">
        <f aca="false">IF(P4&gt;'Project Assumptions'!$F$40,0,P19)</f>
        <v>0</v>
      </c>
      <c r="Q29" s="586" t="n">
        <f aca="false">IF(Q4&gt;'Project Assumptions'!$F$40,0,Q19)</f>
        <v>0</v>
      </c>
      <c r="R29" s="586" t="n">
        <f aca="false">IF(R4&gt;'Project Assumptions'!$F$40,0,R19)</f>
        <v>0</v>
      </c>
      <c r="S29" s="586" t="n">
        <f aca="false">IF(S4&gt;'Project Assumptions'!$F$40,0,S19)</f>
        <v>0</v>
      </c>
      <c r="T29" s="586" t="n">
        <f aca="false">IF(T4&gt;'Project Assumptions'!$F$40,0,T19)</f>
        <v>0</v>
      </c>
      <c r="U29" s="586" t="n">
        <f aca="false">IF(U4&gt;'Project Assumptions'!$F$40,0,U19)</f>
        <v>0</v>
      </c>
      <c r="V29" s="586" t="n">
        <f aca="false">IF(V4&gt;'Project Assumptions'!$F$40,0,V19)</f>
        <v>0</v>
      </c>
      <c r="W29" s="586" t="n">
        <f aca="false">IF(W4&gt;'Project Assumptions'!$F$40,0,W19)</f>
        <v>0</v>
      </c>
      <c r="X29" s="586" t="n">
        <f aca="false">IF(X4&gt;'Project Assumptions'!$F$40,0,X19)</f>
        <v>0</v>
      </c>
      <c r="Y29" s="587" t="n">
        <f aca="false">IF(Y4&gt;'Project Assumptions'!$F$40,0,Y19)</f>
        <v>0</v>
      </c>
      <c r="Z29" s="586"/>
      <c r="AA29" s="586"/>
      <c r="AB29" s="586"/>
      <c r="AC29" s="590"/>
    </row>
    <row r="30" customFormat="false" ht="12.75" hidden="false" customHeight="false" outlineLevel="0" collapsed="false">
      <c r="A30" s="402" t="s">
        <v>459</v>
      </c>
      <c r="B30" s="149"/>
      <c r="C30" s="149"/>
      <c r="D30" s="149"/>
      <c r="E30" s="573" t="n">
        <f aca="false">IF(E4&lt;'Project Assumptions'!$F$40,E26-E28,IF(AND(E4='Project Assumptions'!$F$40,E26-E28&gt;1),"ERROR",IF(E4&gt;'Project Assumptions'!$F$40,0,E26-E28)))</f>
        <v>24366.9080746509</v>
      </c>
      <c r="F30" s="573" t="n">
        <f aca="false">IF(F4&lt;'Project Assumptions'!$F$40,F26-F28,IF(AND(F4='Project Assumptions'!$F$40,F26-F28&gt;1),"ERROR",IF(F4&gt;'Project Assumptions'!$F$40,0,F26-F28)))</f>
        <v>16867.772111298</v>
      </c>
      <c r="G30" s="573" t="n">
        <f aca="false">IF(G4&lt;'Project Assumptions'!$F$40,G26-G28,IF(AND(G4='Project Assumptions'!$F$40,G26-G28&gt;1),"ERROR",IF(G4&gt;'Project Assumptions'!$F$40,0,G26-G28)))</f>
        <v>8693.57631375899</v>
      </c>
      <c r="H30" s="573" t="n">
        <f aca="false">IF(H4&lt;'Project Assumptions'!$F$40,H26-H28,IF(AND(H4='Project Assumptions'!$F$40,H26-H28&gt;1),"ERROR",IF(H4&gt;'Project Assumptions'!$F$40,0,H26-H28)))</f>
        <v>0</v>
      </c>
      <c r="I30" s="573" t="n">
        <f aca="false">IF(I4&lt;'Project Assumptions'!$F$40,I26-I28,IF(AND(I4='Project Assumptions'!$F$40,I26-I28&gt;1),"ERROR",IF(I4&gt;'Project Assumptions'!$F$40,0,I26-I28)))</f>
        <v>0</v>
      </c>
      <c r="J30" s="573" t="n">
        <f aca="false">IF(J4&lt;'Project Assumptions'!$F$40,J26-J28,IF(AND(J4='Project Assumptions'!$F$40,J26-J28&gt;1),"ERROR",IF(J4&gt;'Project Assumptions'!$F$40,0,J26-J28)))</f>
        <v>0</v>
      </c>
      <c r="K30" s="573" t="n">
        <f aca="false">IF(K4&lt;'Project Assumptions'!$F$40,K26-K28,IF(AND(K4='Project Assumptions'!$F$40,K26-K28&gt;1),"ERROR",IF(K4&gt;'Project Assumptions'!$F$40,0,K26-K28)))</f>
        <v>0</v>
      </c>
      <c r="L30" s="573" t="n">
        <f aca="false">IF(L4&lt;'Project Assumptions'!$F$40,L26-L28,IF(AND(L4='Project Assumptions'!$F$40,L26-L28&gt;1),"ERROR",IF(L4&gt;'Project Assumptions'!$F$40,0,L26-L28)))</f>
        <v>0</v>
      </c>
      <c r="M30" s="573" t="n">
        <f aca="false">IF(M4&lt;'Project Assumptions'!$F$40,M26-M28,IF(AND(M4='Project Assumptions'!$F$40,M26-M28&gt;1),"ERROR",IF(M4&gt;'Project Assumptions'!$F$40,0,M26-M28)))</f>
        <v>0</v>
      </c>
      <c r="N30" s="573" t="n">
        <f aca="false">IF(N4&lt;'Project Assumptions'!$F$40,N26-N28,IF(AND(N4='Project Assumptions'!$F$40,N26-N28&gt;1),"ERROR",IF(N4&gt;'Project Assumptions'!$F$40,0,N26-N28)))</f>
        <v>0</v>
      </c>
      <c r="O30" s="573" t="n">
        <f aca="false">IF(O4&lt;'Project Assumptions'!$F$40,O26-O28,IF(AND(O4='Project Assumptions'!$F$40,O26-O28&gt;1),"ERROR",IF(O4&gt;'Project Assumptions'!$F$40,0,O26-O28)))</f>
        <v>0</v>
      </c>
      <c r="P30" s="573" t="n">
        <f aca="false">IF(P4&lt;'Project Assumptions'!$F$40,P26-P28,IF(AND(P4='Project Assumptions'!$F$40,P26-P28&gt;1),"ERROR",IF(P4&gt;'Project Assumptions'!$F$40,0,P26-P28)))</f>
        <v>0</v>
      </c>
      <c r="Q30" s="573" t="n">
        <f aca="false">IF(Q4&lt;'Project Assumptions'!$F$40,Q26-Q28,IF(AND(Q4='Project Assumptions'!$F$40,Q26-Q28&gt;1),"ERROR",IF(Q4&gt;'Project Assumptions'!$F$40,0,Q26-Q28)))</f>
        <v>0</v>
      </c>
      <c r="R30" s="573" t="n">
        <f aca="false">IF(R4&lt;'Project Assumptions'!$F$40,R26-R28,IF(AND(R4='Project Assumptions'!$F$40,R26-R28&gt;1),"ERROR",IF(R4&gt;'Project Assumptions'!$F$40,0,R26-R28)))</f>
        <v>0</v>
      </c>
      <c r="S30" s="573" t="n">
        <f aca="false">IF(S4&lt;'Project Assumptions'!$F$40,S26-S28,IF(AND(S4='Project Assumptions'!$F$40,S26-S28&gt;1),"ERROR",IF(S4&gt;'Project Assumptions'!$F$40,0,S26-S28)))</f>
        <v>0</v>
      </c>
      <c r="T30" s="573" t="n">
        <f aca="false">IF(T4&lt;'Project Assumptions'!$F$40,T26-T28,IF(AND(T4='Project Assumptions'!$F$40,T26-T28&gt;1),"ERROR",IF(T4&gt;'Project Assumptions'!$F$40,0,T26-T28)))</f>
        <v>0</v>
      </c>
      <c r="U30" s="573" t="n">
        <f aca="false">IF(U4&lt;'Project Assumptions'!$F$40,U26-U28,IF(AND(U4='Project Assumptions'!$F$40,U26-U28&gt;1),"ERROR",IF(U4&gt;'Project Assumptions'!$F$40,0,U26-U28)))</f>
        <v>0</v>
      </c>
      <c r="V30" s="573" t="n">
        <f aca="false">IF(V4&lt;'Project Assumptions'!$F$40,V26-V28,IF(AND(V4='Project Assumptions'!$F$40,V26-V28&gt;1),"ERROR",IF(V4&gt;'Project Assumptions'!$F$40,0,V26-V28)))</f>
        <v>0</v>
      </c>
      <c r="W30" s="573" t="n">
        <f aca="false">IF(W4&lt;'Project Assumptions'!$F$40,W26-W28,IF(AND(W4='Project Assumptions'!$F$40,W26-W28&gt;1),"ERROR",IF(W4&gt;'Project Assumptions'!$F$40,0,W26-W28)))</f>
        <v>0</v>
      </c>
      <c r="X30" s="573" t="n">
        <f aca="false">IF(X4&lt;'Project Assumptions'!$F$40,X26-X28,IF(AND(X4='Project Assumptions'!$F$40,X26-X28&gt;1),"ERROR",IF(X4&gt;'Project Assumptions'!$F$40,0,X26-X28)))</f>
        <v>0</v>
      </c>
      <c r="Y30" s="574" t="n">
        <f aca="false">IF(Y4&lt;'Project Assumptions'!$F$40,Y26-Y28,IF(AND(Y4='Project Assumptions'!$F$40,Y26-Y28&gt;1),"ERROR",IF(Y4&gt;'Project Assumptions'!$F$40,0,Y26-Y28)))</f>
        <v>0</v>
      </c>
      <c r="Z30" s="573"/>
      <c r="AA30" s="573"/>
      <c r="AB30" s="573"/>
      <c r="AC30" s="575"/>
    </row>
    <row r="31" customFormat="false" ht="12.75" hidden="false" customHeight="false" outlineLevel="0" collapsed="false">
      <c r="A31" s="612" t="s">
        <v>460</v>
      </c>
      <c r="B31" s="492"/>
      <c r="C31" s="492"/>
      <c r="D31" s="492"/>
      <c r="E31" s="613" t="n">
        <f aca="false">SUMPRODUCT(E4:AC4,E28:AC28)/B19</f>
        <v>2.81960243792724</v>
      </c>
      <c r="F31" s="614"/>
      <c r="G31" s="614"/>
      <c r="H31" s="614"/>
      <c r="I31" s="614"/>
      <c r="J31" s="614"/>
      <c r="K31" s="614"/>
      <c r="L31" s="614"/>
      <c r="M31" s="614"/>
      <c r="N31" s="614"/>
      <c r="O31" s="598"/>
      <c r="P31" s="614"/>
      <c r="Q31" s="614"/>
      <c r="R31" s="614"/>
      <c r="S31" s="614"/>
      <c r="T31" s="614"/>
      <c r="U31" s="614"/>
      <c r="V31" s="614"/>
      <c r="W31" s="614"/>
      <c r="X31" s="614"/>
      <c r="Y31" s="615"/>
      <c r="Z31" s="586"/>
      <c r="AA31" s="586"/>
      <c r="AB31" s="586"/>
      <c r="AC31" s="590"/>
    </row>
    <row r="32" customFormat="false" ht="12.75" hidden="false" customHeight="false" outlineLevel="0" collapsed="false">
      <c r="D32" s="586"/>
      <c r="E32" s="586"/>
      <c r="F32" s="586"/>
      <c r="G32" s="586"/>
      <c r="H32" s="586"/>
      <c r="I32" s="586"/>
      <c r="J32" s="586"/>
      <c r="K32" s="586"/>
      <c r="L32" s="586"/>
      <c r="M32" s="586"/>
      <c r="N32" s="586"/>
      <c r="O32" s="586"/>
      <c r="P32" s="586"/>
      <c r="Q32" s="586"/>
      <c r="R32" s="586"/>
      <c r="S32" s="586"/>
      <c r="T32" s="586"/>
      <c r="U32" s="586"/>
      <c r="V32" s="586"/>
      <c r="W32" s="586"/>
      <c r="X32" s="586"/>
      <c r="Y32" s="586"/>
      <c r="Z32" s="586"/>
      <c r="AA32" s="586"/>
      <c r="AB32" s="586"/>
      <c r="AC32" s="576"/>
    </row>
    <row r="33" customFormat="false" ht="12.75" hidden="false" customHeight="false" outlineLevel="0" collapsed="false">
      <c r="A33" s="606" t="s">
        <v>245</v>
      </c>
      <c r="B33" s="607"/>
      <c r="C33" s="607"/>
      <c r="D33" s="608"/>
      <c r="E33" s="608"/>
      <c r="F33" s="608"/>
      <c r="G33" s="608"/>
      <c r="H33" s="608"/>
      <c r="I33" s="608"/>
      <c r="J33" s="608"/>
      <c r="K33" s="608"/>
      <c r="L33" s="608"/>
      <c r="M33" s="608"/>
      <c r="N33" s="608"/>
      <c r="O33" s="608"/>
      <c r="P33" s="608"/>
      <c r="Q33" s="608"/>
      <c r="R33" s="608"/>
      <c r="S33" s="608"/>
      <c r="T33" s="608"/>
      <c r="U33" s="608"/>
      <c r="V33" s="608"/>
      <c r="W33" s="608"/>
      <c r="X33" s="608"/>
      <c r="Y33" s="609"/>
      <c r="Z33" s="586"/>
      <c r="AA33" s="586"/>
      <c r="AB33" s="586"/>
      <c r="AC33" s="576"/>
    </row>
    <row r="34" customFormat="false" ht="12.75" hidden="false" customHeight="false" outlineLevel="0" collapsed="false">
      <c r="A34" s="402" t="s">
        <v>455</v>
      </c>
      <c r="B34" s="610"/>
      <c r="C34" s="610"/>
      <c r="D34" s="149"/>
      <c r="E34" s="573" t="n">
        <f aca="false">B20</f>
        <v>54748.7367488448</v>
      </c>
      <c r="F34" s="573" t="n">
        <f aca="false">IF(F4&gt;'Project Assumptions'!$G$40,0,E38)</f>
        <v>54748.7367488448</v>
      </c>
      <c r="G34" s="573" t="n">
        <f aca="false">IF(G4&gt;'Project Assumptions'!$G$40,0,F38)</f>
        <v>54748.7367488448</v>
      </c>
      <c r="H34" s="573" t="n">
        <f aca="false">IF(H4&gt;'Project Assumptions'!$G$40,0,G38)</f>
        <v>54748.7367488448</v>
      </c>
      <c r="I34" s="573" t="n">
        <f aca="false">IF(I4&gt;'Project Assumptions'!$G$40,0,H38)</f>
        <v>54748.7367488448</v>
      </c>
      <c r="J34" s="573" t="n">
        <f aca="false">IF(J4&gt;'Project Assumptions'!$G$40,0,I38)</f>
        <v>48865.2986287467</v>
      </c>
      <c r="K34" s="573" t="n">
        <f aca="false">IF(K4&gt;'Project Assumptions'!$G$40,0,J38)</f>
        <v>40784.7204416697</v>
      </c>
      <c r="L34" s="573" t="n">
        <f aca="false">IF(L4&gt;'Project Assumptions'!$G$40,0,K38)</f>
        <v>31966.6341127486</v>
      </c>
      <c r="M34" s="573" t="n">
        <f aca="false">IF(M4&gt;'Project Assumptions'!$G$40,0,L38)</f>
        <v>22356.4883635645</v>
      </c>
      <c r="N34" s="573" t="n">
        <f aca="false">IF(N4&gt;'Project Assumptions'!$G$40,0,M38)</f>
        <v>11645.7149734859</v>
      </c>
      <c r="O34" s="573" t="n">
        <f aca="false">IF(O4&gt;'Project Assumptions'!$G$40,0,N38)</f>
        <v>0</v>
      </c>
      <c r="P34" s="573" t="n">
        <f aca="false">IF(P4&gt;'Project Assumptions'!$G$40,0,O38)</f>
        <v>0</v>
      </c>
      <c r="Q34" s="573" t="n">
        <f aca="false">IF(Q4&gt;'Project Assumptions'!$G$40,0,P38)</f>
        <v>0</v>
      </c>
      <c r="R34" s="573" t="n">
        <f aca="false">IF(R4&gt;'Project Assumptions'!$G$40,0,Q38)</f>
        <v>0</v>
      </c>
      <c r="S34" s="573" t="n">
        <f aca="false">IF(S4&gt;'Project Assumptions'!$G$40,0,R38)</f>
        <v>0</v>
      </c>
      <c r="T34" s="573" t="n">
        <f aca="false">IF(T4&gt;'Project Assumptions'!$G$40,0,S38)</f>
        <v>0</v>
      </c>
      <c r="U34" s="573" t="n">
        <f aca="false">IF(U4&gt;'Project Assumptions'!$G$40,0,T38)</f>
        <v>0</v>
      </c>
      <c r="V34" s="573" t="n">
        <f aca="false">IF(V4&gt;'Project Assumptions'!$G$40,0,U38)</f>
        <v>0</v>
      </c>
      <c r="W34" s="573" t="n">
        <f aca="false">IF(W4&gt;'Project Assumptions'!$G$40,0,V38)</f>
        <v>0</v>
      </c>
      <c r="X34" s="573" t="n">
        <f aca="false">IF(X4&gt;'Project Assumptions'!$G$40,0,W38)</f>
        <v>0</v>
      </c>
      <c r="Y34" s="574" t="n">
        <f aca="false">IF(Y4&gt;'Project Assumptions'!$G$40,0,X38)</f>
        <v>0</v>
      </c>
      <c r="Z34" s="573"/>
      <c r="AA34" s="573"/>
      <c r="AB34" s="573"/>
      <c r="AC34" s="575"/>
    </row>
    <row r="35" customFormat="false" ht="12.75" hidden="false" customHeight="false" outlineLevel="0" collapsed="false">
      <c r="A35" s="402" t="s">
        <v>456</v>
      </c>
      <c r="B35" s="611"/>
      <c r="C35" s="611"/>
      <c r="D35" s="149"/>
      <c r="E35" s="586" t="n">
        <f aca="false">IF(E4&gt;'Project Assumptions'!$F$40,E34*E13,IF(AND(E4&lt;='Project Assumptions'!$F$40,'Project Assumptions'!$G$43="Interest Only"),E34*E13*(13-MONTH('Project Assumptions'!I17))/12,0))</f>
        <v>1535.24582633219</v>
      </c>
      <c r="F35" s="586" t="n">
        <f aca="false">IF(F4&gt;'Project Assumptions'!$F$40,F34*F13,IF(AND(F4&lt;='Project Assumptions'!$F$40,'Project Assumptions'!$G$43="Interest Only"),F34*F13,0))</f>
        <v>3684.58998319726</v>
      </c>
      <c r="G35" s="586" t="n">
        <f aca="false">IF(G4&gt;'Project Assumptions'!$F$40,G34*G13,IF(AND(G4&lt;='Project Assumptions'!$F$40,'Project Assumptions'!$G$43="Interest Only"),G34*G13,0))</f>
        <v>3684.58998319726</v>
      </c>
      <c r="H35" s="586" t="n">
        <f aca="false">IF(H4&gt;'Project Assumptions'!$F$40,H34*H13,IF(AND(H4&lt;='Project Assumptions'!$F$40,'Project Assumptions'!$G$43="Interest Only"),H34*H13,0))</f>
        <v>3684.58998319726</v>
      </c>
      <c r="I35" s="586" t="n">
        <f aca="false">IF(I4&gt;'Project Assumptions'!$F$40,I34*I13,IF(AND(I4&lt;='Project Assumptions'!$F$40,'Project Assumptions'!$G$43="Interest Only"),I34*I13,0))</f>
        <v>4144.47937188755</v>
      </c>
      <c r="J35" s="586" t="n">
        <f aca="false">IF(J4&gt;'Project Assumptions'!$F$40,J34*J13,IF(AND(J4&lt;='Project Assumptions'!$F$40,'Project Assumptions'!$G$43="Interest Only"),J34*J13,0))</f>
        <v>3699.10310619613</v>
      </c>
      <c r="K35" s="586" t="n">
        <f aca="false">IF(K4&gt;'Project Assumptions'!$F$40,K34*K13,IF(AND(K4&lt;='Project Assumptions'!$F$40,'Project Assumptions'!$G$43="Interest Only"),K34*K13,0))</f>
        <v>3087.4033374344</v>
      </c>
      <c r="L35" s="586" t="n">
        <f aca="false">IF(L4&gt;'Project Assumptions'!$F$40,L34*L13,IF(AND(L4&lt;='Project Assumptions'!$F$40,'Project Assumptions'!$G$43="Interest Only"),L34*L13,0))</f>
        <v>2419.87420233507</v>
      </c>
      <c r="M35" s="586" t="n">
        <f aca="false">IF(M4&gt;'Project Assumptions'!$F$40,M34*M13,IF(AND(M4&lt;='Project Assumptions'!$F$40,'Project Assumptions'!$G$43="Interest Only"),M34*M13,0))</f>
        <v>1692.38616912183</v>
      </c>
      <c r="N35" s="586" t="n">
        <f aca="false">IF(N4&gt;'Project Assumptions'!$F$40,N34*N13,IF(AND(N4&lt;='Project Assumptions'!$F$40,'Project Assumptions'!$G$43="Interest Only"),N34*N13,0))</f>
        <v>881.580623492882</v>
      </c>
      <c r="O35" s="586" t="n">
        <f aca="false">IF(O4&gt;'Project Assumptions'!$F$40,O34*O13,IF(AND(O4&lt;='Project Assumptions'!$F$40,'Project Assumptions'!$G$43="Interest Only"),O34*O13,0))</f>
        <v>0</v>
      </c>
      <c r="P35" s="586" t="n">
        <f aca="false">IF(P4&gt;'Project Assumptions'!$F$40,P34*P13,IF(AND(P4&lt;='Project Assumptions'!$F$40,'Project Assumptions'!$G$43="Interest Only"),P34*P13,0))</f>
        <v>0</v>
      </c>
      <c r="Q35" s="586" t="n">
        <f aca="false">IF(Q4&gt;'Project Assumptions'!$F$40,Q34*Q13,IF(AND(Q4&lt;='Project Assumptions'!$F$40,'Project Assumptions'!$G$43="Interest Only"),Q34*Q13,0))</f>
        <v>0</v>
      </c>
      <c r="R35" s="586" t="n">
        <f aca="false">IF(R4&gt;'Project Assumptions'!$F$40,R34*R13,IF(AND(R4&lt;='Project Assumptions'!$F$40,'Project Assumptions'!$G$43="Interest Only"),R34*R13,0))</f>
        <v>0</v>
      </c>
      <c r="S35" s="586" t="n">
        <f aca="false">IF(S4&gt;'Project Assumptions'!$F$40,S34*S13,IF(AND(S4&lt;='Project Assumptions'!$F$40,'Project Assumptions'!$G$43="Interest Only"),S34*S13,0))</f>
        <v>0</v>
      </c>
      <c r="T35" s="586" t="n">
        <f aca="false">IF(T4&gt;'Project Assumptions'!$F$40,T34*T13,IF(AND(T4&lt;='Project Assumptions'!$F$40,'Project Assumptions'!$G$43="Interest Only"),T34*T13,0))</f>
        <v>0</v>
      </c>
      <c r="U35" s="586" t="n">
        <f aca="false">IF(U4&gt;'Project Assumptions'!$F$40,U34*U13,IF(AND(U4&lt;='Project Assumptions'!$F$40,'Project Assumptions'!$G$43="Interest Only"),U34*U13,0))</f>
        <v>0</v>
      </c>
      <c r="V35" s="586" t="n">
        <f aca="false">IF(V4&gt;'Project Assumptions'!$F$40,V34*V13,IF(AND(V4&lt;='Project Assumptions'!$F$40,'Project Assumptions'!$G$43="Interest Only"),V34*V13,0))</f>
        <v>0</v>
      </c>
      <c r="W35" s="586" t="n">
        <f aca="false">IF(W4&gt;'Project Assumptions'!$F$40,W34*W13,IF(AND(W4&lt;='Project Assumptions'!$F$40,'Project Assumptions'!$G$43="Interest Only"),W34*W13,0))</f>
        <v>0</v>
      </c>
      <c r="X35" s="586" t="n">
        <f aca="false">IF(X4&gt;'Project Assumptions'!$F$40,X34*X13,IF(AND(X4&lt;='Project Assumptions'!$F$40,'Project Assumptions'!$G$43="Interest Only"),X34*X13,0))</f>
        <v>0</v>
      </c>
      <c r="Y35" s="587" t="n">
        <f aca="false">IF(Y4&gt;'Project Assumptions'!$F$40,Y34*Y13,IF(AND(Y4&lt;='Project Assumptions'!$F$40,'Project Assumptions'!$G$43="Interest Only"),Y34*Y13,0))</f>
        <v>0</v>
      </c>
      <c r="Z35" s="586"/>
      <c r="AA35" s="586"/>
      <c r="AB35" s="586"/>
      <c r="AC35" s="590"/>
    </row>
    <row r="36" customFormat="false" ht="12.75" hidden="false" customHeight="false" outlineLevel="0" collapsed="false">
      <c r="A36" s="402" t="s">
        <v>457</v>
      </c>
      <c r="B36" s="616"/>
      <c r="C36" s="616"/>
      <c r="D36" s="149"/>
      <c r="E36" s="586" t="n">
        <f aca="false">IF(OR(E4&lt;='Project Assumptions'!$F$40,E4&gt;'Project Assumptions'!$G$40),0,E37-E35)</f>
        <v>0</v>
      </c>
      <c r="F36" s="586" t="n">
        <f aca="false">IF(OR(F4&lt;='Project Assumptions'!$F$40,F4&gt;'Project Assumptions'!$G$40),0,F37-F35)</f>
        <v>0</v>
      </c>
      <c r="G36" s="586" t="n">
        <f aca="false">IF(OR(G4&lt;='Project Assumptions'!$F$40,G4&gt;'Project Assumptions'!$G$40),0,G37-G35)</f>
        <v>0</v>
      </c>
      <c r="H36" s="586" t="n">
        <f aca="false">IF(OR(H4&lt;='Project Assumptions'!$F$40,H4&gt;'Project Assumptions'!$G$40),0,H37-H35)</f>
        <v>0</v>
      </c>
      <c r="I36" s="586" t="n">
        <f aca="false">IF(OR(I4&lt;='Project Assumptions'!$F$40,I4&gt;'Project Assumptions'!$G$40),0,I37-I35)</f>
        <v>5883.43812009808</v>
      </c>
      <c r="J36" s="586" t="n">
        <f aca="false">IF(OR(J4&lt;='Project Assumptions'!$F$40,J4&gt;'Project Assumptions'!$G$40),0,J37-J35)</f>
        <v>8080.57818707706</v>
      </c>
      <c r="K36" s="586" t="n">
        <f aca="false">IF(OR(K4&lt;='Project Assumptions'!$F$40,K4&gt;'Project Assumptions'!$G$40),0,K37-K35)</f>
        <v>8818.08632892109</v>
      </c>
      <c r="L36" s="586" t="n">
        <f aca="false">IF(OR(L4&lt;='Project Assumptions'!$F$40,L4&gt;'Project Assumptions'!$G$40),0,L37-L35)</f>
        <v>9610.1457491841</v>
      </c>
      <c r="M36" s="586" t="n">
        <f aca="false">IF(OR(M4&lt;='Project Assumptions'!$F$40,M4&gt;'Project Assumptions'!$G$40),0,M37-M35)</f>
        <v>10710.7733900786</v>
      </c>
      <c r="N36" s="586" t="n">
        <f aca="false">IF(OR(N4&lt;='Project Assumptions'!$F$40,N4&gt;'Project Assumptions'!$G$40),0,N37-N35)</f>
        <v>11645.7149734859</v>
      </c>
      <c r="O36" s="586" t="n">
        <f aca="false">IF(OR(O4&lt;='Project Assumptions'!$F$40,O4&gt;'Project Assumptions'!$G$40),0,O37-O35)</f>
        <v>0</v>
      </c>
      <c r="P36" s="586" t="n">
        <f aca="false">IF(OR(P4&lt;='Project Assumptions'!$F$40,P4&gt;'Project Assumptions'!$G$40),0,P37-P35)</f>
        <v>0</v>
      </c>
      <c r="Q36" s="586" t="n">
        <f aca="false">IF(OR(Q4&lt;='Project Assumptions'!$F$40,Q4&gt;'Project Assumptions'!$G$40),0,Q37-Q35)</f>
        <v>0</v>
      </c>
      <c r="R36" s="586" t="n">
        <f aca="false">IF(OR(R4&lt;='Project Assumptions'!$F$40,R4&gt;'Project Assumptions'!$G$40),0,R37-R35)</f>
        <v>0</v>
      </c>
      <c r="S36" s="586" t="n">
        <f aca="false">IF(OR(S4&lt;='Project Assumptions'!$F$40,S4&gt;'Project Assumptions'!$G$40),0,S37-S35)</f>
        <v>0</v>
      </c>
      <c r="T36" s="586" t="n">
        <f aca="false">IF(OR(T4&lt;='Project Assumptions'!$F$40,T4&gt;'Project Assumptions'!$G$40),0,T37-T35)</f>
        <v>0</v>
      </c>
      <c r="U36" s="586" t="n">
        <f aca="false">IF(OR(U4&lt;='Project Assumptions'!$F$40,U4&gt;'Project Assumptions'!$G$40),0,U37-U35)</f>
        <v>0</v>
      </c>
      <c r="V36" s="586" t="n">
        <f aca="false">IF(OR(V4&lt;='Project Assumptions'!$F$40,V4&gt;'Project Assumptions'!$G$40),0,V37-V35)</f>
        <v>0</v>
      </c>
      <c r="W36" s="586" t="n">
        <f aca="false">IF(OR(W4&lt;='Project Assumptions'!$F$40,W4&gt;'Project Assumptions'!$G$40),0,W37-W35)</f>
        <v>0</v>
      </c>
      <c r="X36" s="586" t="n">
        <f aca="false">IF(OR(X4&lt;='Project Assumptions'!$F$40,X4&gt;'Project Assumptions'!$G$40),0,X37-X35)</f>
        <v>0</v>
      </c>
      <c r="Y36" s="587" t="n">
        <f aca="false">IF(OR(Y4&lt;='Project Assumptions'!$F$40,Y4&gt;'Project Assumptions'!$G$40),0,Y37-Y35)</f>
        <v>0</v>
      </c>
      <c r="Z36" s="586"/>
      <c r="AA36" s="586"/>
      <c r="AB36" s="586"/>
      <c r="AC36" s="590"/>
    </row>
    <row r="37" customFormat="false" ht="12.75" hidden="false" customHeight="false" outlineLevel="0" collapsed="false">
      <c r="A37" s="579" t="s">
        <v>458</v>
      </c>
      <c r="B37" s="376"/>
      <c r="C37" s="376"/>
      <c r="D37" s="376"/>
      <c r="E37" s="586" t="n">
        <f aca="false">IF(E4&lt;='Project Assumptions'!$F$40,E35,E20)</f>
        <v>1535.24582633219</v>
      </c>
      <c r="F37" s="586" t="n">
        <f aca="false">IF(F4&lt;='Project Assumptions'!$F$40,F35,F20)</f>
        <v>3684.58998319726</v>
      </c>
      <c r="G37" s="586" t="n">
        <f aca="false">IF(G4&lt;='Project Assumptions'!$F$40,G35,G20)</f>
        <v>3684.58998319726</v>
      </c>
      <c r="H37" s="586" t="n">
        <f aca="false">IF(H4&lt;='Project Assumptions'!$F$40,H35,H20)</f>
        <v>3684.58998319726</v>
      </c>
      <c r="I37" s="586" t="n">
        <f aca="false">IF(I4&lt;='Project Assumptions'!$F$40,I35,I20)</f>
        <v>10027.9174919856</v>
      </c>
      <c r="J37" s="586" t="n">
        <f aca="false">IF(J4&lt;='Project Assumptions'!$F$40,J35,J20)</f>
        <v>11779.6812932732</v>
      </c>
      <c r="K37" s="586" t="n">
        <f aca="false">IF(K4&lt;='Project Assumptions'!$F$40,K35,K20)</f>
        <v>11905.4896663555</v>
      </c>
      <c r="L37" s="586" t="n">
        <f aca="false">IF(L4&lt;='Project Assumptions'!$F$40,L35,L20)</f>
        <v>12030.0199515192</v>
      </c>
      <c r="M37" s="586" t="n">
        <f aca="false">IF(M4&lt;='Project Assumptions'!$F$40,M35,M20)</f>
        <v>12403.1595592004</v>
      </c>
      <c r="N37" s="586" t="n">
        <f aca="false">IF(N4&lt;='Project Assumptions'!$F$40,N35,N20)</f>
        <v>12527.2955969788</v>
      </c>
      <c r="O37" s="586" t="n">
        <f aca="false">IF(O4&lt;='Project Assumptions'!$F$40,O35,O20)</f>
        <v>0</v>
      </c>
      <c r="P37" s="586" t="n">
        <f aca="false">IF(P4&lt;='Project Assumptions'!$F$40,P35,P20)</f>
        <v>0</v>
      </c>
      <c r="Q37" s="586" t="n">
        <f aca="false">IF(Q4&lt;='Project Assumptions'!$F$40,Q35,Q20)</f>
        <v>0</v>
      </c>
      <c r="R37" s="586" t="n">
        <f aca="false">IF(R4&lt;='Project Assumptions'!$F$40,R35,R20)</f>
        <v>0</v>
      </c>
      <c r="S37" s="586" t="n">
        <f aca="false">IF(S4&lt;='Project Assumptions'!$F$40,S35,S20)</f>
        <v>0</v>
      </c>
      <c r="T37" s="586" t="n">
        <f aca="false">IF(T4&lt;='Project Assumptions'!$F$40,T35,T20)</f>
        <v>0</v>
      </c>
      <c r="U37" s="586" t="n">
        <f aca="false">IF(U4&lt;='Project Assumptions'!$F$40,U35,U20)</f>
        <v>0</v>
      </c>
      <c r="V37" s="586" t="n">
        <f aca="false">IF(V4&lt;='Project Assumptions'!$F$40,V35,V20)</f>
        <v>0</v>
      </c>
      <c r="W37" s="586" t="n">
        <f aca="false">IF(W4&lt;='Project Assumptions'!$F$40,W35,W20)</f>
        <v>0</v>
      </c>
      <c r="X37" s="586" t="n">
        <f aca="false">IF(X4&lt;='Project Assumptions'!$F$40,X35,X20)</f>
        <v>0</v>
      </c>
      <c r="Y37" s="587" t="n">
        <f aca="false">IF(Y4&lt;='Project Assumptions'!$F$40,Y35,Y20)</f>
        <v>0</v>
      </c>
      <c r="Z37" s="586"/>
      <c r="AA37" s="586"/>
      <c r="AB37" s="586"/>
      <c r="AC37" s="590"/>
    </row>
    <row r="38" customFormat="false" ht="12.6" hidden="false" customHeight="true" outlineLevel="0" collapsed="false">
      <c r="A38" s="579" t="s">
        <v>459</v>
      </c>
      <c r="B38" s="549"/>
      <c r="C38" s="549"/>
      <c r="D38" s="376"/>
      <c r="E38" s="573" t="n">
        <f aca="false">IF(E4&lt;'Project Assumptions'!$G$40,E34-E36,IF(E4&gt;'Project Assumptions'!$G$40,0,E34-E36))</f>
        <v>54748.7367488448</v>
      </c>
      <c r="F38" s="573" t="n">
        <f aca="false">IF(F4&lt;'Project Assumptions'!$G$40,F34-F36,IF(F4&gt;'Project Assumptions'!$G$40,0,F34-F36))</f>
        <v>54748.7367488448</v>
      </c>
      <c r="G38" s="573" t="n">
        <f aca="false">IF(G4&lt;'Project Assumptions'!$G$40,G34-G36,IF(G4&gt;'Project Assumptions'!$G$40,0,G34-G36))</f>
        <v>54748.7367488448</v>
      </c>
      <c r="H38" s="573" t="n">
        <f aca="false">IF(H4&lt;'Project Assumptions'!$G$40,H34-H36,IF(H4&gt;'Project Assumptions'!$G$40,0,H34-H36))</f>
        <v>54748.7367488448</v>
      </c>
      <c r="I38" s="573" t="n">
        <f aca="false">IF(I4&lt;'Project Assumptions'!$G$40,I34-I36,IF(I4&gt;'Project Assumptions'!$G$40,0,I34-I36))</f>
        <v>48865.2986287467</v>
      </c>
      <c r="J38" s="573" t="n">
        <f aca="false">IF(J4&lt;'Project Assumptions'!$G$40,J34-J36,IF(J4&gt;'Project Assumptions'!$G$40,0,J34-J36))</f>
        <v>40784.7204416697</v>
      </c>
      <c r="K38" s="573" t="n">
        <f aca="false">IF(K4&lt;'Project Assumptions'!$G$40,K34-K36,IF(K4&gt;'Project Assumptions'!$G$40,0,K34-K36))</f>
        <v>31966.6341127486</v>
      </c>
      <c r="L38" s="573" t="n">
        <f aca="false">IF(L4&lt;'Project Assumptions'!$G$40,L34-L36,IF(L4&gt;'Project Assumptions'!$G$40,0,L34-L36))</f>
        <v>22356.4883635645</v>
      </c>
      <c r="M38" s="573" t="n">
        <f aca="false">IF(M4&lt;'Project Assumptions'!$G$40,M34-M36,IF(M4&gt;'Project Assumptions'!$G$40,0,M34-M36))</f>
        <v>11645.7149734859</v>
      </c>
      <c r="N38" s="573" t="n">
        <f aca="false">IF(N4&lt;'Project Assumptions'!$G$40,N34-N36,IF(N4&gt;'Project Assumptions'!$G$40,0,N34-N36))</f>
        <v>0</v>
      </c>
      <c r="O38" s="573" t="n">
        <f aca="false">IF(O4&lt;'Project Assumptions'!$G$40,O34-O36,IF(O4&gt;'Project Assumptions'!$G$40,0,O34-O36))</f>
        <v>0</v>
      </c>
      <c r="P38" s="573" t="n">
        <f aca="false">IF(P4&lt;'Project Assumptions'!$G$40,P34-P36,IF(P4&gt;'Project Assumptions'!$G$40,0,P34-P36))</f>
        <v>0</v>
      </c>
      <c r="Q38" s="573" t="n">
        <f aca="false">IF(Q4&lt;'Project Assumptions'!$G$40,Q34-Q36,IF(Q4&gt;'Project Assumptions'!$G$40,0,Q34-Q36))</f>
        <v>0</v>
      </c>
      <c r="R38" s="573" t="n">
        <f aca="false">IF(R4&lt;'Project Assumptions'!$G$40,R34-R36,IF(R4&gt;'Project Assumptions'!$G$40,0,R34-R36))</f>
        <v>0</v>
      </c>
      <c r="S38" s="573" t="n">
        <f aca="false">IF(S4&lt;'Project Assumptions'!$G$40,S34-S36,IF(S4&gt;'Project Assumptions'!$G$40,0,S34-S36))</f>
        <v>0</v>
      </c>
      <c r="T38" s="573" t="n">
        <f aca="false">IF(T4&lt;'Project Assumptions'!$G$40,T34-T36,IF(T4&gt;'Project Assumptions'!$G$40,0,T34-T36))</f>
        <v>0</v>
      </c>
      <c r="U38" s="573" t="n">
        <f aca="false">IF(U4&lt;'Project Assumptions'!$G$40,U34-U36,IF(U4&gt;'Project Assumptions'!$G$40,0,U34-U36))</f>
        <v>0</v>
      </c>
      <c r="V38" s="573" t="n">
        <f aca="false">IF(V4&lt;'Project Assumptions'!$G$40,V34-V36,IF(V4&gt;'Project Assumptions'!$G$40,0,V34-V36))</f>
        <v>0</v>
      </c>
      <c r="W38" s="573" t="n">
        <f aca="false">IF(W4&lt;'Project Assumptions'!$G$40,W34-W36,IF(W4&gt;'Project Assumptions'!$G$40,0,W34-W36))</f>
        <v>0</v>
      </c>
      <c r="X38" s="573" t="n">
        <f aca="false">IF(X4&lt;'Project Assumptions'!$G$40,X34-X36,IF(X4&gt;'Project Assumptions'!$G$40,0,X34-X36))</f>
        <v>0</v>
      </c>
      <c r="Y38" s="574" t="n">
        <f aca="false">IF(Y4&lt;'Project Assumptions'!$G$40,Y34-Y36,IF(Y4&gt;'Project Assumptions'!$G$40,0,Y34-Y36))</f>
        <v>0</v>
      </c>
      <c r="Z38" s="573"/>
      <c r="AA38" s="573"/>
      <c r="AB38" s="573"/>
      <c r="AC38" s="575"/>
    </row>
    <row r="39" customFormat="false" ht="12.6" hidden="false" customHeight="true" outlineLevel="0" collapsed="false">
      <c r="A39" s="617" t="s">
        <v>460</v>
      </c>
      <c r="B39" s="618"/>
      <c r="C39" s="618"/>
      <c r="D39" s="597"/>
      <c r="E39" s="619" t="n">
        <f aca="false">IF('Project Assumptions'!$G$40&gt;0,SUMPRODUCT(E4:AC4,E36:AC36)/B20,0)</f>
        <v>7.84241912711345</v>
      </c>
      <c r="F39" s="598"/>
      <c r="G39" s="598"/>
      <c r="H39" s="598"/>
      <c r="I39" s="598"/>
      <c r="J39" s="598"/>
      <c r="K39" s="598"/>
      <c r="L39" s="598"/>
      <c r="M39" s="598"/>
      <c r="N39" s="598"/>
      <c r="O39" s="598"/>
      <c r="P39" s="598"/>
      <c r="Q39" s="598"/>
      <c r="R39" s="598"/>
      <c r="S39" s="598"/>
      <c r="T39" s="598"/>
      <c r="U39" s="598"/>
      <c r="V39" s="598"/>
      <c r="W39" s="598"/>
      <c r="X39" s="598"/>
      <c r="Y39" s="599"/>
      <c r="Z39" s="600"/>
      <c r="AA39" s="600"/>
      <c r="AB39" s="600"/>
      <c r="AC39" s="601"/>
    </row>
    <row r="40" customFormat="false" ht="12.75" hidden="false" customHeight="false" outlineLevel="0" collapsed="false">
      <c r="E40" s="586"/>
      <c r="F40" s="586"/>
      <c r="G40" s="586"/>
      <c r="H40" s="586"/>
      <c r="I40" s="586"/>
      <c r="J40" s="586"/>
      <c r="K40" s="586"/>
      <c r="L40" s="586"/>
      <c r="M40" s="586"/>
      <c r="N40" s="586"/>
      <c r="O40" s="586"/>
      <c r="P40" s="586"/>
      <c r="Q40" s="586"/>
      <c r="R40" s="586"/>
      <c r="S40" s="620"/>
      <c r="T40" s="586"/>
      <c r="U40" s="586"/>
      <c r="V40" s="586"/>
      <c r="W40" s="586"/>
      <c r="X40" s="586"/>
      <c r="Y40" s="586"/>
      <c r="Z40" s="586"/>
      <c r="AA40" s="586"/>
      <c r="AB40" s="586"/>
      <c r="AC40" s="590"/>
    </row>
    <row r="41" customFormat="false" ht="12.75" hidden="false" customHeight="false" outlineLevel="0" collapsed="false">
      <c r="A41" s="606" t="s">
        <v>246</v>
      </c>
      <c r="B41" s="621"/>
      <c r="C41" s="621"/>
      <c r="D41" s="608"/>
      <c r="E41" s="622"/>
      <c r="F41" s="608"/>
      <c r="G41" s="608"/>
      <c r="H41" s="608"/>
      <c r="I41" s="608"/>
      <c r="J41" s="608"/>
      <c r="K41" s="608"/>
      <c r="L41" s="608"/>
      <c r="M41" s="608"/>
      <c r="N41" s="608"/>
      <c r="O41" s="608"/>
      <c r="P41" s="608"/>
      <c r="Q41" s="608"/>
      <c r="R41" s="608"/>
      <c r="S41" s="623"/>
      <c r="T41" s="608"/>
      <c r="U41" s="608"/>
      <c r="V41" s="608"/>
      <c r="W41" s="608"/>
      <c r="X41" s="608"/>
      <c r="Y41" s="609"/>
      <c r="Z41" s="586"/>
      <c r="AA41" s="586"/>
      <c r="AB41" s="586"/>
      <c r="AC41" s="588"/>
    </row>
    <row r="42" customFormat="false" ht="12.6" hidden="false" customHeight="true" outlineLevel="0" collapsed="false">
      <c r="A42" s="579" t="s">
        <v>455</v>
      </c>
      <c r="B42" s="610" t="s">
        <v>461</v>
      </c>
      <c r="C42" s="610"/>
      <c r="D42" s="376"/>
      <c r="E42" s="573" t="n">
        <f aca="false">B21</f>
        <v>89195.9371362093</v>
      </c>
      <c r="F42" s="573" t="n">
        <f aca="false">+IF(F4&gt;'Project Assumptions'!$H$40,0,E46)</f>
        <v>89195.9371362093</v>
      </c>
      <c r="G42" s="573" t="n">
        <f aca="false">+IF(G4&gt;'Project Assumptions'!$H$40,0,F46)</f>
        <v>89195.9371362093</v>
      </c>
      <c r="H42" s="573" t="n">
        <f aca="false">+IF(H4&gt;'Project Assumptions'!$H$40,0,G46)</f>
        <v>89195.9371362093</v>
      </c>
      <c r="I42" s="573" t="n">
        <f aca="false">+IF(I4&gt;'Project Assumptions'!$H$40,0,H46)</f>
        <v>89195.9371362093</v>
      </c>
      <c r="J42" s="573" t="n">
        <f aca="false">+IF(J4&gt;'Project Assumptions'!$H$40,0,I46)</f>
        <v>89195.9371362093</v>
      </c>
      <c r="K42" s="573" t="n">
        <f aca="false">+IF(K4&gt;'Project Assumptions'!$H$40,0,J46)</f>
        <v>89195.9371362093</v>
      </c>
      <c r="L42" s="573" t="n">
        <f aca="false">+IF(L4&gt;'Project Assumptions'!$H$40,0,K46)</f>
        <v>89195.9371362093</v>
      </c>
      <c r="M42" s="573" t="n">
        <f aca="false">+IF(M4&gt;'Project Assumptions'!$H$40,0,L46)</f>
        <v>89195.9371362093</v>
      </c>
      <c r="N42" s="573" t="n">
        <f aca="false">+IF(N4&gt;'Project Assumptions'!$H$40,0,M46)</f>
        <v>89195.9371362093</v>
      </c>
      <c r="O42" s="573" t="n">
        <f aca="false">+IF(O4&gt;'Project Assumptions'!$H$40,0,N46)</f>
        <v>89195.9371362093</v>
      </c>
      <c r="P42" s="573" t="n">
        <f aca="false">+IF(P4&gt;'Project Assumptions'!$H$40,0,O46)</f>
        <v>83574.9918684823</v>
      </c>
      <c r="Q42" s="573" t="n">
        <f aca="false">+IF(Q4&gt;'Project Assumptions'!$H$40,0,P46)</f>
        <v>77688.2912594396</v>
      </c>
      <c r="R42" s="573" t="n">
        <f aca="false">+IF(R4&gt;'Project Assumptions'!$H$40,0,Q46)</f>
        <v>70890.8458758354</v>
      </c>
      <c r="S42" s="573" t="n">
        <f aca="false">+IF(S4&gt;'Project Assumptions'!$H$40,0,R46)</f>
        <v>63382.2524745803</v>
      </c>
      <c r="T42" s="573" t="n">
        <f aca="false">+IF(T4&gt;'Project Assumptions'!$H$40,0,S46)</f>
        <v>55109.6627169033</v>
      </c>
      <c r="U42" s="573" t="n">
        <f aca="false">+IF(U4&gt;'Project Assumptions'!$H$40,0,T46)</f>
        <v>46016.3283440926</v>
      </c>
      <c r="V42" s="573" t="n">
        <f aca="false">+IF(V4&gt;'Project Assumptions'!$H$40,0,U46)</f>
        <v>36027.9896979287</v>
      </c>
      <c r="W42" s="573" t="n">
        <f aca="false">+IF(W4&gt;'Project Assumptions'!$H$40,0,V46)</f>
        <v>25071.434325301</v>
      </c>
      <c r="X42" s="573" t="n">
        <f aca="false">+IF(X4&gt;'Project Assumptions'!$H$40,0,W46)</f>
        <v>13074.6049752357</v>
      </c>
      <c r="Y42" s="574" t="n">
        <f aca="false">+IF(Y4&gt;'Project Assumptions'!$H$40,0,X46)</f>
        <v>0</v>
      </c>
      <c r="Z42" s="573"/>
      <c r="AA42" s="573"/>
      <c r="AB42" s="573"/>
      <c r="AC42" s="575"/>
    </row>
    <row r="43" customFormat="false" ht="12.6" hidden="false" customHeight="true" outlineLevel="0" collapsed="false">
      <c r="A43" s="579" t="s">
        <v>456</v>
      </c>
      <c r="B43" s="611"/>
      <c r="C43" s="611"/>
      <c r="D43" s="376"/>
      <c r="E43" s="586" t="n">
        <f aca="false">IF('Project Assumptions'!$H$40=0,0,IF(E4&gt;'Project Assumptions'!$G$40,E42*E14,IF(AND(E4&lt;='Project Assumptions'!$G$40,'Project Assumptions'!$H$43="Interest Only"),E42*E14*(13-MONTH('Project Assumptions'!I17))/12,0)))</f>
        <v>0</v>
      </c>
      <c r="F43" s="586" t="n">
        <f aca="false">IF('Project Assumptions'!$H$40=0,0,IF(F4&gt;'Project Assumptions'!$G$40,F42*F14,IF(AND(F4&lt;='Project Assumptions'!$G$40,'Project Assumptions'!$H$43="Interest Only"),F42*F14,0)))</f>
        <v>0</v>
      </c>
      <c r="G43" s="586" t="n">
        <f aca="false">IF('Project Assumptions'!$H$40=0,0,IF(G4&gt;'Project Assumptions'!$G$40,G42*G14,IF(AND(G4&lt;='Project Assumptions'!$G$40,'Project Assumptions'!$H$43="Interest Only"),G42*G14,0)))</f>
        <v>0</v>
      </c>
      <c r="H43" s="586" t="n">
        <f aca="false">IF('Project Assumptions'!$H$40=0,0,IF(H4&gt;'Project Assumptions'!$G$40,H42*H14,IF(AND(H4&lt;='Project Assumptions'!$G$40,'Project Assumptions'!$H$43="Interest Only"),H42*H14,0)))</f>
        <v>0</v>
      </c>
      <c r="I43" s="586" t="n">
        <f aca="false">IF('Project Assumptions'!$H$40=0,0,IF(I4&gt;'Project Assumptions'!$G$40,I42*I14,IF(AND(I4&lt;='Project Assumptions'!$G$40,'Project Assumptions'!$H$43="Interest Only"),I42*I14,0)))</f>
        <v>0</v>
      </c>
      <c r="J43" s="586" t="n">
        <f aca="false">IF('Project Assumptions'!$H$40=0,0,IF(J4&gt;'Project Assumptions'!$G$40,J42*J14,IF(AND(J4&lt;='Project Assumptions'!$G$40,'Project Assumptions'!$H$43="Interest Only"),J42*J14,0)))</f>
        <v>0</v>
      </c>
      <c r="K43" s="586" t="n">
        <f aca="false">IF('Project Assumptions'!$H$40=0,0,IF(K4&gt;'Project Assumptions'!$G$40,K42*K14,IF(AND(K4&lt;='Project Assumptions'!$G$40,'Project Assumptions'!$H$43="Interest Only"),K42*K14,0)))</f>
        <v>0</v>
      </c>
      <c r="L43" s="586" t="n">
        <f aca="false">IF('Project Assumptions'!$H$40=0,0,IF(L4&gt;'Project Assumptions'!$G$40,L42*L14,IF(AND(L4&lt;='Project Assumptions'!$G$40,'Project Assumptions'!$H$43="Interest Only"),L42*L14,0)))</f>
        <v>0</v>
      </c>
      <c r="M43" s="586" t="n">
        <f aca="false">IF('Project Assumptions'!$H$40=0,0,IF(M4&gt;'Project Assumptions'!$G$40,M42*M14,IF(AND(M4&lt;='Project Assumptions'!$G$40,'Project Assumptions'!$H$43="Interest Only"),M42*M14,0)))</f>
        <v>0</v>
      </c>
      <c r="N43" s="586" t="n">
        <f aca="false">IF('Project Assumptions'!$H$40=0,0,IF(N4&gt;'Project Assumptions'!$G$40,N42*N14,IF(AND(N4&lt;='Project Assumptions'!$G$40,'Project Assumptions'!$H$43="Interest Only"),N42*N14,0)))</f>
        <v>0</v>
      </c>
      <c r="O43" s="586" t="n">
        <f aca="false">IF('Project Assumptions'!$H$40=0,0,IF(O4&gt;'Project Assumptions'!$G$40,O42*O14,IF(AND(O4&lt;='Project Assumptions'!$G$40,'Project Assumptions'!$H$43="Interest Only"),O42*O14,0)))</f>
        <v>7296.22765774192</v>
      </c>
      <c r="P43" s="586" t="n">
        <f aca="false">IF('Project Assumptions'!$H$40=0,0,IF(P4&gt;'Project Assumptions'!$G$40,P42*P14,IF(AND(P4&lt;='Project Assumptions'!$G$40,'Project Assumptions'!$H$43="Interest Only"),P42*P14,0)))</f>
        <v>6836.43433484185</v>
      </c>
      <c r="Q43" s="586" t="n">
        <f aca="false">IF('Project Assumptions'!$H$40=0,0,IF(Q4&gt;'Project Assumptions'!$G$40,Q42*Q14,IF(AND(Q4&lt;='Project Assumptions'!$G$40,'Project Assumptions'!$H$43="Interest Only"),Q42*Q14,0)))</f>
        <v>6354.90222502216</v>
      </c>
      <c r="R43" s="586" t="n">
        <f aca="false">IF('Project Assumptions'!$H$40=0,0,IF(R4&gt;'Project Assumptions'!$G$40,R42*R14,IF(AND(R4&lt;='Project Assumptions'!$G$40,'Project Assumptions'!$H$43="Interest Only"),R42*R14,0)))</f>
        <v>5798.87119264334</v>
      </c>
      <c r="S43" s="586" t="n">
        <f aca="false">IF('Project Assumptions'!$H$40=0,0,IF(S4&gt;'Project Assumptions'!$G$40,S42*S14,IF(AND(S4&lt;='Project Assumptions'!$G$40,'Project Assumptions'!$H$43="Interest Only"),S42*S14,0)))</f>
        <v>5184.66825242067</v>
      </c>
      <c r="T43" s="586" t="n">
        <f aca="false">IF('Project Assumptions'!$H$40=0,0,IF(T4&gt;'Project Assumptions'!$G$40,T42*T14,IF(AND(T4&lt;='Project Assumptions'!$G$40,'Project Assumptions'!$H$43="Interest Only"),T42*T14,0)))</f>
        <v>4507.97041024269</v>
      </c>
      <c r="U43" s="586" t="n">
        <f aca="false">IF('Project Assumptions'!$H$40=0,0,IF(U4&gt;'Project Assumptions'!$G$40,U42*U14,IF(AND(U4&lt;='Project Assumptions'!$G$40,'Project Assumptions'!$H$43="Interest Only"),U42*U14,0)))</f>
        <v>3764.13565854678</v>
      </c>
      <c r="V43" s="586" t="n">
        <f aca="false">IF('Project Assumptions'!$H$40=0,0,IF(V4&gt;'Project Assumptions'!$G$40,V42*V14,IF(AND(V4&lt;='Project Assumptions'!$G$40,'Project Assumptions'!$H$43="Interest Only"),V42*V14,0)))</f>
        <v>2947.08955729057</v>
      </c>
      <c r="W43" s="586" t="n">
        <f aca="false">IF('Project Assumptions'!$H$40=0,0,IF(W4&gt;'Project Assumptions'!$G$40,W42*W14,IF(AND(W4&lt;='Project Assumptions'!$G$40,'Project Assumptions'!$H$43="Interest Only"),W42*W14,0)))</f>
        <v>2050.84332780963</v>
      </c>
      <c r="X43" s="586" t="n">
        <f aca="false">IF('Project Assumptions'!$H$40=0,0,IF(X4&gt;'Project Assumptions'!$G$40,X42*X14,IF(AND(X4&lt;='Project Assumptions'!$G$40,'Project Assumptions'!$H$43="Interest Only"),X42*X14,0)))</f>
        <v>1069.50268697428</v>
      </c>
      <c r="Y43" s="587" t="n">
        <f aca="false">IF('Project Assumptions'!$H$40=0,0,IF(Y4&gt;'Project Assumptions'!$G$40,Y42*Y14,IF(AND(Y4&lt;='Project Assumptions'!$G$40,'Project Assumptions'!$H$43="Interest Only"),Y42*Y14,0)))</f>
        <v>0</v>
      </c>
      <c r="Z43" s="586"/>
      <c r="AA43" s="586"/>
      <c r="AB43" s="586"/>
      <c r="AC43" s="590"/>
    </row>
    <row r="44" customFormat="false" ht="12.6" hidden="false" customHeight="true" outlineLevel="0" collapsed="false">
      <c r="A44" s="579" t="s">
        <v>457</v>
      </c>
      <c r="B44" s="624"/>
      <c r="C44" s="624"/>
      <c r="D44" s="376"/>
      <c r="E44" s="625" t="n">
        <f aca="false">+E45-E43</f>
        <v>0</v>
      </c>
      <c r="F44" s="625" t="n">
        <f aca="false">+F45-F43</f>
        <v>0</v>
      </c>
      <c r="G44" s="625" t="n">
        <f aca="false">+G45-G43</f>
        <v>0</v>
      </c>
      <c r="H44" s="625" t="n">
        <f aca="false">+H45-H43</f>
        <v>0</v>
      </c>
      <c r="I44" s="625" t="n">
        <f aca="false">+I45-I43</f>
        <v>0</v>
      </c>
      <c r="J44" s="625" t="n">
        <f aca="false">+J45-J43</f>
        <v>0</v>
      </c>
      <c r="K44" s="625" t="n">
        <f aca="false">+K45-K43</f>
        <v>0</v>
      </c>
      <c r="L44" s="625" t="n">
        <f aca="false">+L45-L43</f>
        <v>0</v>
      </c>
      <c r="M44" s="625" t="n">
        <f aca="false">+M45-M43</f>
        <v>0</v>
      </c>
      <c r="N44" s="625" t="n">
        <f aca="false">+N45-N43</f>
        <v>0</v>
      </c>
      <c r="O44" s="625" t="n">
        <f aca="false">+O45-O43</f>
        <v>5620.94526772706</v>
      </c>
      <c r="P44" s="625" t="n">
        <f aca="false">+P45-P43</f>
        <v>5886.7006090427</v>
      </c>
      <c r="Q44" s="625" t="n">
        <f aca="false">+Q45-Q43</f>
        <v>6797.44538360412</v>
      </c>
      <c r="R44" s="625" t="n">
        <f aca="false">+R45-R43</f>
        <v>7508.59340125511</v>
      </c>
      <c r="S44" s="625" t="n">
        <f aca="false">+S45-S43</f>
        <v>8272.58975767707</v>
      </c>
      <c r="T44" s="625" t="n">
        <f aca="false">+T45-T43</f>
        <v>9093.33437281063</v>
      </c>
      <c r="U44" s="625" t="n">
        <f aca="false">+U45-U43</f>
        <v>9988.33864616396</v>
      </c>
      <c r="V44" s="625" t="n">
        <f aca="false">+V45-V43</f>
        <v>10956.5553726276</v>
      </c>
      <c r="W44" s="625" t="n">
        <f aca="false">+W45-W43</f>
        <v>11996.8293500653</v>
      </c>
      <c r="X44" s="625" t="n">
        <f aca="false">+X45-X43</f>
        <v>13074.6049752358</v>
      </c>
      <c r="Y44" s="626" t="n">
        <f aca="false">+Y45-Y43</f>
        <v>0</v>
      </c>
      <c r="Z44" s="600"/>
      <c r="AA44" s="600"/>
      <c r="AB44" s="600"/>
      <c r="AC44" s="601"/>
    </row>
    <row r="45" customFormat="false" ht="12.6" hidden="false" customHeight="true" outlineLevel="0" collapsed="false">
      <c r="A45" s="579" t="s">
        <v>458</v>
      </c>
      <c r="B45" s="149"/>
      <c r="C45" s="149"/>
      <c r="D45" s="376"/>
      <c r="E45" s="586" t="n">
        <f aca="false">IF(E4&lt;='Project Assumptions'!$F$40,E43,E21)</f>
        <v>0</v>
      </c>
      <c r="F45" s="586" t="n">
        <f aca="false">IF(F4&lt;='Project Assumptions'!$F$40,F43,F21)</f>
        <v>0</v>
      </c>
      <c r="G45" s="586" t="n">
        <f aca="false">IF(G4&lt;='Project Assumptions'!$F$40,G43,G21)</f>
        <v>0</v>
      </c>
      <c r="H45" s="586" t="n">
        <f aca="false">IF(H4&lt;='Project Assumptions'!$F$40,H43,H21)</f>
        <v>0</v>
      </c>
      <c r="I45" s="586" t="n">
        <f aca="false">IF(I4&lt;='Project Assumptions'!$F$40,I43,I21)</f>
        <v>0</v>
      </c>
      <c r="J45" s="586" t="n">
        <f aca="false">IF(J4&lt;='Project Assumptions'!$F$40,J43,J21)</f>
        <v>0</v>
      </c>
      <c r="K45" s="586" t="n">
        <f aca="false">IF(K4&lt;='Project Assumptions'!$F$40,K43,K21)</f>
        <v>0</v>
      </c>
      <c r="L45" s="586" t="n">
        <f aca="false">IF(L4&lt;='Project Assumptions'!$F$40,L43,L21)</f>
        <v>0</v>
      </c>
      <c r="M45" s="586" t="n">
        <f aca="false">IF(M4&lt;='Project Assumptions'!$G$40,M43,M21)</f>
        <v>0</v>
      </c>
      <c r="N45" s="586" t="n">
        <f aca="false">IF(N4&lt;='Project Assumptions'!$G$40,N43,N21)</f>
        <v>0</v>
      </c>
      <c r="O45" s="586" t="n">
        <f aca="false">IF(O4&lt;='Project Assumptions'!$G$40,O43,O21)</f>
        <v>12917.172925469</v>
      </c>
      <c r="P45" s="586" t="n">
        <f aca="false">IF(P4&lt;='Project Assumptions'!$G$40,P43,P21)</f>
        <v>12723.1349438845</v>
      </c>
      <c r="Q45" s="586" t="n">
        <f aca="false">IF(Q4&lt;='Project Assumptions'!$G$40,Q43,Q21)</f>
        <v>13152.3476086263</v>
      </c>
      <c r="R45" s="586" t="n">
        <f aca="false">IF(R4&lt;='Project Assumptions'!$G$40,R43,R21)</f>
        <v>13307.4645938984</v>
      </c>
      <c r="S45" s="586" t="n">
        <f aca="false">IF(S4&lt;='Project Assumptions'!$G$40,S43,S21)</f>
        <v>13457.2580100977</v>
      </c>
      <c r="T45" s="586" t="n">
        <f aca="false">IF(T4&lt;='Project Assumptions'!$G$40,T43,T21)</f>
        <v>13601.3047830533</v>
      </c>
      <c r="U45" s="586" t="n">
        <f aca="false">IF(U4&lt;='Project Assumptions'!$G$40,U43,U21)</f>
        <v>13752.4743047107</v>
      </c>
      <c r="V45" s="586" t="n">
        <f aca="false">IF(V4&lt;='Project Assumptions'!$G$40,V43,V21)</f>
        <v>13903.6449299182</v>
      </c>
      <c r="W45" s="586" t="n">
        <f aca="false">IF(W4&lt;='Project Assumptions'!$G$40,W43,W21)</f>
        <v>14047.672677875</v>
      </c>
      <c r="X45" s="586" t="n">
        <f aca="false">IF(X4&lt;='Project Assumptions'!$G$40,X43,X21)</f>
        <v>14144.1076622101</v>
      </c>
      <c r="Y45" s="587" t="n">
        <f aca="false">IF(Y4&lt;='Project Assumptions'!$G$40,Y43,Y21)</f>
        <v>0</v>
      </c>
      <c r="Z45" s="586"/>
      <c r="AA45" s="586"/>
      <c r="AB45" s="586"/>
      <c r="AC45" s="590"/>
    </row>
    <row r="46" customFormat="false" ht="12.6" hidden="false" customHeight="true" outlineLevel="0" collapsed="false">
      <c r="A46" s="579" t="s">
        <v>459</v>
      </c>
      <c r="B46" s="549"/>
      <c r="C46" s="549"/>
      <c r="D46" s="376"/>
      <c r="E46" s="573" t="n">
        <f aca="false">IF('Project Assumptions'!$H$40=0,0,E42-E44)</f>
        <v>89195.9371362093</v>
      </c>
      <c r="F46" s="573" t="n">
        <f aca="false">IF('Project Assumptions'!$H$40=0,0,F42-F44)</f>
        <v>89195.9371362093</v>
      </c>
      <c r="G46" s="573" t="n">
        <f aca="false">IF('Project Assumptions'!$H$40=0,0,G42-G44)</f>
        <v>89195.9371362093</v>
      </c>
      <c r="H46" s="573" t="n">
        <f aca="false">IF('Project Assumptions'!$H$40=0,0,H42-H44)</f>
        <v>89195.9371362093</v>
      </c>
      <c r="I46" s="573" t="n">
        <f aca="false">IF('Project Assumptions'!$H$40=0,0,I42-I44)</f>
        <v>89195.9371362093</v>
      </c>
      <c r="J46" s="573" t="n">
        <f aca="false">IF('Project Assumptions'!$H$40=0,0,J42-J44)</f>
        <v>89195.9371362093</v>
      </c>
      <c r="K46" s="573" t="n">
        <f aca="false">IF('Project Assumptions'!$H$40=0,0,K42-K44)</f>
        <v>89195.9371362093</v>
      </c>
      <c r="L46" s="573" t="n">
        <f aca="false">IF('Project Assumptions'!$H$40=0,0,L42-L44)</f>
        <v>89195.9371362093</v>
      </c>
      <c r="M46" s="573" t="n">
        <f aca="false">IF('Project Assumptions'!$H$40=0,0,M42-M44)</f>
        <v>89195.9371362093</v>
      </c>
      <c r="N46" s="573" t="n">
        <f aca="false">IF('Project Assumptions'!$H$40=0,0,N42-N44)</f>
        <v>89195.9371362093</v>
      </c>
      <c r="O46" s="573" t="n">
        <f aca="false">IF('Project Assumptions'!$H$40=0,0,O42-O44)</f>
        <v>83574.9918684823</v>
      </c>
      <c r="P46" s="573" t="n">
        <f aca="false">IF('Project Assumptions'!$H$40=0,0,P42-P44)</f>
        <v>77688.2912594396</v>
      </c>
      <c r="Q46" s="573" t="n">
        <f aca="false">IF('Project Assumptions'!$H$40=0,0,Q42-Q44)</f>
        <v>70890.8458758354</v>
      </c>
      <c r="R46" s="573" t="n">
        <f aca="false">IF('Project Assumptions'!$H$40=0,0,R42-R44)</f>
        <v>63382.2524745803</v>
      </c>
      <c r="S46" s="573" t="n">
        <f aca="false">IF('Project Assumptions'!$H$40=0,0,S42-S44)</f>
        <v>55109.6627169033</v>
      </c>
      <c r="T46" s="573" t="n">
        <f aca="false">IF('Project Assumptions'!$H$40=0,0,T42-T44)</f>
        <v>46016.3283440926</v>
      </c>
      <c r="U46" s="573" t="n">
        <f aca="false">IF('Project Assumptions'!$H$40=0,0,U42-U44)</f>
        <v>36027.9896979287</v>
      </c>
      <c r="V46" s="573" t="n">
        <f aca="false">IF('Project Assumptions'!$H$40=0,0,V42-V44)</f>
        <v>25071.434325301</v>
      </c>
      <c r="W46" s="573" t="n">
        <f aca="false">IF('Project Assumptions'!$H$40=0,0,W42-W44)</f>
        <v>13074.6049752357</v>
      </c>
      <c r="X46" s="573" t="n">
        <f aca="false">IF('Project Assumptions'!$H$40=0,0,X42-X44)</f>
        <v>-1.21872290037572E-010</v>
      </c>
      <c r="Y46" s="574" t="n">
        <f aca="false">IF('Project Assumptions'!$H$40=0,0,Y42-Y44)</f>
        <v>0</v>
      </c>
      <c r="Z46" s="573"/>
      <c r="AA46" s="573"/>
      <c r="AB46" s="573"/>
      <c r="AC46" s="575"/>
    </row>
    <row r="47" customFormat="false" ht="12.6" hidden="false" customHeight="true" outlineLevel="0" collapsed="false">
      <c r="A47" s="617" t="s">
        <v>460</v>
      </c>
      <c r="B47" s="618"/>
      <c r="C47" s="618"/>
      <c r="D47" s="597"/>
      <c r="E47" s="619" t="n">
        <f aca="false">IF('Project Assumptions'!H40&gt;0,SUMPRODUCT(E4:AC4,E44:AC44)/B21,0)</f>
        <v>16.2786754268728</v>
      </c>
      <c r="F47" s="598"/>
      <c r="G47" s="598"/>
      <c r="H47" s="598"/>
      <c r="I47" s="598"/>
      <c r="J47" s="598"/>
      <c r="K47" s="598"/>
      <c r="L47" s="598"/>
      <c r="M47" s="598"/>
      <c r="N47" s="598"/>
      <c r="O47" s="598"/>
      <c r="P47" s="598"/>
      <c r="Q47" s="598"/>
      <c r="R47" s="598"/>
      <c r="S47" s="598"/>
      <c r="T47" s="598"/>
      <c r="U47" s="598"/>
      <c r="V47" s="598"/>
      <c r="W47" s="598"/>
      <c r="X47" s="598"/>
      <c r="Y47" s="599"/>
      <c r="Z47" s="600"/>
      <c r="AA47" s="600"/>
      <c r="AB47" s="600"/>
      <c r="AC47" s="601"/>
    </row>
    <row r="48" customFormat="false" ht="12.6" hidden="false" customHeight="true" outlineLevel="0" collapsed="false">
      <c r="A48" s="537"/>
      <c r="B48" s="549"/>
      <c r="C48" s="549"/>
      <c r="D48" s="627"/>
      <c r="E48" s="628"/>
      <c r="F48" s="628"/>
      <c r="G48" s="628"/>
      <c r="H48" s="628"/>
      <c r="I48" s="628"/>
      <c r="J48" s="628"/>
      <c r="K48" s="628"/>
      <c r="L48" s="628"/>
      <c r="M48" s="628"/>
      <c r="N48" s="628"/>
      <c r="O48" s="628"/>
      <c r="P48" s="628"/>
      <c r="Q48" s="628"/>
      <c r="R48" s="628"/>
      <c r="S48" s="628"/>
      <c r="T48" s="628"/>
      <c r="U48" s="628"/>
      <c r="V48" s="628"/>
      <c r="W48" s="628"/>
      <c r="X48" s="628"/>
      <c r="Y48" s="628"/>
      <c r="Z48" s="628"/>
      <c r="AA48" s="628"/>
      <c r="AB48" s="628"/>
      <c r="AC48" s="629"/>
    </row>
    <row r="49" customFormat="false" ht="13.5" hidden="false" customHeight="false" outlineLevel="0" collapsed="false">
      <c r="A49" s="627"/>
      <c r="B49" s="627"/>
      <c r="C49" s="627"/>
      <c r="D49" s="627"/>
      <c r="E49" s="586"/>
      <c r="F49" s="586"/>
      <c r="G49" s="586"/>
      <c r="H49" s="586"/>
      <c r="I49" s="586"/>
      <c r="J49" s="586"/>
      <c r="K49" s="586"/>
      <c r="L49" s="586"/>
      <c r="M49" s="586"/>
      <c r="N49" s="586"/>
      <c r="O49" s="586"/>
      <c r="P49" s="586"/>
      <c r="Q49" s="586"/>
      <c r="R49" s="586"/>
      <c r="S49" s="586"/>
      <c r="T49" s="586"/>
      <c r="U49" s="586"/>
      <c r="V49" s="586"/>
      <c r="W49" s="586"/>
      <c r="X49" s="586"/>
      <c r="Y49" s="586"/>
      <c r="Z49" s="586"/>
      <c r="AA49" s="586"/>
      <c r="AB49" s="586"/>
      <c r="AC49" s="590"/>
    </row>
    <row r="50" customFormat="false" ht="12.75" hidden="false" customHeight="false" outlineLevel="0" collapsed="false">
      <c r="A50" s="630" t="s">
        <v>462</v>
      </c>
      <c r="B50" s="631"/>
      <c r="C50" s="631"/>
      <c r="D50" s="631"/>
      <c r="E50" s="632"/>
      <c r="F50" s="632"/>
      <c r="G50" s="632"/>
      <c r="H50" s="632"/>
      <c r="I50" s="632"/>
      <c r="J50" s="632"/>
      <c r="K50" s="632"/>
      <c r="L50" s="632"/>
      <c r="M50" s="632"/>
      <c r="N50" s="632"/>
      <c r="O50" s="632"/>
      <c r="P50" s="632"/>
      <c r="Q50" s="632"/>
      <c r="R50" s="632"/>
      <c r="S50" s="632"/>
      <c r="T50" s="632"/>
      <c r="U50" s="632"/>
      <c r="V50" s="632"/>
      <c r="W50" s="632"/>
      <c r="X50" s="632"/>
      <c r="Y50" s="633"/>
      <c r="Z50" s="586"/>
      <c r="AA50" s="586"/>
      <c r="AB50" s="586"/>
      <c r="AC50" s="590"/>
    </row>
    <row r="51" customFormat="false" ht="12.75" hidden="false" customHeight="false" outlineLevel="0" collapsed="false">
      <c r="A51" s="634" t="s">
        <v>455</v>
      </c>
      <c r="B51" s="376"/>
      <c r="C51" s="376"/>
      <c r="D51" s="376"/>
      <c r="E51" s="573" t="n">
        <f aca="false">IF('Project Assumptions'!$I$35="Normal",E26+E34+E42,E71+E86+E101)</f>
        <v>117687</v>
      </c>
      <c r="F51" s="573" t="n">
        <f aca="false">IF('Project Assumptions'!$I$35="Normal",F26+F34+F42,F71+F86+F101)</f>
        <v>112941</v>
      </c>
      <c r="G51" s="573" t="n">
        <f aca="false">IF('Project Assumptions'!$I$35="Normal",G26+G34+G42,G71+G86+G101)</f>
        <v>108195</v>
      </c>
      <c r="H51" s="573" t="n">
        <f aca="false">IF('Project Assumptions'!$I$35="Normal",H26+H34+H42,H71+H86+H101)</f>
        <v>101702.6</v>
      </c>
      <c r="I51" s="573" t="n">
        <f aca="false">IF('Project Assumptions'!$I$35="Normal",I26+I34+I42,I71+I86+I101)</f>
        <v>93463.8</v>
      </c>
      <c r="J51" s="573" t="n">
        <f aca="false">IF('Project Assumptions'!$I$35="Normal",J26+J34+J42,J71+J86+J101)</f>
        <v>88695.5</v>
      </c>
      <c r="K51" s="573" t="n">
        <f aca="false">IF('Project Assumptions'!$I$35="Normal",K26+K34+K42,K71+K86+K101)</f>
        <v>83927.2</v>
      </c>
      <c r="L51" s="573" t="n">
        <f aca="false">IF('Project Assumptions'!$I$35="Normal",L26+L34+L42,L71+L86+L101)</f>
        <v>78521.15</v>
      </c>
      <c r="M51" s="573" t="n">
        <f aca="false">IF('Project Assumptions'!$I$35="Normal",M26+M34+M42,M71+M86+M101)</f>
        <v>73115.1</v>
      </c>
      <c r="N51" s="573" t="n">
        <f aca="false">IF('Project Assumptions'!$I$35="Normal",N26+N34+N42,N71+N86+N101)</f>
        <v>64216.25</v>
      </c>
      <c r="O51" s="573" t="n">
        <f aca="false">IF('Project Assumptions'!$I$35="Normal",O26+O34+O42,O71+O86+O101)</f>
        <v>52933.25</v>
      </c>
      <c r="P51" s="573" t="n">
        <f aca="false">IF('Project Assumptions'!$I$35="Normal",P26+P34+P42,P71+P86+P101)</f>
        <v>50382.25</v>
      </c>
      <c r="Q51" s="573" t="n">
        <f aca="false">IF('Project Assumptions'!$I$35="Normal",Q26+Q34+Q42,Q71+Q86+Q101)</f>
        <v>47193.5</v>
      </c>
      <c r="R51" s="573" t="n">
        <f aca="false">IF('Project Assumptions'!$I$35="Normal",R26+R34+R42,R71+R86+R101)</f>
        <v>44004.75</v>
      </c>
      <c r="S51" s="573" t="n">
        <f aca="false">IF('Project Assumptions'!$I$35="Normal",S26+S34+S42,S71+S86+S101)</f>
        <v>40816</v>
      </c>
      <c r="T51" s="573" t="n">
        <f aca="false">IF('Project Assumptions'!$I$35="Normal",T26+T34+T42,T71+T86+T101)</f>
        <v>37627.25</v>
      </c>
      <c r="U51" s="573" t="n">
        <f aca="false">IF('Project Assumptions'!$I$35="Normal",U26+U34+U42,U71+U86+U101)</f>
        <v>34438.5</v>
      </c>
      <c r="V51" s="573" t="n">
        <f aca="false">IF('Project Assumptions'!$I$35="Normal",V26+V34+V42,V71+V86+V101)</f>
        <v>28061</v>
      </c>
      <c r="W51" s="573" t="n">
        <f aca="false">IF('Project Assumptions'!$I$35="Normal",W26+W34+W42,W71+W86+W101)</f>
        <v>20408</v>
      </c>
      <c r="X51" s="573" t="n">
        <f aca="false">IF('Project Assumptions'!$I$35="Normal",X26+X34+X42,X71+X86+X101)</f>
        <v>10841.75</v>
      </c>
      <c r="Y51" s="635" t="n">
        <f aca="false">IF('Project Assumptions'!$I$35="Normal",Y26+Y34+Y42,Y71+Y86+Y101)</f>
        <v>0</v>
      </c>
      <c r="Z51" s="573"/>
      <c r="AA51" s="573"/>
      <c r="AB51" s="573"/>
      <c r="AC51" s="575"/>
    </row>
    <row r="52" customFormat="false" ht="12.75" hidden="false" customHeight="false" outlineLevel="0" collapsed="false">
      <c r="A52" s="634" t="s">
        <v>456</v>
      </c>
      <c r="B52" s="376"/>
      <c r="C52" s="376"/>
      <c r="D52" s="376"/>
      <c r="E52" s="586" t="n">
        <f aca="false">IF('Project Assumptions'!$I$35="Normal",E27+E35+E43,E72+E87+E102)</f>
        <v>9138.4678</v>
      </c>
      <c r="F52" s="586" t="n">
        <f aca="false">IF('Project Assumptions'!$I$35="Normal",F27+F35+F43,F72+F87+F102)</f>
        <v>8819.062</v>
      </c>
      <c r="G52" s="586" t="n">
        <f aca="false">IF('Project Assumptions'!$I$35="Normal",G27+G35+G43,G72+G87+G102)</f>
        <v>8499.6562</v>
      </c>
      <c r="H52" s="586" t="n">
        <f aca="false">IF('Project Assumptions'!$I$35="Normal",H27+H35+H43,H72+H87+H102)</f>
        <v>8048.04792</v>
      </c>
      <c r="I52" s="586" t="n">
        <f aca="false">IF('Project Assumptions'!$I$35="Normal",I27+I35+I43,I72+I87+I102)</f>
        <v>7464.23716</v>
      </c>
      <c r="J52" s="586" t="n">
        <f aca="false">IF('Project Assumptions'!$I$35="Normal",J27+J35+J43,J72+J87+J102)</f>
        <v>7095.4963</v>
      </c>
      <c r="K52" s="586" t="n">
        <f aca="false">IF('Project Assumptions'!$I$35="Normal",K27+K35+K43,K72+K87+K102)</f>
        <v>6726.75544</v>
      </c>
      <c r="L52" s="586" t="n">
        <f aca="false">IF('Project Assumptions'!$I$35="Normal",L27+L35+L43,L72+L87+L102)</f>
        <v>6305.84663</v>
      </c>
      <c r="M52" s="586" t="n">
        <f aca="false">IF('Project Assumptions'!$I$35="Normal",M27+M35+M43,M72+M87+M102)</f>
        <v>5884.93782</v>
      </c>
      <c r="N52" s="586" t="n">
        <f aca="false">IF('Project Assumptions'!$I$35="Normal",N27+N35+N43,N72+N87+N102)</f>
        <v>5199.62405</v>
      </c>
      <c r="O52" s="586" t="n">
        <f aca="false">IF('Project Assumptions'!$I$35="Normal",O27+O35+O43,O72+O87+O102)</f>
        <v>4329.93985</v>
      </c>
      <c r="P52" s="586" t="n">
        <f aca="false">IF('Project Assumptions'!$I$35="Normal",P27+P35+P43,P72+P87+P102)</f>
        <v>4121.26805</v>
      </c>
      <c r="Q52" s="586" t="n">
        <f aca="false">IF('Project Assumptions'!$I$35="Normal",Q27+Q35+Q43,Q72+Q87+Q102)</f>
        <v>3860.4283</v>
      </c>
      <c r="R52" s="586" t="n">
        <f aca="false">IF('Project Assumptions'!$I$35="Normal",R27+R35+R43,R72+R87+R102)</f>
        <v>3599.58855</v>
      </c>
      <c r="S52" s="586" t="n">
        <f aca="false">IF('Project Assumptions'!$I$35="Normal",S27+S35+S43,S72+S87+S102)</f>
        <v>3338.7488</v>
      </c>
      <c r="T52" s="586" t="n">
        <f aca="false">IF('Project Assumptions'!$I$35="Normal",T27+T35+T43,T72+T87+T102)</f>
        <v>3077.90905</v>
      </c>
      <c r="U52" s="586" t="n">
        <f aca="false">IF('Project Assumptions'!$I$35="Normal",U27+U35+U43,U72+U87+U102)</f>
        <v>2817.0693</v>
      </c>
      <c r="V52" s="586" t="n">
        <f aca="false">IF('Project Assumptions'!$I$35="Normal",V27+V35+V43,V72+V87+V102)</f>
        <v>2295.3898</v>
      </c>
      <c r="W52" s="586" t="n">
        <f aca="false">IF('Project Assumptions'!$I$35="Normal",W27+W35+W43,W72+W87+W102)</f>
        <v>1669.3744</v>
      </c>
      <c r="X52" s="586" t="n">
        <f aca="false">IF('Project Assumptions'!$I$35="Normal",X27+X35+X43,X72+X87+X102)</f>
        <v>886.85515</v>
      </c>
      <c r="Y52" s="636" t="n">
        <f aca="false">IF('Project Assumptions'!$I$35="Normal",Y27+Y35+Y43,Y72+Y87+Y102)</f>
        <v>0</v>
      </c>
      <c r="Z52" s="586"/>
      <c r="AA52" s="586"/>
      <c r="AB52" s="586"/>
      <c r="AC52" s="590"/>
    </row>
    <row r="53" customFormat="false" ht="12.75" hidden="false" customHeight="false" outlineLevel="0" collapsed="false">
      <c r="A53" s="634" t="s">
        <v>457</v>
      </c>
      <c r="B53" s="376"/>
      <c r="C53" s="376"/>
      <c r="D53" s="376"/>
      <c r="E53" s="586" t="n">
        <f aca="false">IF('Project Assumptions'!$I$35="Normal",E28+E36+E44,E73+E88+E103)</f>
        <v>4746</v>
      </c>
      <c r="F53" s="586" t="n">
        <f aca="false">IF('Project Assumptions'!$I$35="Normal",F28+F36+F44,F73+F88+F103)</f>
        <v>4746</v>
      </c>
      <c r="G53" s="586" t="n">
        <f aca="false">IF('Project Assumptions'!$I$35="Normal",G28+G36+G44,G73+G88+G103)</f>
        <v>6492.4</v>
      </c>
      <c r="H53" s="586" t="n">
        <f aca="false">IF('Project Assumptions'!$I$35="Normal",H28+H36+H44,H73+H88+H103)</f>
        <v>8238.8</v>
      </c>
      <c r="I53" s="586" t="n">
        <f aca="false">IF('Project Assumptions'!$I$35="Normal",I28+I36+I44,I73+I88+I103)</f>
        <v>4768.3</v>
      </c>
      <c r="J53" s="586" t="n">
        <f aca="false">IF('Project Assumptions'!$I$35="Normal",J28+J36+J44,J73+J88+J103)</f>
        <v>4768.3</v>
      </c>
      <c r="K53" s="586" t="n">
        <f aca="false">IF('Project Assumptions'!$I$35="Normal",K28+K36+K44,K73+K88+K103)</f>
        <v>5406.05</v>
      </c>
      <c r="L53" s="586" t="n">
        <f aca="false">IF('Project Assumptions'!$I$35="Normal",L28+L36+L44,L73+L88+L103)</f>
        <v>5406.05</v>
      </c>
      <c r="M53" s="586" t="n">
        <f aca="false">IF('Project Assumptions'!$I$35="Normal",M28+M36+M44,M73+M88+M103)</f>
        <v>8898.85</v>
      </c>
      <c r="N53" s="586" t="n">
        <f aca="false">IF('Project Assumptions'!$I$35="Normal",N28+N36+N44,N73+N88+N103)</f>
        <v>11283</v>
      </c>
      <c r="O53" s="586" t="n">
        <f aca="false">IF('Project Assumptions'!$I$35="Normal",O28+O36+O44,O73+O88+O103)</f>
        <v>2551</v>
      </c>
      <c r="P53" s="586" t="n">
        <f aca="false">IF('Project Assumptions'!$I$35="Normal",P28+P36+P44,P73+P88+P103)</f>
        <v>3188.75</v>
      </c>
      <c r="Q53" s="586" t="n">
        <f aca="false">IF('Project Assumptions'!$I$35="Normal",Q28+Q36+Q44,Q73+Q88+Q103)</f>
        <v>3188.75</v>
      </c>
      <c r="R53" s="586" t="n">
        <f aca="false">IF('Project Assumptions'!$I$35="Normal",R28+R36+R44,R73+R88+R103)</f>
        <v>3188.75</v>
      </c>
      <c r="S53" s="586" t="n">
        <f aca="false">IF('Project Assumptions'!$I$35="Normal",S28+S36+S44,S73+S88+S103)</f>
        <v>3188.75</v>
      </c>
      <c r="T53" s="586" t="n">
        <f aca="false">IF('Project Assumptions'!$I$35="Normal",T28+T36+T44,T73+T88+T103)</f>
        <v>3188.75</v>
      </c>
      <c r="U53" s="586" t="n">
        <f aca="false">IF('Project Assumptions'!$I$35="Normal",U28+U36+U44,U73+U88+U103)</f>
        <v>6377.5</v>
      </c>
      <c r="V53" s="586" t="n">
        <f aca="false">IF('Project Assumptions'!$I$35="Normal",V28+V36+V44,V73+V88+V103)</f>
        <v>7653</v>
      </c>
      <c r="W53" s="586" t="n">
        <f aca="false">IF('Project Assumptions'!$I$35="Normal",W28+W36+W44,W73+W88+W103)</f>
        <v>9566.25</v>
      </c>
      <c r="X53" s="586" t="n">
        <f aca="false">IF('Project Assumptions'!$I$35="Normal",X28+X36+X44,X73+X88+X103)</f>
        <v>10841.75</v>
      </c>
      <c r="Y53" s="636" t="n">
        <f aca="false">IF('Project Assumptions'!$I$35="Normal",Y28+Y36+Y44,Y73+Y88+Y103)</f>
        <v>0</v>
      </c>
      <c r="Z53" s="586"/>
      <c r="AA53" s="586"/>
      <c r="AB53" s="586"/>
      <c r="AC53" s="590"/>
    </row>
    <row r="54" customFormat="false" ht="12.75" hidden="false" customHeight="false" outlineLevel="0" collapsed="false">
      <c r="A54" s="634" t="s">
        <v>458</v>
      </c>
      <c r="B54" s="376"/>
      <c r="C54" s="376"/>
      <c r="D54" s="376"/>
      <c r="E54" s="586" t="n">
        <f aca="false">IF('Project Assumptions'!$I$35="Normal",E29+E37+E45,E74+E89+E104)</f>
        <v>13884.4678</v>
      </c>
      <c r="F54" s="586" t="n">
        <f aca="false">IF('Project Assumptions'!$I$35="Normal",F29+F37+F45,F74+F89+F104)</f>
        <v>13565.062</v>
      </c>
      <c r="G54" s="586" t="n">
        <f aca="false">IF('Project Assumptions'!$I$35="Normal",G29+G37+G45,G74+G89+G104)</f>
        <v>14992.0562</v>
      </c>
      <c r="H54" s="586" t="n">
        <f aca="false">IF('Project Assumptions'!$I$35="Normal",H29+H37+H45,H74+H89+H104)</f>
        <v>16286.84792</v>
      </c>
      <c r="I54" s="586" t="n">
        <f aca="false">IF('Project Assumptions'!$I$35="Normal",I29+I37+I45,I74+I89+I104)</f>
        <v>12232.53716</v>
      </c>
      <c r="J54" s="586" t="n">
        <f aca="false">IF('Project Assumptions'!$I$35="Normal",J29+J37+J45,J74+J89+J104)</f>
        <v>11863.7963</v>
      </c>
      <c r="K54" s="586" t="n">
        <f aca="false">IF('Project Assumptions'!$I$35="Normal",K29+K37+K45,K74+K89+K104)</f>
        <v>12132.80544</v>
      </c>
      <c r="L54" s="586" t="n">
        <f aca="false">IF('Project Assumptions'!$I$35="Normal",L29+L37+L45,L74+L89+L104)</f>
        <v>11711.89663</v>
      </c>
      <c r="M54" s="586" t="n">
        <f aca="false">IF('Project Assumptions'!$I$35="Normal",M29+M37+M45,M74+M89+M104)</f>
        <v>14783.78782</v>
      </c>
      <c r="N54" s="586" t="n">
        <f aca="false">IF('Project Assumptions'!$I$35="Normal",N29+N37+N45,N74+N89+N104)</f>
        <v>16482.62405</v>
      </c>
      <c r="O54" s="586" t="n">
        <f aca="false">IF('Project Assumptions'!$I$35="Normal",O29+O37+O45,O74+O89+O104)</f>
        <v>6880.93985</v>
      </c>
      <c r="P54" s="586" t="n">
        <f aca="false">IF('Project Assumptions'!$I$35="Normal",P29+P37+P45,P74+P89+P104)</f>
        <v>7310.01805</v>
      </c>
      <c r="Q54" s="586" t="n">
        <f aca="false">IF('Project Assumptions'!$I$35="Normal",Q29+Q37+Q45,Q74+Q89+Q104)</f>
        <v>7049.1783</v>
      </c>
      <c r="R54" s="586" t="n">
        <f aca="false">IF('Project Assumptions'!$I$35="Normal",R29+R37+R45,R74+R89+R104)</f>
        <v>6788.33855</v>
      </c>
      <c r="S54" s="586" t="n">
        <f aca="false">IF('Project Assumptions'!$I$35="Normal",S29+S37+S45,S74+S89+S104)</f>
        <v>6527.4988</v>
      </c>
      <c r="T54" s="586" t="n">
        <f aca="false">IF('Project Assumptions'!$I$35="Normal",T29+T37+T45,T74+T89+T104)</f>
        <v>6266.65905</v>
      </c>
      <c r="U54" s="586" t="n">
        <f aca="false">IF('Project Assumptions'!$I$35="Normal",U29+U37+U45,U74+U89+U104)</f>
        <v>9194.5693</v>
      </c>
      <c r="V54" s="586" t="n">
        <f aca="false">IF('Project Assumptions'!$I$35="Normal",V29+V37+V45,V74+V89+V104)</f>
        <v>9948.3898</v>
      </c>
      <c r="W54" s="586" t="n">
        <f aca="false">IF('Project Assumptions'!$I$35="Normal",W29+W37+W45,W74+W89+W104)</f>
        <v>11235.6244</v>
      </c>
      <c r="X54" s="586" t="n">
        <f aca="false">IF('Project Assumptions'!$I$35="Normal",X29+X37+X45,X74+X89+X104)</f>
        <v>11728.60515</v>
      </c>
      <c r="Y54" s="636" t="n">
        <f aca="false">IF('Project Assumptions'!$I$35="Normal",Y29+Y37+Y45,Y74+Y89+Y104)</f>
        <v>0</v>
      </c>
      <c r="Z54" s="586"/>
      <c r="AA54" s="586"/>
      <c r="AB54" s="586"/>
      <c r="AC54" s="590"/>
    </row>
    <row r="55" customFormat="false" ht="12.6" hidden="false" customHeight="true" outlineLevel="0" collapsed="false">
      <c r="A55" s="634" t="s">
        <v>459</v>
      </c>
      <c r="B55" s="637"/>
      <c r="C55" s="637"/>
      <c r="D55" s="376"/>
      <c r="E55" s="573" t="n">
        <f aca="false">IF('Project Assumptions'!$I$35="Normal",E30+E38+E46,E75+E90+E105)</f>
        <v>112941</v>
      </c>
      <c r="F55" s="573" t="n">
        <f aca="false">IF('Project Assumptions'!$I$35="Normal",F30+F38+F46,F75+F90+F105)</f>
        <v>108195</v>
      </c>
      <c r="G55" s="573" t="n">
        <f aca="false">IF('Project Assumptions'!$I$35="Normal",G30+G38+G46,G75+G90+G105)</f>
        <v>101702.6</v>
      </c>
      <c r="H55" s="573" t="n">
        <f aca="false">IF('Project Assumptions'!$I$35="Normal",H30+H38+H46,H75+H90+H105)</f>
        <v>93463.8</v>
      </c>
      <c r="I55" s="573" t="n">
        <f aca="false">IF('Project Assumptions'!$I$35="Normal",I30+I38+I46,I75+I90+I105)</f>
        <v>88695.5</v>
      </c>
      <c r="J55" s="573" t="n">
        <f aca="false">IF('Project Assumptions'!$I$35="Normal",J30+J38+J46,J75+J90+J105)</f>
        <v>83927.2</v>
      </c>
      <c r="K55" s="573" t="n">
        <f aca="false">IF('Project Assumptions'!$I$35="Normal",K30+K38+K46,K75+K90+K105)</f>
        <v>78521.15</v>
      </c>
      <c r="L55" s="573" t="n">
        <f aca="false">IF('Project Assumptions'!$I$35="Normal",L30+L38+L46,L75+L90+L105)</f>
        <v>73115.1</v>
      </c>
      <c r="M55" s="573" t="n">
        <f aca="false">IF('Project Assumptions'!$I$35="Normal",M30+M38+M46,M75+M90+M105)</f>
        <v>64216.25</v>
      </c>
      <c r="N55" s="573" t="n">
        <f aca="false">IF('Project Assumptions'!$I$35="Normal",N30+N38+N46,N75+N90+N105)</f>
        <v>52933.25</v>
      </c>
      <c r="O55" s="573" t="n">
        <f aca="false">IF('Project Assumptions'!$I$35="Normal",O30+O38+O46,O75+O90+O105)</f>
        <v>50382.25</v>
      </c>
      <c r="P55" s="573" t="n">
        <f aca="false">IF('Project Assumptions'!$I$35="Normal",P30+P38+P46,P75+P90+P105)</f>
        <v>47193.5</v>
      </c>
      <c r="Q55" s="573" t="n">
        <f aca="false">IF('Project Assumptions'!$I$35="Normal",Q30+Q38+Q46,Q75+Q90+Q105)</f>
        <v>44004.75</v>
      </c>
      <c r="R55" s="573" t="n">
        <f aca="false">IF('Project Assumptions'!$I$35="Normal",R30+R38+R46,R75+R90+R105)</f>
        <v>40816</v>
      </c>
      <c r="S55" s="573" t="n">
        <f aca="false">IF('Project Assumptions'!$I$35="Normal",S30+S38+S46,S75+S90+S105)</f>
        <v>37627.25</v>
      </c>
      <c r="T55" s="573" t="n">
        <f aca="false">IF('Project Assumptions'!$I$35="Normal",T30+T38+T46,T75+T90+T105)</f>
        <v>34438.5</v>
      </c>
      <c r="U55" s="573" t="n">
        <f aca="false">IF('Project Assumptions'!$I$35="Normal",U30+U38+U46,U75+U90+U105)</f>
        <v>28061</v>
      </c>
      <c r="V55" s="573" t="n">
        <f aca="false">IF('Project Assumptions'!$I$35="Normal",V30+V38+V46,V75+V90+V105)</f>
        <v>20408</v>
      </c>
      <c r="W55" s="573" t="n">
        <f aca="false">IF('Project Assumptions'!$I$35="Normal",W30+W38+W46,W75+W90+W105)</f>
        <v>10841.75</v>
      </c>
      <c r="X55" s="573" t="n">
        <f aca="false">IF('Project Assumptions'!$I$35="Normal",X30+X38+X46,X75+X90+X105)</f>
        <v>0</v>
      </c>
      <c r="Y55" s="635" t="n">
        <f aca="false">IF('Project Assumptions'!$I$35="Normal",Y30+Y38+Y46,Y75+Y90+Y105)</f>
        <v>0</v>
      </c>
      <c r="Z55" s="573"/>
      <c r="AA55" s="573"/>
      <c r="AB55" s="573"/>
      <c r="AC55" s="575"/>
    </row>
    <row r="56" customFormat="false" ht="12.6" hidden="false" customHeight="true" outlineLevel="0" collapsed="false">
      <c r="A56" s="634" t="s">
        <v>460</v>
      </c>
      <c r="B56" s="637"/>
      <c r="C56" s="637"/>
      <c r="D56" s="376"/>
      <c r="E56" s="605" t="n">
        <f aca="false">SUMPRODUCT(E4:AC4,E53:AC53)/B22</f>
        <v>7.52212888863832</v>
      </c>
      <c r="F56" s="586"/>
      <c r="G56" s="586"/>
      <c r="H56" s="586"/>
      <c r="I56" s="586"/>
      <c r="J56" s="586"/>
      <c r="K56" s="586"/>
      <c r="L56" s="586"/>
      <c r="M56" s="586"/>
      <c r="N56" s="586"/>
      <c r="O56" s="586"/>
      <c r="P56" s="586"/>
      <c r="Q56" s="586"/>
      <c r="R56" s="586"/>
      <c r="S56" s="586"/>
      <c r="T56" s="586"/>
      <c r="U56" s="586"/>
      <c r="V56" s="586"/>
      <c r="W56" s="586"/>
      <c r="X56" s="586"/>
      <c r="Y56" s="636"/>
      <c r="Z56" s="586"/>
      <c r="AA56" s="586"/>
      <c r="AB56" s="586"/>
      <c r="AC56" s="590"/>
    </row>
    <row r="57" customFormat="false" ht="12.6" hidden="false" customHeight="true" outlineLevel="0" collapsed="false">
      <c r="A57" s="638"/>
      <c r="B57" s="473"/>
      <c r="C57" s="473"/>
      <c r="D57" s="149"/>
      <c r="E57" s="639"/>
      <c r="F57" s="639"/>
      <c r="G57" s="639"/>
      <c r="H57" s="639"/>
      <c r="I57" s="639"/>
      <c r="J57" s="639"/>
      <c r="K57" s="639"/>
      <c r="L57" s="639"/>
      <c r="M57" s="639"/>
      <c r="N57" s="639"/>
      <c r="O57" s="639"/>
      <c r="P57" s="639"/>
      <c r="Q57" s="639"/>
      <c r="R57" s="639"/>
      <c r="S57" s="639"/>
      <c r="T57" s="639"/>
      <c r="U57" s="639"/>
      <c r="V57" s="639"/>
      <c r="W57" s="639"/>
      <c r="X57" s="639"/>
      <c r="Y57" s="640"/>
      <c r="Z57" s="641"/>
      <c r="AA57" s="641"/>
      <c r="AB57" s="641"/>
      <c r="AC57" s="642"/>
    </row>
    <row r="58" customFormat="false" ht="12.6" hidden="false" customHeight="true" outlineLevel="0" collapsed="false">
      <c r="A58" s="638" t="s">
        <v>463</v>
      </c>
      <c r="B58" s="473"/>
      <c r="C58" s="473"/>
      <c r="D58" s="149"/>
      <c r="E58" s="643" t="n">
        <f aca="false">E45+E37+E29</f>
        <v>5376.87768098039</v>
      </c>
      <c r="F58" s="643" t="n">
        <f aca="false">F45+F37+F29</f>
        <v>12823.6188599741</v>
      </c>
      <c r="G58" s="643" t="n">
        <f aca="false">G45+G37+G29</f>
        <v>12993.9868438267</v>
      </c>
      <c r="H58" s="643" t="n">
        <f aca="false">H45+H37+H29</f>
        <v>12963.2439828722</v>
      </c>
      <c r="I58" s="643" t="n">
        <f aca="false">I45+I37+I29</f>
        <v>10027.9174919856</v>
      </c>
      <c r="J58" s="643" t="n">
        <f aca="false">J45+J37+J29</f>
        <v>11779.6812932732</v>
      </c>
      <c r="K58" s="643" t="n">
        <f aca="false">K45+K37+K29</f>
        <v>11905.4896663555</v>
      </c>
      <c r="L58" s="643" t="n">
        <f aca="false">L45+L37+L29</f>
        <v>12030.0199515192</v>
      </c>
      <c r="M58" s="643" t="n">
        <f aca="false">M45+M37+M29</f>
        <v>12403.1595592004</v>
      </c>
      <c r="N58" s="643" t="n">
        <f aca="false">N45+N37+N29</f>
        <v>12527.2955969788</v>
      </c>
      <c r="O58" s="643" t="n">
        <f aca="false">O45+O37+O29</f>
        <v>12917.172925469</v>
      </c>
      <c r="P58" s="643" t="n">
        <f aca="false">P45+P37+P29</f>
        <v>12723.1349438845</v>
      </c>
      <c r="Q58" s="643" t="n">
        <f aca="false">Q45+Q37+Q29</f>
        <v>13152.3476086263</v>
      </c>
      <c r="R58" s="643" t="n">
        <f aca="false">R45+R37+R29</f>
        <v>13307.4645938984</v>
      </c>
      <c r="S58" s="643" t="n">
        <f aca="false">S45+S37+S29</f>
        <v>13457.2580100977</v>
      </c>
      <c r="T58" s="643" t="n">
        <f aca="false">T45+T37+T29</f>
        <v>13601.3047830533</v>
      </c>
      <c r="U58" s="643" t="n">
        <f aca="false">U45+U37+U29</f>
        <v>13752.4743047107</v>
      </c>
      <c r="V58" s="643" t="n">
        <f aca="false">V45+V37+V29</f>
        <v>13903.6449299182</v>
      </c>
      <c r="W58" s="643" t="n">
        <f aca="false">W45+W37+W29</f>
        <v>14047.672677875</v>
      </c>
      <c r="X58" s="643" t="n">
        <f aca="false">X45+X37+X29</f>
        <v>14144.1076622101</v>
      </c>
      <c r="Y58" s="644" t="n">
        <f aca="false">Y45+Y37+Y29</f>
        <v>0</v>
      </c>
      <c r="Z58" s="603"/>
      <c r="AA58" s="603"/>
      <c r="AB58" s="603"/>
      <c r="AC58" s="604"/>
    </row>
    <row r="59" customFormat="false" ht="12.6" hidden="false" customHeight="true" outlineLevel="0" collapsed="false">
      <c r="A59" s="638"/>
      <c r="B59" s="473"/>
      <c r="C59" s="473"/>
      <c r="D59" s="149"/>
      <c r="E59" s="643"/>
      <c r="F59" s="643"/>
      <c r="G59" s="643"/>
      <c r="H59" s="643"/>
      <c r="I59" s="643"/>
      <c r="J59" s="643"/>
      <c r="K59" s="643"/>
      <c r="L59" s="643"/>
      <c r="M59" s="643"/>
      <c r="N59" s="643"/>
      <c r="O59" s="643"/>
      <c r="P59" s="643"/>
      <c r="Q59" s="643"/>
      <c r="R59" s="643"/>
      <c r="S59" s="643"/>
      <c r="T59" s="643"/>
      <c r="U59" s="643"/>
      <c r="V59" s="643"/>
      <c r="W59" s="643"/>
      <c r="X59" s="643"/>
      <c r="Y59" s="644"/>
      <c r="Z59" s="603"/>
      <c r="AA59" s="603"/>
      <c r="AB59" s="603"/>
      <c r="AC59" s="604"/>
    </row>
    <row r="60" customFormat="false" ht="12.6" hidden="false" customHeight="true" outlineLevel="0" collapsed="false">
      <c r="A60" s="645" t="s">
        <v>464</v>
      </c>
      <c r="B60" s="646"/>
      <c r="C60" s="646"/>
      <c r="D60" s="647"/>
      <c r="E60" s="648" t="n">
        <f aca="false">E6/E16</f>
        <v>1.5</v>
      </c>
      <c r="F60" s="648" t="n">
        <f aca="false">F6/F16</f>
        <v>1.5</v>
      </c>
      <c r="G60" s="648" t="n">
        <f aca="false">G6/G16</f>
        <v>1.5</v>
      </c>
      <c r="H60" s="648" t="n">
        <f aca="false">H6/H16</f>
        <v>1.5</v>
      </c>
      <c r="I60" s="648" t="n">
        <f aca="false">I6/I16</f>
        <v>2.5</v>
      </c>
      <c r="J60" s="648" t="n">
        <f aca="false">J6/J16</f>
        <v>2.5</v>
      </c>
      <c r="K60" s="648" t="n">
        <f aca="false">K6/K16</f>
        <v>2.5</v>
      </c>
      <c r="L60" s="648" t="n">
        <f aca="false">L6/L16</f>
        <v>2.5</v>
      </c>
      <c r="M60" s="648" t="n">
        <f aca="false">M6/M16</f>
        <v>2.5</v>
      </c>
      <c r="N60" s="648" t="n">
        <f aca="false">N6/N16</f>
        <v>2.5</v>
      </c>
      <c r="O60" s="648" t="n">
        <f aca="false">O6/O16</f>
        <v>2.5</v>
      </c>
      <c r="P60" s="648" t="n">
        <f aca="false">P6/P16</f>
        <v>2.5</v>
      </c>
      <c r="Q60" s="648" t="n">
        <f aca="false">Q6/Q16</f>
        <v>2.5</v>
      </c>
      <c r="R60" s="648" t="n">
        <f aca="false">R6/R16</f>
        <v>2.5</v>
      </c>
      <c r="S60" s="648" t="n">
        <f aca="false">S6/S16</f>
        <v>2.5</v>
      </c>
      <c r="T60" s="648" t="n">
        <f aca="false">T6/T16</f>
        <v>2.5</v>
      </c>
      <c r="U60" s="648" t="n">
        <f aca="false">U6/U16</f>
        <v>2.5</v>
      </c>
      <c r="V60" s="648" t="n">
        <f aca="false">V6/V16</f>
        <v>2.5</v>
      </c>
      <c r="W60" s="648" t="n">
        <f aca="false">W6/W16</f>
        <v>2.5</v>
      </c>
      <c r="X60" s="648" t="n">
        <f aca="false">X6/X16</f>
        <v>2.5</v>
      </c>
      <c r="Y60" s="649" t="e">
        <f aca="false">Y6/Y16</f>
        <v>#DIV/0!</v>
      </c>
      <c r="Z60" s="580"/>
      <c r="AA60" s="580"/>
      <c r="AB60" s="580"/>
      <c r="AC60" s="582"/>
    </row>
    <row r="61" customFormat="false" ht="12.6" hidden="false" customHeight="true" outlineLevel="0" collapsed="false">
      <c r="B61" s="473"/>
      <c r="C61" s="473"/>
      <c r="E61" s="603"/>
      <c r="F61" s="603"/>
      <c r="G61" s="603"/>
      <c r="H61" s="603"/>
      <c r="I61" s="603"/>
      <c r="J61" s="603"/>
      <c r="K61" s="603"/>
      <c r="L61" s="603"/>
      <c r="M61" s="603"/>
      <c r="N61" s="603"/>
      <c r="O61" s="603"/>
      <c r="P61" s="603"/>
      <c r="Q61" s="603"/>
      <c r="R61" s="603"/>
      <c r="S61" s="603"/>
      <c r="T61" s="603"/>
      <c r="U61" s="603"/>
      <c r="V61" s="603"/>
      <c r="W61" s="603"/>
      <c r="X61" s="603"/>
      <c r="Y61" s="603"/>
      <c r="Z61" s="603"/>
      <c r="AA61" s="603"/>
      <c r="AB61" s="603"/>
      <c r="AC61" s="604"/>
    </row>
    <row r="62" customFormat="false" ht="12.6" hidden="false" customHeight="true" outlineLevel="0" collapsed="false">
      <c r="A62" s="5" t="s">
        <v>465</v>
      </c>
      <c r="B62" s="473"/>
      <c r="C62" s="473"/>
      <c r="E62" s="641" t="str">
        <f aca="false">IF(E58&lt;&gt;E16,"ERROR","")</f>
        <v/>
      </c>
      <c r="F62" s="641" t="str">
        <f aca="false">IF(F58&lt;&gt;F16,"ERROR","")</f>
        <v/>
      </c>
      <c r="G62" s="641" t="str">
        <f aca="false">IF(G58&lt;&gt;G16,"ERROR","")</f>
        <v/>
      </c>
      <c r="H62" s="641" t="str">
        <f aca="false">IF(H58&lt;&gt;H16,"ERROR","")</f>
        <v/>
      </c>
      <c r="I62" s="641" t="str">
        <f aca="false">IF(I58&lt;&gt;I16,"ERROR","")</f>
        <v/>
      </c>
      <c r="J62" s="641" t="str">
        <f aca="false">IF(J58&lt;&gt;J16,"ERROR","")</f>
        <v/>
      </c>
      <c r="K62" s="641" t="str">
        <f aca="false">IF(K58&lt;&gt;K16,"ERROR","")</f>
        <v/>
      </c>
      <c r="L62" s="641" t="str">
        <f aca="false">IF(L58&lt;&gt;L16,"ERROR","")</f>
        <v/>
      </c>
      <c r="M62" s="641" t="str">
        <f aca="false">IF(M58&lt;&gt;M16,"ERROR","")</f>
        <v/>
      </c>
      <c r="N62" s="641" t="str">
        <f aca="false">IF(N58&lt;&gt;N16,"ERROR","")</f>
        <v/>
      </c>
      <c r="O62" s="641" t="str">
        <f aca="false">IF(O58&lt;&gt;O16,"ERROR","")</f>
        <v/>
      </c>
      <c r="P62" s="641" t="str">
        <f aca="false">IF(P58&lt;&gt;P16,"ERROR","")</f>
        <v/>
      </c>
      <c r="Q62" s="641" t="str">
        <f aca="false">IF(Q58&lt;&gt;Q16,"ERROR","")</f>
        <v/>
      </c>
      <c r="R62" s="641" t="str">
        <f aca="false">IF(R58&lt;&gt;R16,"ERROR","")</f>
        <v/>
      </c>
      <c r="S62" s="641" t="str">
        <f aca="false">IF(S58&lt;&gt;S16,"ERROR","")</f>
        <v/>
      </c>
      <c r="T62" s="641" t="str">
        <f aca="false">IF(T58&lt;&gt;T16,"ERROR","")</f>
        <v/>
      </c>
      <c r="U62" s="641" t="str">
        <f aca="false">IF(U58&lt;&gt;U16,"ERROR","")</f>
        <v/>
      </c>
      <c r="V62" s="641" t="str">
        <f aca="false">IF(V58&lt;&gt;V16,"ERROR","")</f>
        <v/>
      </c>
      <c r="W62" s="641" t="str">
        <f aca="false">IF(W58&lt;&gt;W16,"ERROR","")</f>
        <v/>
      </c>
      <c r="X62" s="641" t="str">
        <f aca="false">IF(X58&lt;&gt;X16,"ERROR","")</f>
        <v/>
      </c>
      <c r="Y62" s="641" t="str">
        <f aca="false">IF(Y58&lt;&gt;Y16,"ERROR","")</f>
        <v/>
      </c>
      <c r="Z62" s="641"/>
      <c r="AA62" s="641"/>
      <c r="AB62" s="641"/>
      <c r="AC62" s="642"/>
    </row>
    <row r="63" customFormat="false" ht="12.75" hidden="false" customHeight="false" outlineLevel="0" collapsed="false">
      <c r="A63" s="398"/>
      <c r="B63" s="398"/>
      <c r="C63" s="398"/>
      <c r="D63" s="398"/>
      <c r="E63" s="650"/>
      <c r="F63" s="650"/>
      <c r="G63" s="650"/>
      <c r="H63" s="650"/>
      <c r="I63" s="650"/>
      <c r="J63" s="650"/>
      <c r="K63" s="650"/>
      <c r="L63" s="650"/>
      <c r="M63" s="650"/>
      <c r="N63" s="650"/>
      <c r="O63" s="650"/>
      <c r="P63" s="650"/>
      <c r="Q63" s="650"/>
      <c r="R63" s="650"/>
      <c r="S63" s="650"/>
      <c r="T63" s="650"/>
      <c r="U63" s="650"/>
      <c r="V63" s="650"/>
      <c r="W63" s="650"/>
      <c r="X63" s="650"/>
      <c r="Y63" s="650"/>
      <c r="Z63" s="650"/>
      <c r="AA63" s="650"/>
      <c r="AB63" s="650"/>
      <c r="AC63" s="651"/>
      <c r="AD63" s="651"/>
    </row>
    <row r="64" customFormat="false" ht="12.75" hidden="false" customHeight="false" outlineLevel="0" collapsed="false">
      <c r="A64" s="606" t="s">
        <v>466</v>
      </c>
      <c r="B64" s="474"/>
      <c r="C64" s="474"/>
      <c r="D64" s="474"/>
      <c r="E64" s="474"/>
      <c r="F64" s="474"/>
      <c r="G64" s="474"/>
      <c r="H64" s="474"/>
      <c r="I64" s="474"/>
      <c r="J64" s="474"/>
      <c r="K64" s="474"/>
      <c r="L64" s="474"/>
      <c r="M64" s="474"/>
      <c r="N64" s="474"/>
      <c r="O64" s="474"/>
      <c r="P64" s="474"/>
      <c r="Q64" s="474"/>
      <c r="R64" s="474"/>
      <c r="S64" s="474"/>
      <c r="T64" s="474"/>
      <c r="U64" s="474"/>
      <c r="V64" s="474"/>
      <c r="W64" s="474"/>
      <c r="X64" s="474"/>
      <c r="Y64" s="652"/>
      <c r="AD64" s="653"/>
    </row>
    <row r="65" customFormat="false" ht="12.6" hidden="false" customHeight="true" outlineLevel="0" collapsed="false">
      <c r="A65" s="379" t="s">
        <v>467</v>
      </c>
      <c r="B65" s="654" t="n">
        <f aca="false">Principal1</f>
        <v>18984</v>
      </c>
      <c r="C65" s="149"/>
      <c r="D65" s="149"/>
      <c r="E65" s="149"/>
      <c r="F65" s="149"/>
      <c r="G65" s="149"/>
      <c r="H65" s="149"/>
      <c r="I65" s="149"/>
      <c r="J65" s="149"/>
      <c r="K65" s="149"/>
      <c r="L65" s="149"/>
      <c r="M65" s="149"/>
      <c r="N65" s="149"/>
      <c r="O65" s="149"/>
      <c r="P65" s="149"/>
      <c r="Q65" s="149"/>
      <c r="R65" s="149"/>
      <c r="S65" s="149"/>
      <c r="T65" s="149"/>
      <c r="U65" s="149"/>
      <c r="V65" s="149"/>
      <c r="W65" s="149"/>
      <c r="X65" s="149"/>
      <c r="Y65" s="455"/>
    </row>
    <row r="66" customFormat="false" ht="12.6" hidden="false" customHeight="true" outlineLevel="0" collapsed="false">
      <c r="A66" s="402" t="s">
        <v>258</v>
      </c>
      <c r="B66" s="655" t="n">
        <f aca="false">Int1</f>
        <v>0.0673</v>
      </c>
      <c r="C66" s="149"/>
      <c r="D66" s="149"/>
      <c r="E66" s="149"/>
      <c r="F66" s="149"/>
      <c r="G66" s="149"/>
      <c r="H66" s="149"/>
      <c r="I66" s="149"/>
      <c r="J66" s="149"/>
      <c r="K66" s="149"/>
      <c r="L66" s="149"/>
      <c r="M66" s="149"/>
      <c r="N66" s="149"/>
      <c r="O66" s="149"/>
      <c r="P66" s="149"/>
      <c r="Q66" s="149"/>
      <c r="R66" s="149"/>
      <c r="S66" s="149"/>
      <c r="T66" s="149"/>
      <c r="U66" s="149"/>
      <c r="V66" s="149"/>
      <c r="W66" s="149"/>
      <c r="X66" s="149"/>
      <c r="Y66" s="455"/>
      <c r="AD66" s="503"/>
      <c r="AE66" s="503"/>
      <c r="AF66" s="503"/>
      <c r="AG66" s="503"/>
      <c r="AH66" s="503"/>
      <c r="AI66" s="503"/>
      <c r="AJ66" s="503"/>
      <c r="AK66" s="503"/>
      <c r="AL66" s="503"/>
      <c r="AM66" s="503"/>
      <c r="AN66" s="503"/>
      <c r="AO66" s="503"/>
      <c r="AP66" s="503"/>
      <c r="AQ66" s="503"/>
      <c r="AR66" s="503"/>
      <c r="AS66" s="503"/>
      <c r="AT66" s="503"/>
      <c r="AU66" s="503"/>
      <c r="AV66" s="503"/>
      <c r="AW66" s="503"/>
      <c r="AX66" s="503"/>
      <c r="AY66" s="503"/>
      <c r="AZ66" s="503"/>
      <c r="BA66" s="503"/>
    </row>
    <row r="67" customFormat="false" ht="12.6" hidden="false" customHeight="true" outlineLevel="0" collapsed="false">
      <c r="A67" s="402" t="s">
        <v>256</v>
      </c>
      <c r="B67" s="455" t="n">
        <f aca="false">Term1</f>
        <v>4</v>
      </c>
      <c r="C67" s="149"/>
      <c r="D67" s="149"/>
      <c r="E67" s="149"/>
      <c r="F67" s="149"/>
      <c r="G67" s="149"/>
      <c r="H67" s="149"/>
      <c r="I67" s="149"/>
      <c r="J67" s="149"/>
      <c r="K67" s="149"/>
      <c r="L67" s="149"/>
      <c r="M67" s="149"/>
      <c r="N67" s="149"/>
      <c r="O67" s="149"/>
      <c r="P67" s="149"/>
      <c r="Q67" s="149"/>
      <c r="R67" s="149"/>
      <c r="S67" s="149"/>
      <c r="T67" s="149"/>
      <c r="U67" s="149"/>
      <c r="V67" s="149"/>
      <c r="W67" s="149"/>
      <c r="X67" s="149"/>
      <c r="Y67" s="455"/>
      <c r="AF67" s="576"/>
    </row>
    <row r="68" customFormat="false" ht="12.6" hidden="false" customHeight="true" outlineLevel="0" collapsed="false">
      <c r="A68" s="612" t="s">
        <v>468</v>
      </c>
      <c r="B68" s="494" t="n">
        <f aca="false">GRACE1</f>
        <v>2</v>
      </c>
      <c r="C68" s="149"/>
      <c r="D68" s="149"/>
      <c r="E68" s="149"/>
      <c r="F68" s="149"/>
      <c r="G68" s="149"/>
      <c r="H68" s="149"/>
      <c r="I68" s="149"/>
      <c r="J68" s="149"/>
      <c r="K68" s="149"/>
      <c r="L68" s="149"/>
      <c r="M68" s="149"/>
      <c r="N68" s="149"/>
      <c r="O68" s="149"/>
      <c r="P68" s="149"/>
      <c r="Q68" s="149"/>
      <c r="R68" s="149"/>
      <c r="S68" s="149"/>
      <c r="T68" s="149"/>
      <c r="U68" s="149"/>
      <c r="V68" s="149"/>
      <c r="W68" s="149"/>
      <c r="X68" s="149"/>
      <c r="Y68" s="455"/>
    </row>
    <row r="69" customFormat="false" ht="12.6" hidden="false" customHeight="true" outlineLevel="0" collapsed="false">
      <c r="A69" s="402"/>
      <c r="B69" s="149"/>
      <c r="C69" s="656" t="s">
        <v>469</v>
      </c>
      <c r="D69" s="149"/>
      <c r="E69" s="657" t="n">
        <f aca="false">E4</f>
        <v>1</v>
      </c>
      <c r="F69" s="657" t="n">
        <f aca="false">F4</f>
        <v>2</v>
      </c>
      <c r="G69" s="657" t="n">
        <f aca="false">G4</f>
        <v>3</v>
      </c>
      <c r="H69" s="657" t="n">
        <f aca="false">H4</f>
        <v>4</v>
      </c>
      <c r="I69" s="657" t="n">
        <f aca="false">I4</f>
        <v>5</v>
      </c>
      <c r="J69" s="657" t="n">
        <f aca="false">J4</f>
        <v>6</v>
      </c>
      <c r="K69" s="657" t="n">
        <f aca="false">K4</f>
        <v>7</v>
      </c>
      <c r="L69" s="657" t="n">
        <f aca="false">L4</f>
        <v>8</v>
      </c>
      <c r="M69" s="657" t="n">
        <f aca="false">M4</f>
        <v>9</v>
      </c>
      <c r="N69" s="657" t="n">
        <f aca="false">N4</f>
        <v>10</v>
      </c>
      <c r="O69" s="657" t="n">
        <f aca="false">O4</f>
        <v>11</v>
      </c>
      <c r="P69" s="657" t="n">
        <f aca="false">P4</f>
        <v>12</v>
      </c>
      <c r="Q69" s="657" t="n">
        <f aca="false">Q4</f>
        <v>13</v>
      </c>
      <c r="R69" s="657" t="n">
        <f aca="false">R4</f>
        <v>14</v>
      </c>
      <c r="S69" s="657" t="n">
        <f aca="false">S4</f>
        <v>15</v>
      </c>
      <c r="T69" s="657" t="n">
        <f aca="false">T4</f>
        <v>16</v>
      </c>
      <c r="U69" s="657" t="n">
        <f aca="false">U4</f>
        <v>17</v>
      </c>
      <c r="V69" s="657" t="n">
        <f aca="false">V4</f>
        <v>18</v>
      </c>
      <c r="W69" s="657" t="n">
        <f aca="false">W4</f>
        <v>19</v>
      </c>
      <c r="X69" s="657" t="n">
        <f aca="false">X4</f>
        <v>20</v>
      </c>
      <c r="Y69" s="658" t="n">
        <f aca="false">Y4</f>
        <v>21</v>
      </c>
      <c r="Z69" s="659" t="n">
        <f aca="false">Z4</f>
        <v>0</v>
      </c>
      <c r="AA69" s="659" t="n">
        <f aca="false">AA4</f>
        <v>0</v>
      </c>
      <c r="AB69" s="659" t="n">
        <f aca="false">AB4</f>
        <v>0</v>
      </c>
      <c r="AC69" s="660" t="n">
        <f aca="false">AC4</f>
        <v>0</v>
      </c>
    </row>
    <row r="70" customFormat="false" ht="12.6" hidden="false" customHeight="true" outlineLevel="0" collapsed="false">
      <c r="A70" s="661"/>
      <c r="B70" s="662"/>
      <c r="C70" s="662"/>
      <c r="D70" s="662"/>
      <c r="E70" s="663"/>
      <c r="F70" s="663"/>
      <c r="G70" s="663"/>
      <c r="H70" s="663"/>
      <c r="I70" s="663"/>
      <c r="J70" s="663"/>
      <c r="K70" s="663"/>
      <c r="L70" s="663"/>
      <c r="M70" s="663"/>
      <c r="N70" s="663"/>
      <c r="O70" s="663"/>
      <c r="P70" s="663"/>
      <c r="Q70" s="663"/>
      <c r="R70" s="663"/>
      <c r="S70" s="663"/>
      <c r="T70" s="149"/>
      <c r="U70" s="149"/>
      <c r="V70" s="149"/>
      <c r="W70" s="149"/>
      <c r="X70" s="149"/>
      <c r="Y70" s="455"/>
    </row>
    <row r="71" customFormat="false" ht="12.6" hidden="false" customHeight="true" outlineLevel="0" collapsed="false">
      <c r="A71" s="664" t="s">
        <v>470</v>
      </c>
      <c r="B71" s="665"/>
      <c r="C71" s="666" t="n">
        <f aca="false">B65</f>
        <v>18984</v>
      </c>
      <c r="D71" s="149"/>
      <c r="E71" s="665" t="n">
        <f aca="false">C71</f>
        <v>18984</v>
      </c>
      <c r="F71" s="665" t="n">
        <f aca="false">E75</f>
        <v>14238</v>
      </c>
      <c r="G71" s="665" t="n">
        <f aca="false">F75</f>
        <v>9492</v>
      </c>
      <c r="H71" s="665" t="n">
        <f aca="false">G75</f>
        <v>4746</v>
      </c>
      <c r="I71" s="665" t="n">
        <f aca="false">H75</f>
        <v>0</v>
      </c>
      <c r="J71" s="665" t="n">
        <f aca="false">I75</f>
        <v>0</v>
      </c>
      <c r="K71" s="665" t="n">
        <f aca="false">J75</f>
        <v>0</v>
      </c>
      <c r="L71" s="665" t="n">
        <f aca="false">K75</f>
        <v>0</v>
      </c>
      <c r="M71" s="665" t="n">
        <f aca="false">L75</f>
        <v>0</v>
      </c>
      <c r="N71" s="665" t="n">
        <f aca="false">M75</f>
        <v>0</v>
      </c>
      <c r="O71" s="665" t="n">
        <f aca="false">N75</f>
        <v>0</v>
      </c>
      <c r="P71" s="665" t="n">
        <f aca="false">O75</f>
        <v>0</v>
      </c>
      <c r="Q71" s="665" t="n">
        <f aca="false">P75</f>
        <v>0</v>
      </c>
      <c r="R71" s="665" t="n">
        <f aca="false">Q75</f>
        <v>0</v>
      </c>
      <c r="S71" s="665" t="n">
        <f aca="false">R75</f>
        <v>0</v>
      </c>
      <c r="T71" s="665" t="n">
        <f aca="false">S75</f>
        <v>0</v>
      </c>
      <c r="U71" s="665" t="n">
        <f aca="false">T75</f>
        <v>0</v>
      </c>
      <c r="V71" s="665" t="n">
        <f aca="false">U75</f>
        <v>0</v>
      </c>
      <c r="W71" s="665" t="n">
        <f aca="false">V75</f>
        <v>0</v>
      </c>
      <c r="X71" s="665" t="n">
        <f aca="false">W75</f>
        <v>0</v>
      </c>
      <c r="Y71" s="667" t="n">
        <f aca="false">X75</f>
        <v>0</v>
      </c>
      <c r="Z71" s="665" t="n">
        <f aca="false">Y75</f>
        <v>0</v>
      </c>
      <c r="AA71" s="665" t="n">
        <f aca="false">Z75</f>
        <v>0</v>
      </c>
      <c r="AB71" s="665" t="n">
        <f aca="false">AA75</f>
        <v>0</v>
      </c>
      <c r="AC71" s="668" t="n">
        <f aca="false">AB75</f>
        <v>0</v>
      </c>
    </row>
    <row r="72" customFormat="false" ht="12.6" hidden="false" customHeight="true" outlineLevel="0" collapsed="false">
      <c r="A72" s="664" t="s">
        <v>471</v>
      </c>
      <c r="B72" s="669"/>
      <c r="C72" s="665"/>
      <c r="D72" s="149"/>
      <c r="E72" s="665" t="n">
        <f aca="false">E71*$B$66</f>
        <v>1277.6232</v>
      </c>
      <c r="F72" s="665" t="n">
        <f aca="false">F71*$B$66</f>
        <v>958.2174</v>
      </c>
      <c r="G72" s="665" t="n">
        <f aca="false">G71*$B$66</f>
        <v>638.8116</v>
      </c>
      <c r="H72" s="665" t="n">
        <f aca="false">H71*$B$66</f>
        <v>319.4058</v>
      </c>
      <c r="I72" s="665" t="n">
        <f aca="false">I71*$B$66</f>
        <v>0</v>
      </c>
      <c r="J72" s="665" t="n">
        <f aca="false">J71*$B$66</f>
        <v>0</v>
      </c>
      <c r="K72" s="665" t="n">
        <f aca="false">K71*$B$66</f>
        <v>0</v>
      </c>
      <c r="L72" s="665" t="n">
        <f aca="false">L71*$B$66</f>
        <v>0</v>
      </c>
      <c r="M72" s="665" t="n">
        <f aca="false">M71*$B$66</f>
        <v>0</v>
      </c>
      <c r="N72" s="665" t="n">
        <f aca="false">N71*$B$66</f>
        <v>0</v>
      </c>
      <c r="O72" s="665" t="n">
        <f aca="false">O71*$B$66</f>
        <v>0</v>
      </c>
      <c r="P72" s="665" t="n">
        <f aca="false">P71*$B$66</f>
        <v>0</v>
      </c>
      <c r="Q72" s="665" t="n">
        <f aca="false">Q71*$B$66</f>
        <v>0</v>
      </c>
      <c r="R72" s="665" t="n">
        <f aca="false">R71*$B$66</f>
        <v>0</v>
      </c>
      <c r="S72" s="665" t="n">
        <f aca="false">S71*$B$66</f>
        <v>0</v>
      </c>
      <c r="T72" s="665" t="n">
        <f aca="false">T71*$B$66</f>
        <v>0</v>
      </c>
      <c r="U72" s="665" t="n">
        <f aca="false">U71*$B$66</f>
        <v>0</v>
      </c>
      <c r="V72" s="665" t="n">
        <f aca="false">V71*$B$66</f>
        <v>0</v>
      </c>
      <c r="W72" s="665" t="n">
        <f aca="false">W71*$B$66</f>
        <v>0</v>
      </c>
      <c r="X72" s="665" t="n">
        <f aca="false">X71*$B$66</f>
        <v>0</v>
      </c>
      <c r="Y72" s="667" t="n">
        <f aca="false">Y71*$B$66</f>
        <v>0</v>
      </c>
      <c r="Z72" s="665" t="n">
        <f aca="false">Z71*$B$66</f>
        <v>0</v>
      </c>
      <c r="AA72" s="665" t="n">
        <f aca="false">AA71*$B$66</f>
        <v>0</v>
      </c>
      <c r="AB72" s="665" t="n">
        <f aca="false">AB71*$B$66</f>
        <v>0</v>
      </c>
      <c r="AC72" s="668" t="n">
        <f aca="false">AC71*$B$66</f>
        <v>0</v>
      </c>
    </row>
    <row r="73" customFormat="false" ht="12.6" hidden="false" customHeight="true" outlineLevel="0" collapsed="false">
      <c r="A73" s="664" t="s">
        <v>472</v>
      </c>
      <c r="B73" s="665"/>
      <c r="C73" s="665"/>
      <c r="D73" s="149"/>
      <c r="E73" s="670" t="n">
        <f aca="false">$C$71*E77</f>
        <v>4746</v>
      </c>
      <c r="F73" s="670" t="n">
        <f aca="false">$C$71*F77</f>
        <v>4746</v>
      </c>
      <c r="G73" s="670" t="n">
        <f aca="false">$C$71*G77</f>
        <v>4746</v>
      </c>
      <c r="H73" s="670" t="n">
        <f aca="false">$C$71*H77</f>
        <v>4746</v>
      </c>
      <c r="I73" s="670" t="n">
        <f aca="false">$C$71*I77</f>
        <v>0</v>
      </c>
      <c r="J73" s="670" t="n">
        <f aca="false">$C$71*J77</f>
        <v>0</v>
      </c>
      <c r="K73" s="670" t="n">
        <f aca="false">$C$71*K77</f>
        <v>0</v>
      </c>
      <c r="L73" s="670" t="n">
        <f aca="false">$C$71*L77</f>
        <v>0</v>
      </c>
      <c r="M73" s="670" t="n">
        <f aca="false">$C$71*M77</f>
        <v>0</v>
      </c>
      <c r="N73" s="670" t="n">
        <f aca="false">$C$71*N77</f>
        <v>0</v>
      </c>
      <c r="O73" s="670" t="n">
        <f aca="false">$C$71*O77</f>
        <v>0</v>
      </c>
      <c r="P73" s="670" t="n">
        <f aca="false">$C$71*P77</f>
        <v>0</v>
      </c>
      <c r="Q73" s="670" t="n">
        <f aca="false">$C$71*Q77</f>
        <v>0</v>
      </c>
      <c r="R73" s="670" t="n">
        <f aca="false">$C$71*R77</f>
        <v>0</v>
      </c>
      <c r="S73" s="670" t="n">
        <f aca="false">$C$71*S77</f>
        <v>0</v>
      </c>
      <c r="T73" s="670" t="n">
        <f aca="false">$C$71*T77</f>
        <v>0</v>
      </c>
      <c r="U73" s="670" t="n">
        <f aca="false">$C$71*U77</f>
        <v>0</v>
      </c>
      <c r="V73" s="670" t="n">
        <f aca="false">$C$71*V77</f>
        <v>0</v>
      </c>
      <c r="W73" s="670" t="n">
        <f aca="false">$C$71*W77</f>
        <v>0</v>
      </c>
      <c r="X73" s="670" t="n">
        <f aca="false">$C$71*X77</f>
        <v>0</v>
      </c>
      <c r="Y73" s="671" t="n">
        <f aca="false">$C$71*Y77</f>
        <v>0</v>
      </c>
      <c r="Z73" s="670" t="n">
        <f aca="false">$C$71*Z77</f>
        <v>0</v>
      </c>
      <c r="AA73" s="670" t="n">
        <f aca="false">$C$71*AA77</f>
        <v>0</v>
      </c>
      <c r="AB73" s="670" t="n">
        <f aca="false">$C$71*AB77</f>
        <v>0</v>
      </c>
      <c r="AC73" s="672" t="n">
        <f aca="false">$C$71*AC77</f>
        <v>0</v>
      </c>
    </row>
    <row r="74" customFormat="false" ht="12.6" hidden="false" customHeight="true" outlineLevel="0" collapsed="false">
      <c r="A74" s="664" t="s">
        <v>473</v>
      </c>
      <c r="B74" s="665"/>
      <c r="C74" s="673"/>
      <c r="D74" s="149"/>
      <c r="E74" s="673" t="n">
        <f aca="false">E73+E72</f>
        <v>6023.6232</v>
      </c>
      <c r="F74" s="673" t="n">
        <f aca="false">F73+F72</f>
        <v>5704.2174</v>
      </c>
      <c r="G74" s="673" t="n">
        <f aca="false">G73+G72</f>
        <v>5384.8116</v>
      </c>
      <c r="H74" s="673" t="n">
        <f aca="false">H73+H72</f>
        <v>5065.4058</v>
      </c>
      <c r="I74" s="673" t="n">
        <f aca="false">I73+I72</f>
        <v>0</v>
      </c>
      <c r="J74" s="673" t="n">
        <f aca="false">J73+J72</f>
        <v>0</v>
      </c>
      <c r="K74" s="673" t="n">
        <f aca="false">K73+K72</f>
        <v>0</v>
      </c>
      <c r="L74" s="673" t="n">
        <f aca="false">L73+L72</f>
        <v>0</v>
      </c>
      <c r="M74" s="673" t="n">
        <f aca="false">M73+M72</f>
        <v>0</v>
      </c>
      <c r="N74" s="673" t="n">
        <f aca="false">N73+N72</f>
        <v>0</v>
      </c>
      <c r="O74" s="673" t="n">
        <f aca="false">O73+O72</f>
        <v>0</v>
      </c>
      <c r="P74" s="673" t="n">
        <f aca="false">P73+P72</f>
        <v>0</v>
      </c>
      <c r="Q74" s="673" t="n">
        <f aca="false">Q73+Q72</f>
        <v>0</v>
      </c>
      <c r="R74" s="673" t="n">
        <f aca="false">R73+R72</f>
        <v>0</v>
      </c>
      <c r="S74" s="673" t="n">
        <f aca="false">S73+S72</f>
        <v>0</v>
      </c>
      <c r="T74" s="673" t="n">
        <f aca="false">T73+T72</f>
        <v>0</v>
      </c>
      <c r="U74" s="673" t="n">
        <f aca="false">U73+U72</f>
        <v>0</v>
      </c>
      <c r="V74" s="673" t="n">
        <f aca="false">V73+V72</f>
        <v>0</v>
      </c>
      <c r="W74" s="673" t="n">
        <f aca="false">W73+W72</f>
        <v>0</v>
      </c>
      <c r="X74" s="673" t="n">
        <f aca="false">X73+X72</f>
        <v>0</v>
      </c>
      <c r="Y74" s="674" t="n">
        <f aca="false">Y73+Y72</f>
        <v>0</v>
      </c>
      <c r="Z74" s="673" t="n">
        <f aca="false">Z73+Z72</f>
        <v>0</v>
      </c>
      <c r="AA74" s="673" t="n">
        <f aca="false">AA73+AA72</f>
        <v>0</v>
      </c>
      <c r="AB74" s="673" t="n">
        <f aca="false">AB73+AB72</f>
        <v>0</v>
      </c>
      <c r="AC74" s="675" t="n">
        <f aca="false">AC73+AC72</f>
        <v>0</v>
      </c>
    </row>
    <row r="75" customFormat="false" ht="12.6" hidden="false" customHeight="true" outlineLevel="0" collapsed="false">
      <c r="A75" s="664" t="s">
        <v>474</v>
      </c>
      <c r="B75" s="665"/>
      <c r="C75" s="665"/>
      <c r="D75" s="149"/>
      <c r="E75" s="665" t="n">
        <f aca="false">E71-E73</f>
        <v>14238</v>
      </c>
      <c r="F75" s="665" t="n">
        <f aca="false">F71-F73</f>
        <v>9492</v>
      </c>
      <c r="G75" s="665" t="n">
        <f aca="false">G71-G73</f>
        <v>4746</v>
      </c>
      <c r="H75" s="665" t="n">
        <f aca="false">H71-H73</f>
        <v>0</v>
      </c>
      <c r="I75" s="665" t="n">
        <f aca="false">I71-I73</f>
        <v>0</v>
      </c>
      <c r="J75" s="665" t="n">
        <f aca="false">J71-J73</f>
        <v>0</v>
      </c>
      <c r="K75" s="665" t="n">
        <f aca="false">K71-K73</f>
        <v>0</v>
      </c>
      <c r="L75" s="665" t="n">
        <f aca="false">L71-L73</f>
        <v>0</v>
      </c>
      <c r="M75" s="665" t="n">
        <f aca="false">M71-M73</f>
        <v>0</v>
      </c>
      <c r="N75" s="665" t="n">
        <f aca="false">N71-N73</f>
        <v>0</v>
      </c>
      <c r="O75" s="665" t="n">
        <f aca="false">O71-O73</f>
        <v>0</v>
      </c>
      <c r="P75" s="665" t="n">
        <f aca="false">P71-P73</f>
        <v>0</v>
      </c>
      <c r="Q75" s="665" t="n">
        <f aca="false">Q71-Q73</f>
        <v>0</v>
      </c>
      <c r="R75" s="665" t="n">
        <f aca="false">R71-R73</f>
        <v>0</v>
      </c>
      <c r="S75" s="665" t="n">
        <f aca="false">S71-S73</f>
        <v>0</v>
      </c>
      <c r="T75" s="665" t="n">
        <f aca="false">T71-T73</f>
        <v>0</v>
      </c>
      <c r="U75" s="665" t="n">
        <f aca="false">U71-U73</f>
        <v>0</v>
      </c>
      <c r="V75" s="665" t="n">
        <f aca="false">V71-V73</f>
        <v>0</v>
      </c>
      <c r="W75" s="665" t="n">
        <f aca="false">W71-W73</f>
        <v>0</v>
      </c>
      <c r="X75" s="665" t="n">
        <f aca="false">X71-X73</f>
        <v>0</v>
      </c>
      <c r="Y75" s="667" t="n">
        <f aca="false">Y71-Y73</f>
        <v>0</v>
      </c>
      <c r="Z75" s="665" t="n">
        <f aca="false">Z71-Z73</f>
        <v>0</v>
      </c>
      <c r="AA75" s="665" t="n">
        <f aca="false">AA71-AA73</f>
        <v>0</v>
      </c>
      <c r="AB75" s="665" t="n">
        <f aca="false">AB71-AB73</f>
        <v>0</v>
      </c>
      <c r="AC75" s="668" t="n">
        <f aca="false">AC71-AC73</f>
        <v>0</v>
      </c>
    </row>
    <row r="76" customFormat="false" ht="12.6" hidden="false" customHeight="true" outlineLevel="0" collapsed="false">
      <c r="A76" s="664" t="s">
        <v>475</v>
      </c>
      <c r="B76" s="665"/>
      <c r="C76" s="676" t="n">
        <f aca="false">SUMPRODUCT(E73:AC73,$E$69:$AC$69)/SUM(E73:AC73)</f>
        <v>2.5</v>
      </c>
      <c r="D76" s="450"/>
      <c r="E76" s="669"/>
      <c r="F76" s="665"/>
      <c r="G76" s="665"/>
      <c r="H76" s="665"/>
      <c r="I76" s="665"/>
      <c r="J76" s="665"/>
      <c r="K76" s="665"/>
      <c r="L76" s="665"/>
      <c r="M76" s="665"/>
      <c r="N76" s="665"/>
      <c r="O76" s="665"/>
      <c r="P76" s="665"/>
      <c r="Q76" s="665"/>
      <c r="R76" s="665"/>
      <c r="S76" s="665"/>
      <c r="T76" s="665"/>
      <c r="U76" s="665"/>
      <c r="V76" s="665"/>
      <c r="W76" s="665"/>
      <c r="X76" s="665"/>
      <c r="Y76" s="667"/>
      <c r="Z76" s="665"/>
      <c r="AA76" s="665"/>
      <c r="AB76" s="665"/>
      <c r="AC76" s="668"/>
    </row>
    <row r="77" customFormat="false" ht="12.6" hidden="false" customHeight="true" outlineLevel="0" collapsed="false">
      <c r="A77" s="612"/>
      <c r="B77" s="677"/>
      <c r="C77" s="678" t="s">
        <v>476</v>
      </c>
      <c r="D77" s="679" t="n">
        <f aca="false">SUM(E77:AC77)</f>
        <v>1</v>
      </c>
      <c r="E77" s="680" t="n">
        <v>0.25</v>
      </c>
      <c r="F77" s="680" t="n">
        <v>0.25</v>
      </c>
      <c r="G77" s="680" t="n">
        <v>0.25</v>
      </c>
      <c r="H77" s="680" t="n">
        <v>0.25</v>
      </c>
      <c r="I77" s="680" t="n">
        <v>0</v>
      </c>
      <c r="J77" s="680" t="n">
        <v>0</v>
      </c>
      <c r="K77" s="680" t="n">
        <v>0</v>
      </c>
      <c r="L77" s="680" t="n">
        <v>0</v>
      </c>
      <c r="M77" s="680" t="n">
        <v>0</v>
      </c>
      <c r="N77" s="680" t="n">
        <v>0</v>
      </c>
      <c r="O77" s="680" t="n">
        <v>0</v>
      </c>
      <c r="P77" s="680" t="n">
        <v>0</v>
      </c>
      <c r="Q77" s="680" t="n">
        <v>0</v>
      </c>
      <c r="R77" s="680" t="n">
        <v>0</v>
      </c>
      <c r="S77" s="680" t="n">
        <v>0</v>
      </c>
      <c r="T77" s="680" t="n">
        <v>0</v>
      </c>
      <c r="U77" s="680" t="n">
        <v>0</v>
      </c>
      <c r="V77" s="680" t="n">
        <v>0</v>
      </c>
      <c r="W77" s="680" t="n">
        <v>0</v>
      </c>
      <c r="X77" s="680" t="n">
        <v>0</v>
      </c>
      <c r="Y77" s="681" t="n">
        <v>0</v>
      </c>
      <c r="Z77" s="611" t="n">
        <v>0</v>
      </c>
      <c r="AA77" s="611" t="n">
        <v>0</v>
      </c>
      <c r="AB77" s="611" t="n">
        <v>0</v>
      </c>
      <c r="AC77" s="682" t="n">
        <v>0</v>
      </c>
    </row>
    <row r="79" customFormat="false" ht="12.75" hidden="false" customHeight="false" outlineLevel="0" collapsed="false">
      <c r="A79" s="606" t="s">
        <v>477</v>
      </c>
      <c r="B79" s="474"/>
      <c r="C79" s="474"/>
      <c r="D79" s="474"/>
      <c r="E79" s="474"/>
      <c r="F79" s="474"/>
      <c r="G79" s="474"/>
      <c r="H79" s="474"/>
      <c r="I79" s="474"/>
      <c r="J79" s="474"/>
      <c r="K79" s="474"/>
      <c r="L79" s="474"/>
      <c r="M79" s="474"/>
      <c r="N79" s="474"/>
      <c r="O79" s="474"/>
      <c r="P79" s="474"/>
      <c r="Q79" s="474"/>
      <c r="R79" s="474"/>
      <c r="S79" s="474"/>
      <c r="T79" s="474"/>
      <c r="U79" s="474"/>
      <c r="V79" s="474"/>
      <c r="W79" s="474"/>
      <c r="X79" s="474"/>
      <c r="Y79" s="652"/>
    </row>
    <row r="80" customFormat="false" ht="12.75" hidden="false" customHeight="false" outlineLevel="0" collapsed="false">
      <c r="A80" s="379" t="s">
        <v>467</v>
      </c>
      <c r="B80" s="654" t="n">
        <f aca="false">Principal2</f>
        <v>34928</v>
      </c>
      <c r="C80" s="149"/>
      <c r="D80" s="149"/>
      <c r="E80" s="149"/>
      <c r="F80" s="149"/>
      <c r="G80" s="149"/>
      <c r="H80" s="149"/>
      <c r="I80" s="149"/>
      <c r="J80" s="149"/>
      <c r="K80" s="149"/>
      <c r="L80" s="149"/>
      <c r="M80" s="149"/>
      <c r="N80" s="149"/>
      <c r="O80" s="149"/>
      <c r="P80" s="149"/>
      <c r="Q80" s="149"/>
      <c r="R80" s="149"/>
      <c r="S80" s="149"/>
      <c r="T80" s="149"/>
      <c r="U80" s="149"/>
      <c r="V80" s="149"/>
      <c r="W80" s="149"/>
      <c r="X80" s="149"/>
      <c r="Y80" s="455"/>
    </row>
    <row r="81" customFormat="false" ht="12.75" hidden="false" customHeight="false" outlineLevel="0" collapsed="false">
      <c r="A81" s="402" t="s">
        <v>258</v>
      </c>
      <c r="B81" s="655" t="n">
        <f aca="false">Int2</f>
        <v>0.0757</v>
      </c>
      <c r="C81" s="149"/>
      <c r="D81" s="149"/>
      <c r="E81" s="149"/>
      <c r="F81" s="149"/>
      <c r="G81" s="149"/>
      <c r="H81" s="149"/>
      <c r="I81" s="149"/>
      <c r="J81" s="149"/>
      <c r="K81" s="149"/>
      <c r="L81" s="149"/>
      <c r="M81" s="149"/>
      <c r="N81" s="149"/>
      <c r="O81" s="149"/>
      <c r="P81" s="149"/>
      <c r="Q81" s="149"/>
      <c r="R81" s="149"/>
      <c r="S81" s="149"/>
      <c r="T81" s="149"/>
      <c r="U81" s="149"/>
      <c r="V81" s="149"/>
      <c r="W81" s="149"/>
      <c r="X81" s="149"/>
      <c r="Y81" s="455"/>
    </row>
    <row r="82" customFormat="false" ht="12.75" hidden="false" customHeight="false" outlineLevel="0" collapsed="false">
      <c r="A82" s="402" t="s">
        <v>256</v>
      </c>
      <c r="B82" s="455" t="n">
        <f aca="false">Term2</f>
        <v>10</v>
      </c>
      <c r="C82" s="149"/>
      <c r="D82" s="149"/>
      <c r="E82" s="149"/>
      <c r="F82" s="149"/>
      <c r="G82" s="149"/>
      <c r="H82" s="149"/>
      <c r="I82" s="149"/>
      <c r="J82" s="149"/>
      <c r="K82" s="149"/>
      <c r="L82" s="149"/>
      <c r="M82" s="149"/>
      <c r="N82" s="149"/>
      <c r="O82" s="149"/>
      <c r="P82" s="149"/>
      <c r="Q82" s="149"/>
      <c r="R82" s="149"/>
      <c r="S82" s="149"/>
      <c r="T82" s="149"/>
      <c r="U82" s="149"/>
      <c r="V82" s="149"/>
      <c r="W82" s="149"/>
      <c r="X82" s="149"/>
      <c r="Y82" s="455"/>
    </row>
    <row r="83" customFormat="false" ht="12.75" hidden="false" customHeight="false" outlineLevel="0" collapsed="false">
      <c r="A83" s="612" t="s">
        <v>468</v>
      </c>
      <c r="B83" s="494" t="n">
        <f aca="false">GRACE2</f>
        <v>4</v>
      </c>
      <c r="C83" s="149"/>
      <c r="D83" s="149"/>
      <c r="E83" s="149"/>
      <c r="F83" s="149"/>
      <c r="G83" s="149"/>
      <c r="H83" s="149"/>
      <c r="I83" s="149"/>
      <c r="J83" s="149"/>
      <c r="K83" s="149"/>
      <c r="L83" s="149"/>
      <c r="M83" s="149"/>
      <c r="N83" s="149"/>
      <c r="O83" s="149"/>
      <c r="P83" s="149"/>
      <c r="Q83" s="149"/>
      <c r="R83" s="149"/>
      <c r="S83" s="149"/>
      <c r="T83" s="149"/>
      <c r="U83" s="149"/>
      <c r="V83" s="149"/>
      <c r="W83" s="149"/>
      <c r="X83" s="149"/>
      <c r="Y83" s="455"/>
    </row>
    <row r="84" customFormat="false" ht="12.75" hidden="false" customHeight="false" outlineLevel="0" collapsed="false">
      <c r="A84" s="402"/>
      <c r="B84" s="149"/>
      <c r="C84" s="656" t="s">
        <v>469</v>
      </c>
      <c r="D84" s="149"/>
      <c r="E84" s="657" t="n">
        <f aca="false">E4</f>
        <v>1</v>
      </c>
      <c r="F84" s="657" t="n">
        <f aca="false">F4</f>
        <v>2</v>
      </c>
      <c r="G84" s="657" t="n">
        <f aca="false">G4</f>
        <v>3</v>
      </c>
      <c r="H84" s="657" t="n">
        <f aca="false">H4</f>
        <v>4</v>
      </c>
      <c r="I84" s="657" t="n">
        <f aca="false">I4</f>
        <v>5</v>
      </c>
      <c r="J84" s="657" t="n">
        <f aca="false">J4</f>
        <v>6</v>
      </c>
      <c r="K84" s="657" t="n">
        <f aca="false">K4</f>
        <v>7</v>
      </c>
      <c r="L84" s="657" t="n">
        <f aca="false">L4</f>
        <v>8</v>
      </c>
      <c r="M84" s="657" t="n">
        <f aca="false">M4</f>
        <v>9</v>
      </c>
      <c r="N84" s="657" t="n">
        <f aca="false">N4</f>
        <v>10</v>
      </c>
      <c r="O84" s="657" t="n">
        <f aca="false">O4</f>
        <v>11</v>
      </c>
      <c r="P84" s="657" t="n">
        <f aca="false">P4</f>
        <v>12</v>
      </c>
      <c r="Q84" s="657" t="n">
        <f aca="false">Q4</f>
        <v>13</v>
      </c>
      <c r="R84" s="657" t="n">
        <f aca="false">R4</f>
        <v>14</v>
      </c>
      <c r="S84" s="657" t="n">
        <f aca="false">S4</f>
        <v>15</v>
      </c>
      <c r="T84" s="657" t="n">
        <f aca="false">T4</f>
        <v>16</v>
      </c>
      <c r="U84" s="657" t="n">
        <f aca="false">U4</f>
        <v>17</v>
      </c>
      <c r="V84" s="657" t="n">
        <f aca="false">V4</f>
        <v>18</v>
      </c>
      <c r="W84" s="657" t="n">
        <f aca="false">W4</f>
        <v>19</v>
      </c>
      <c r="X84" s="657" t="n">
        <f aca="false">X4</f>
        <v>20</v>
      </c>
      <c r="Y84" s="658" t="n">
        <f aca="false">Y4</f>
        <v>21</v>
      </c>
      <c r="Z84" s="659" t="n">
        <f aca="false">Z4</f>
        <v>0</v>
      </c>
      <c r="AA84" s="659" t="n">
        <f aca="false">AA4</f>
        <v>0</v>
      </c>
      <c r="AB84" s="659" t="n">
        <f aca="false">AB4</f>
        <v>0</v>
      </c>
      <c r="AC84" s="660" t="n">
        <f aca="false">AC4</f>
        <v>0</v>
      </c>
    </row>
    <row r="85" customFormat="false" ht="12.6" hidden="false" customHeight="true" outlineLevel="0" collapsed="false">
      <c r="A85" s="661"/>
      <c r="B85" s="662"/>
      <c r="C85" s="662"/>
      <c r="D85" s="662"/>
      <c r="E85" s="663"/>
      <c r="F85" s="663"/>
      <c r="G85" s="663"/>
      <c r="H85" s="663"/>
      <c r="I85" s="663"/>
      <c r="J85" s="663"/>
      <c r="K85" s="663"/>
      <c r="L85" s="663"/>
      <c r="M85" s="663"/>
      <c r="N85" s="663"/>
      <c r="O85" s="663"/>
      <c r="P85" s="663"/>
      <c r="Q85" s="663"/>
      <c r="R85" s="663"/>
      <c r="S85" s="663"/>
      <c r="T85" s="149"/>
      <c r="U85" s="149"/>
      <c r="V85" s="149"/>
      <c r="W85" s="149"/>
      <c r="X85" s="149"/>
      <c r="Y85" s="455"/>
    </row>
    <row r="86" customFormat="false" ht="12.6" hidden="false" customHeight="true" outlineLevel="0" collapsed="false">
      <c r="A86" s="664" t="s">
        <v>470</v>
      </c>
      <c r="B86" s="665"/>
      <c r="C86" s="666" t="n">
        <f aca="false">B80</f>
        <v>34928</v>
      </c>
      <c r="D86" s="149"/>
      <c r="E86" s="665" t="n">
        <f aca="false">C86</f>
        <v>34928</v>
      </c>
      <c r="F86" s="665" t="n">
        <f aca="false">E90</f>
        <v>34928</v>
      </c>
      <c r="G86" s="665" t="n">
        <f aca="false">F90</f>
        <v>34928</v>
      </c>
      <c r="H86" s="665" t="n">
        <f aca="false">G90</f>
        <v>33181.6</v>
      </c>
      <c r="I86" s="665" t="n">
        <f aca="false">H90</f>
        <v>29688.8</v>
      </c>
      <c r="J86" s="665" t="n">
        <f aca="false">I90</f>
        <v>26196</v>
      </c>
      <c r="K86" s="665" t="n">
        <f aca="false">J90</f>
        <v>22703.2</v>
      </c>
      <c r="L86" s="665" t="n">
        <f aca="false">K90</f>
        <v>19210.4</v>
      </c>
      <c r="M86" s="665" t="n">
        <f aca="false">L90</f>
        <v>15717.6</v>
      </c>
      <c r="N86" s="665" t="n">
        <f aca="false">M90</f>
        <v>8732</v>
      </c>
      <c r="O86" s="665" t="n">
        <f aca="false">N90</f>
        <v>0</v>
      </c>
      <c r="P86" s="665" t="n">
        <f aca="false">O90</f>
        <v>0</v>
      </c>
      <c r="Q86" s="665" t="n">
        <f aca="false">P90</f>
        <v>0</v>
      </c>
      <c r="R86" s="665" t="n">
        <f aca="false">Q90</f>
        <v>0</v>
      </c>
      <c r="S86" s="665" t="n">
        <f aca="false">R90</f>
        <v>0</v>
      </c>
      <c r="T86" s="665" t="n">
        <f aca="false">S90</f>
        <v>0</v>
      </c>
      <c r="U86" s="665" t="n">
        <f aca="false">T90</f>
        <v>0</v>
      </c>
      <c r="V86" s="665" t="n">
        <f aca="false">U90</f>
        <v>0</v>
      </c>
      <c r="W86" s="665" t="n">
        <f aca="false">V90</f>
        <v>0</v>
      </c>
      <c r="X86" s="665" t="n">
        <f aca="false">W90</f>
        <v>0</v>
      </c>
      <c r="Y86" s="667" t="n">
        <f aca="false">X90</f>
        <v>0</v>
      </c>
      <c r="Z86" s="665" t="n">
        <f aca="false">Y90</f>
        <v>0</v>
      </c>
      <c r="AA86" s="665" t="n">
        <f aca="false">Z90</f>
        <v>0</v>
      </c>
      <c r="AB86" s="665" t="n">
        <f aca="false">AA90</f>
        <v>0</v>
      </c>
      <c r="AC86" s="668" t="n">
        <f aca="false">AB90</f>
        <v>0</v>
      </c>
    </row>
    <row r="87" customFormat="false" ht="12.6" hidden="false" customHeight="true" outlineLevel="0" collapsed="false">
      <c r="A87" s="664" t="s">
        <v>471</v>
      </c>
      <c r="B87" s="669"/>
      <c r="C87" s="665"/>
      <c r="D87" s="149"/>
      <c r="E87" s="665" t="n">
        <f aca="false">E86*$B$81</f>
        <v>2644.0496</v>
      </c>
      <c r="F87" s="665" t="n">
        <f aca="false">F86*$B$81</f>
        <v>2644.0496</v>
      </c>
      <c r="G87" s="665" t="n">
        <f aca="false">G86*$B$81</f>
        <v>2644.0496</v>
      </c>
      <c r="H87" s="665" t="n">
        <f aca="false">H86*$B$81</f>
        <v>2511.84712</v>
      </c>
      <c r="I87" s="665" t="n">
        <f aca="false">I86*$B$81</f>
        <v>2247.44216</v>
      </c>
      <c r="J87" s="665" t="n">
        <f aca="false">J86*$B$81</f>
        <v>1983.0372</v>
      </c>
      <c r="K87" s="665" t="n">
        <f aca="false">K86*$B$81</f>
        <v>1718.63224</v>
      </c>
      <c r="L87" s="665" t="n">
        <f aca="false">L86*$B$81</f>
        <v>1454.22728</v>
      </c>
      <c r="M87" s="665" t="n">
        <f aca="false">M86*$B$81</f>
        <v>1189.82232</v>
      </c>
      <c r="N87" s="665" t="n">
        <f aca="false">N86*$B$81</f>
        <v>661.0124</v>
      </c>
      <c r="O87" s="665" t="n">
        <f aca="false">O86*$B$81</f>
        <v>0</v>
      </c>
      <c r="P87" s="665" t="n">
        <f aca="false">P86*$B$81</f>
        <v>0</v>
      </c>
      <c r="Q87" s="665" t="n">
        <f aca="false">Q86*$B$81</f>
        <v>0</v>
      </c>
      <c r="R87" s="665" t="n">
        <f aca="false">R86*$B$81</f>
        <v>0</v>
      </c>
      <c r="S87" s="665" t="n">
        <f aca="false">S86*$B$81</f>
        <v>0</v>
      </c>
      <c r="T87" s="665" t="n">
        <f aca="false">T86*$B$81</f>
        <v>0</v>
      </c>
      <c r="U87" s="665" t="n">
        <f aca="false">U86*$B$81</f>
        <v>0</v>
      </c>
      <c r="V87" s="665" t="n">
        <f aca="false">V86*$B$81</f>
        <v>0</v>
      </c>
      <c r="W87" s="665" t="n">
        <f aca="false">W86*$B$81</f>
        <v>0</v>
      </c>
      <c r="X87" s="665" t="n">
        <f aca="false">X86*$B$81</f>
        <v>0</v>
      </c>
      <c r="Y87" s="665" t="n">
        <f aca="false">Y86*$B$81</f>
        <v>0</v>
      </c>
      <c r="Z87" s="665" t="n">
        <f aca="false">Z86*$B$81</f>
        <v>0</v>
      </c>
      <c r="AA87" s="665" t="n">
        <f aca="false">AA86*$B$81</f>
        <v>0</v>
      </c>
      <c r="AB87" s="665" t="n">
        <f aca="false">AB86*$B$81</f>
        <v>0</v>
      </c>
      <c r="AC87" s="668" t="n">
        <f aca="false">AC86*$B$81</f>
        <v>0</v>
      </c>
    </row>
    <row r="88" customFormat="false" ht="12.6" hidden="false" customHeight="true" outlineLevel="0" collapsed="false">
      <c r="A88" s="664" t="s">
        <v>472</v>
      </c>
      <c r="B88" s="665"/>
      <c r="C88" s="665"/>
      <c r="D88" s="149"/>
      <c r="E88" s="670" t="n">
        <f aca="false">$C$86*E92</f>
        <v>0</v>
      </c>
      <c r="F88" s="670" t="n">
        <f aca="false">$C$86*F92</f>
        <v>0</v>
      </c>
      <c r="G88" s="670" t="n">
        <f aca="false">$C$86*G92</f>
        <v>1746.4</v>
      </c>
      <c r="H88" s="670" t="n">
        <f aca="false">$C$86*H92</f>
        <v>3492.8</v>
      </c>
      <c r="I88" s="670" t="n">
        <f aca="false">$C$86*I92</f>
        <v>3492.8</v>
      </c>
      <c r="J88" s="670" t="n">
        <f aca="false">$C$86*J92</f>
        <v>3492.8</v>
      </c>
      <c r="K88" s="670" t="n">
        <f aca="false">$C$86*K92</f>
        <v>3492.8</v>
      </c>
      <c r="L88" s="670" t="n">
        <f aca="false">$C$86*L92</f>
        <v>3492.8</v>
      </c>
      <c r="M88" s="670" t="n">
        <f aca="false">$C$86*M92</f>
        <v>6985.6</v>
      </c>
      <c r="N88" s="670" t="n">
        <f aca="false">$C$86*N92</f>
        <v>8732</v>
      </c>
      <c r="O88" s="670" t="n">
        <f aca="false">$C$86*O92</f>
        <v>0</v>
      </c>
      <c r="P88" s="670" t="n">
        <f aca="false">$C$86*P92</f>
        <v>0</v>
      </c>
      <c r="Q88" s="670" t="n">
        <f aca="false">$C$86*Q92</f>
        <v>0</v>
      </c>
      <c r="R88" s="670" t="n">
        <f aca="false">$C$86*R92</f>
        <v>0</v>
      </c>
      <c r="S88" s="670" t="n">
        <f aca="false">$C$86*S92</f>
        <v>0</v>
      </c>
      <c r="T88" s="670" t="n">
        <f aca="false">$C$86*T92</f>
        <v>0</v>
      </c>
      <c r="U88" s="670" t="n">
        <f aca="false">$C$86*U92</f>
        <v>0</v>
      </c>
      <c r="V88" s="670" t="n">
        <f aca="false">$C$86*V92</f>
        <v>0</v>
      </c>
      <c r="W88" s="670" t="n">
        <f aca="false">$C$86*W92</f>
        <v>0</v>
      </c>
      <c r="X88" s="670" t="n">
        <f aca="false">$C$86*X92</f>
        <v>0</v>
      </c>
      <c r="Y88" s="670" t="n">
        <f aca="false">$C$86*Y92</f>
        <v>0</v>
      </c>
      <c r="Z88" s="670" t="n">
        <f aca="false">$C$86*Z92</f>
        <v>0</v>
      </c>
      <c r="AA88" s="670" t="n">
        <f aca="false">$C$86*AA92</f>
        <v>0</v>
      </c>
      <c r="AB88" s="670" t="n">
        <f aca="false">$C$86*AB92</f>
        <v>0</v>
      </c>
      <c r="AC88" s="672" t="n">
        <f aca="false">$C$86*AC92</f>
        <v>0</v>
      </c>
    </row>
    <row r="89" customFormat="false" ht="12.6" hidden="false" customHeight="true" outlineLevel="0" collapsed="false">
      <c r="A89" s="664" t="s">
        <v>473</v>
      </c>
      <c r="B89" s="665"/>
      <c r="C89" s="673"/>
      <c r="D89" s="149"/>
      <c r="E89" s="673" t="n">
        <f aca="false">E88+E87</f>
        <v>2644.0496</v>
      </c>
      <c r="F89" s="673" t="n">
        <f aca="false">F88+F87</f>
        <v>2644.0496</v>
      </c>
      <c r="G89" s="673" t="n">
        <f aca="false">G88+G87</f>
        <v>4390.4496</v>
      </c>
      <c r="H89" s="673" t="n">
        <f aca="false">H88+H87</f>
        <v>6004.64712</v>
      </c>
      <c r="I89" s="673" t="n">
        <f aca="false">I88+I87</f>
        <v>5740.24216</v>
      </c>
      <c r="J89" s="673" t="n">
        <f aca="false">J88+J87</f>
        <v>5475.8372</v>
      </c>
      <c r="K89" s="673" t="n">
        <f aca="false">K88+K87</f>
        <v>5211.43224</v>
      </c>
      <c r="L89" s="673" t="n">
        <f aca="false">L88+L87</f>
        <v>4947.02728</v>
      </c>
      <c r="M89" s="673" t="n">
        <f aca="false">M88+M87</f>
        <v>8175.42232</v>
      </c>
      <c r="N89" s="673" t="n">
        <f aca="false">N88+N87</f>
        <v>9393.0124</v>
      </c>
      <c r="O89" s="673" t="n">
        <f aca="false">O88+O87</f>
        <v>0</v>
      </c>
      <c r="P89" s="673" t="n">
        <f aca="false">P88+P87</f>
        <v>0</v>
      </c>
      <c r="Q89" s="673" t="n">
        <f aca="false">Q88+Q87</f>
        <v>0</v>
      </c>
      <c r="R89" s="673" t="n">
        <f aca="false">R88+R87</f>
        <v>0</v>
      </c>
      <c r="S89" s="673" t="n">
        <f aca="false">S88+S87</f>
        <v>0</v>
      </c>
      <c r="T89" s="673" t="n">
        <f aca="false">T88+T87</f>
        <v>0</v>
      </c>
      <c r="U89" s="673" t="n">
        <f aca="false">U88+U87</f>
        <v>0</v>
      </c>
      <c r="V89" s="673" t="n">
        <f aca="false">V88+V87</f>
        <v>0</v>
      </c>
      <c r="W89" s="673" t="n">
        <f aca="false">W88+W87</f>
        <v>0</v>
      </c>
      <c r="X89" s="673" t="n">
        <f aca="false">X88+X87</f>
        <v>0</v>
      </c>
      <c r="Y89" s="674" t="n">
        <f aca="false">Y88+Y87</f>
        <v>0</v>
      </c>
      <c r="Z89" s="673" t="n">
        <f aca="false">Z88+Z87</f>
        <v>0</v>
      </c>
      <c r="AA89" s="673" t="n">
        <f aca="false">AA88+AA87</f>
        <v>0</v>
      </c>
      <c r="AB89" s="673" t="n">
        <f aca="false">AB88+AB87</f>
        <v>0</v>
      </c>
      <c r="AC89" s="675" t="n">
        <f aca="false">AC88+AC87</f>
        <v>0</v>
      </c>
    </row>
    <row r="90" customFormat="false" ht="12.6" hidden="false" customHeight="true" outlineLevel="0" collapsed="false">
      <c r="A90" s="664" t="s">
        <v>474</v>
      </c>
      <c r="B90" s="665"/>
      <c r="C90" s="665"/>
      <c r="D90" s="149"/>
      <c r="E90" s="665" t="n">
        <f aca="false">E86-E88</f>
        <v>34928</v>
      </c>
      <c r="F90" s="665" t="n">
        <f aca="false">F86-F88</f>
        <v>34928</v>
      </c>
      <c r="G90" s="665" t="n">
        <f aca="false">G86-G88</f>
        <v>33181.6</v>
      </c>
      <c r="H90" s="665" t="n">
        <f aca="false">H86-H88</f>
        <v>29688.8</v>
      </c>
      <c r="I90" s="665" t="n">
        <f aca="false">I86-I88</f>
        <v>26196</v>
      </c>
      <c r="J90" s="665" t="n">
        <f aca="false">J86-J88</f>
        <v>22703.2</v>
      </c>
      <c r="K90" s="665" t="n">
        <f aca="false">K86-K88</f>
        <v>19210.4</v>
      </c>
      <c r="L90" s="665" t="n">
        <f aca="false">L86-L88</f>
        <v>15717.6</v>
      </c>
      <c r="M90" s="665" t="n">
        <f aca="false">M86-M88</f>
        <v>8732</v>
      </c>
      <c r="N90" s="665" t="n">
        <f aca="false">N86-N88</f>
        <v>0</v>
      </c>
      <c r="O90" s="665" t="n">
        <f aca="false">O86-O88</f>
        <v>0</v>
      </c>
      <c r="P90" s="665" t="n">
        <f aca="false">P86-P88</f>
        <v>0</v>
      </c>
      <c r="Q90" s="665" t="n">
        <f aca="false">Q86-Q88</f>
        <v>0</v>
      </c>
      <c r="R90" s="665" t="n">
        <f aca="false">R86-R88</f>
        <v>0</v>
      </c>
      <c r="S90" s="665" t="n">
        <f aca="false">S86-S88</f>
        <v>0</v>
      </c>
      <c r="T90" s="665" t="n">
        <f aca="false">T86-T88</f>
        <v>0</v>
      </c>
      <c r="U90" s="665" t="n">
        <f aca="false">U86-U88</f>
        <v>0</v>
      </c>
      <c r="V90" s="665" t="n">
        <f aca="false">V86-V88</f>
        <v>0</v>
      </c>
      <c r="W90" s="665" t="n">
        <f aca="false">W86-W88</f>
        <v>0</v>
      </c>
      <c r="X90" s="665" t="n">
        <f aca="false">X86-X88</f>
        <v>0</v>
      </c>
      <c r="Y90" s="667" t="n">
        <f aca="false">Y86-Y88</f>
        <v>0</v>
      </c>
      <c r="Z90" s="665" t="n">
        <f aca="false">Z86-Z88</f>
        <v>0</v>
      </c>
      <c r="AA90" s="665" t="n">
        <f aca="false">AA86-AA88</f>
        <v>0</v>
      </c>
      <c r="AB90" s="665" t="n">
        <f aca="false">AB86-AB88</f>
        <v>0</v>
      </c>
      <c r="AC90" s="668" t="n">
        <f aca="false">AC86-AC88</f>
        <v>0</v>
      </c>
    </row>
    <row r="91" customFormat="false" ht="12.6" hidden="false" customHeight="true" outlineLevel="0" collapsed="false">
      <c r="A91" s="664" t="s">
        <v>475</v>
      </c>
      <c r="B91" s="665"/>
      <c r="C91" s="683" t="n">
        <f aca="false">SUMPRODUCT(E84:AC84,$E$88:$AC$88)/SUM(E88:AC88)</f>
        <v>7.45</v>
      </c>
      <c r="D91" s="149"/>
      <c r="E91" s="669"/>
      <c r="F91" s="665"/>
      <c r="G91" s="665"/>
      <c r="H91" s="665"/>
      <c r="I91" s="665"/>
      <c r="J91" s="665"/>
      <c r="K91" s="665"/>
      <c r="L91" s="665"/>
      <c r="M91" s="665"/>
      <c r="N91" s="665"/>
      <c r="O91" s="665"/>
      <c r="P91" s="665"/>
      <c r="Q91" s="665"/>
      <c r="R91" s="665"/>
      <c r="S91" s="665"/>
      <c r="T91" s="665"/>
      <c r="U91" s="665"/>
      <c r="V91" s="665"/>
      <c r="W91" s="665"/>
      <c r="X91" s="665"/>
      <c r="Y91" s="667"/>
      <c r="Z91" s="665"/>
      <c r="AA91" s="665"/>
      <c r="AB91" s="665"/>
      <c r="AC91" s="668"/>
    </row>
    <row r="92" customFormat="false" ht="12.6" hidden="false" customHeight="true" outlineLevel="0" collapsed="false">
      <c r="A92" s="612"/>
      <c r="B92" s="677"/>
      <c r="C92" s="678" t="s">
        <v>476</v>
      </c>
      <c r="D92" s="679" t="n">
        <f aca="false">SUM(E92:AC92)</f>
        <v>1</v>
      </c>
      <c r="E92" s="611" t="n">
        <v>0</v>
      </c>
      <c r="F92" s="611" t="n">
        <v>0</v>
      </c>
      <c r="G92" s="611" t="n">
        <v>0.05</v>
      </c>
      <c r="H92" s="611" t="n">
        <v>0.1</v>
      </c>
      <c r="I92" s="611" t="n">
        <v>0.1</v>
      </c>
      <c r="J92" s="611" t="n">
        <v>0.1</v>
      </c>
      <c r="K92" s="611" t="n">
        <v>0.1</v>
      </c>
      <c r="L92" s="611" t="n">
        <v>0.1</v>
      </c>
      <c r="M92" s="611" t="n">
        <v>0.2</v>
      </c>
      <c r="N92" s="611" t="n">
        <v>0.25</v>
      </c>
      <c r="O92" s="611" t="n">
        <v>0</v>
      </c>
      <c r="P92" s="611" t="n">
        <v>0</v>
      </c>
      <c r="Q92" s="611" t="n">
        <v>0</v>
      </c>
      <c r="R92" s="611" t="n">
        <v>0</v>
      </c>
      <c r="S92" s="611" t="n">
        <v>0</v>
      </c>
      <c r="T92" s="611" t="n">
        <v>0</v>
      </c>
      <c r="U92" s="611" t="n">
        <v>0</v>
      </c>
      <c r="V92" s="611" t="n">
        <v>0</v>
      </c>
      <c r="W92" s="611" t="n">
        <v>0</v>
      </c>
      <c r="X92" s="611" t="n">
        <v>0</v>
      </c>
      <c r="Y92" s="611" t="n">
        <v>0</v>
      </c>
      <c r="Z92" s="611" t="n">
        <v>0</v>
      </c>
      <c r="AA92" s="611" t="n">
        <v>0</v>
      </c>
      <c r="AB92" s="611" t="n">
        <v>0</v>
      </c>
      <c r="AC92" s="611" t="n">
        <v>0</v>
      </c>
    </row>
    <row r="93" customFormat="false" ht="12.6" hidden="false" customHeight="true" outlineLevel="0" collapsed="false"/>
    <row r="94" customFormat="false" ht="12.6" hidden="false" customHeight="true" outlineLevel="0" collapsed="false">
      <c r="A94" s="606" t="s">
        <v>478</v>
      </c>
      <c r="B94" s="474"/>
      <c r="C94" s="474"/>
      <c r="D94" s="474"/>
      <c r="E94" s="474"/>
      <c r="F94" s="474"/>
      <c r="G94" s="474"/>
      <c r="H94" s="474"/>
      <c r="I94" s="474"/>
      <c r="J94" s="474"/>
      <c r="K94" s="474"/>
      <c r="L94" s="474"/>
      <c r="M94" s="474"/>
      <c r="N94" s="474"/>
      <c r="O94" s="474"/>
      <c r="P94" s="474"/>
      <c r="Q94" s="474"/>
      <c r="R94" s="474"/>
      <c r="S94" s="474"/>
      <c r="T94" s="474"/>
      <c r="U94" s="474"/>
      <c r="V94" s="474"/>
      <c r="W94" s="474"/>
      <c r="X94" s="474"/>
      <c r="Y94" s="652"/>
    </row>
    <row r="95" customFormat="false" ht="13.5" hidden="false" customHeight="true" outlineLevel="0" collapsed="false">
      <c r="A95" s="379" t="s">
        <v>467</v>
      </c>
      <c r="B95" s="654" t="n">
        <f aca="false">Principal3</f>
        <v>63775</v>
      </c>
      <c r="C95" s="149"/>
      <c r="D95" s="149"/>
      <c r="E95" s="149"/>
      <c r="F95" s="149"/>
      <c r="G95" s="149"/>
      <c r="H95" s="149"/>
      <c r="I95" s="149"/>
      <c r="J95" s="149"/>
      <c r="K95" s="149"/>
      <c r="L95" s="149"/>
      <c r="M95" s="149"/>
      <c r="N95" s="149"/>
      <c r="O95" s="149"/>
      <c r="P95" s="149"/>
      <c r="Q95" s="149"/>
      <c r="R95" s="149"/>
      <c r="S95" s="149"/>
      <c r="T95" s="149"/>
      <c r="U95" s="149"/>
      <c r="V95" s="149"/>
      <c r="W95" s="149"/>
      <c r="X95" s="149"/>
      <c r="Y95" s="455"/>
    </row>
    <row r="96" customFormat="false" ht="12.75" hidden="false" customHeight="false" outlineLevel="0" collapsed="false">
      <c r="A96" s="402" t="s">
        <v>258</v>
      </c>
      <c r="B96" s="655" t="n">
        <f aca="false">Int3</f>
        <v>0.0818</v>
      </c>
      <c r="C96" s="149"/>
      <c r="D96" s="149"/>
      <c r="E96" s="149"/>
      <c r="F96" s="149"/>
      <c r="G96" s="149"/>
      <c r="H96" s="149"/>
      <c r="I96" s="149"/>
      <c r="J96" s="149"/>
      <c r="K96" s="149"/>
      <c r="L96" s="149"/>
      <c r="M96" s="149"/>
      <c r="N96" s="149"/>
      <c r="O96" s="149"/>
      <c r="P96" s="149"/>
      <c r="Q96" s="149"/>
      <c r="R96" s="149"/>
      <c r="S96" s="149"/>
      <c r="T96" s="149"/>
      <c r="U96" s="149"/>
      <c r="V96" s="149"/>
      <c r="W96" s="149"/>
      <c r="X96" s="149"/>
      <c r="Y96" s="455"/>
    </row>
    <row r="97" customFormat="false" ht="12.75" hidden="false" customHeight="false" outlineLevel="0" collapsed="false">
      <c r="A97" s="402" t="s">
        <v>256</v>
      </c>
      <c r="B97" s="455" t="n">
        <f aca="false">Term3</f>
        <v>20</v>
      </c>
      <c r="C97" s="149"/>
      <c r="D97" s="149"/>
      <c r="E97" s="149"/>
      <c r="F97" s="149"/>
      <c r="G97" s="149"/>
      <c r="H97" s="149"/>
      <c r="I97" s="149"/>
      <c r="J97" s="149"/>
      <c r="K97" s="149"/>
      <c r="L97" s="149"/>
      <c r="M97" s="149"/>
      <c r="N97" s="149"/>
      <c r="O97" s="149"/>
      <c r="P97" s="149"/>
      <c r="Q97" s="149"/>
      <c r="R97" s="149"/>
      <c r="S97" s="149"/>
      <c r="T97" s="149"/>
      <c r="U97" s="149"/>
      <c r="V97" s="149"/>
      <c r="W97" s="149"/>
      <c r="X97" s="149"/>
      <c r="Y97" s="455"/>
    </row>
    <row r="98" customFormat="false" ht="12.75" hidden="false" customHeight="false" outlineLevel="0" collapsed="false">
      <c r="A98" s="612" t="s">
        <v>468</v>
      </c>
      <c r="B98" s="494" t="n">
        <f aca="false">Grace3</f>
        <v>0</v>
      </c>
      <c r="C98" s="149"/>
      <c r="D98" s="149"/>
      <c r="E98" s="149"/>
      <c r="F98" s="149"/>
      <c r="G98" s="149"/>
      <c r="H98" s="149"/>
      <c r="I98" s="149"/>
      <c r="J98" s="149"/>
      <c r="K98" s="149"/>
      <c r="L98" s="149"/>
      <c r="M98" s="149"/>
      <c r="N98" s="149"/>
      <c r="O98" s="149"/>
      <c r="P98" s="149"/>
      <c r="Q98" s="149"/>
      <c r="R98" s="149"/>
      <c r="S98" s="149"/>
      <c r="T98" s="149"/>
      <c r="U98" s="149"/>
      <c r="V98" s="149"/>
      <c r="W98" s="149"/>
      <c r="X98" s="149"/>
      <c r="Y98" s="455"/>
    </row>
    <row r="99" customFormat="false" ht="12.75" hidden="false" customHeight="false" outlineLevel="0" collapsed="false">
      <c r="A99" s="402"/>
      <c r="B99" s="149"/>
      <c r="C99" s="656" t="s">
        <v>469</v>
      </c>
      <c r="D99" s="149"/>
      <c r="E99" s="657" t="n">
        <f aca="false">E4</f>
        <v>1</v>
      </c>
      <c r="F99" s="657" t="n">
        <f aca="false">F4</f>
        <v>2</v>
      </c>
      <c r="G99" s="657" t="n">
        <f aca="false">G4</f>
        <v>3</v>
      </c>
      <c r="H99" s="657" t="n">
        <f aca="false">H4</f>
        <v>4</v>
      </c>
      <c r="I99" s="657" t="n">
        <f aca="false">I4</f>
        <v>5</v>
      </c>
      <c r="J99" s="657" t="n">
        <f aca="false">J4</f>
        <v>6</v>
      </c>
      <c r="K99" s="657" t="n">
        <f aca="false">K4</f>
        <v>7</v>
      </c>
      <c r="L99" s="657" t="n">
        <f aca="false">L4</f>
        <v>8</v>
      </c>
      <c r="M99" s="657" t="n">
        <f aca="false">M4</f>
        <v>9</v>
      </c>
      <c r="N99" s="657" t="n">
        <f aca="false">N4</f>
        <v>10</v>
      </c>
      <c r="O99" s="657" t="n">
        <f aca="false">O4</f>
        <v>11</v>
      </c>
      <c r="P99" s="657" t="n">
        <f aca="false">P4</f>
        <v>12</v>
      </c>
      <c r="Q99" s="657" t="n">
        <f aca="false">Q4</f>
        <v>13</v>
      </c>
      <c r="R99" s="657" t="n">
        <f aca="false">R4</f>
        <v>14</v>
      </c>
      <c r="S99" s="657" t="n">
        <f aca="false">S4</f>
        <v>15</v>
      </c>
      <c r="T99" s="657" t="n">
        <f aca="false">T4</f>
        <v>16</v>
      </c>
      <c r="U99" s="657" t="n">
        <f aca="false">U4</f>
        <v>17</v>
      </c>
      <c r="V99" s="657" t="n">
        <f aca="false">V4</f>
        <v>18</v>
      </c>
      <c r="W99" s="657" t="n">
        <f aca="false">W4</f>
        <v>19</v>
      </c>
      <c r="X99" s="657" t="n">
        <f aca="false">X4</f>
        <v>20</v>
      </c>
      <c r="Y99" s="658" t="n">
        <f aca="false">Y4</f>
        <v>21</v>
      </c>
      <c r="Z99" s="659" t="n">
        <f aca="false">Z4</f>
        <v>0</v>
      </c>
      <c r="AA99" s="659" t="n">
        <f aca="false">AA4</f>
        <v>0</v>
      </c>
      <c r="AB99" s="659" t="n">
        <f aca="false">AB4</f>
        <v>0</v>
      </c>
      <c r="AC99" s="660" t="n">
        <f aca="false">AC4</f>
        <v>0</v>
      </c>
    </row>
    <row r="100" customFormat="false" ht="12.75" hidden="false" customHeight="false" outlineLevel="0" collapsed="false">
      <c r="A100" s="661" t="s">
        <v>244</v>
      </c>
      <c r="B100" s="662"/>
      <c r="C100" s="662"/>
      <c r="D100" s="149"/>
      <c r="E100" s="662"/>
      <c r="F100" s="663"/>
      <c r="G100" s="663"/>
      <c r="H100" s="663"/>
      <c r="I100" s="663"/>
      <c r="J100" s="663"/>
      <c r="K100" s="663"/>
      <c r="L100" s="663"/>
      <c r="M100" s="663"/>
      <c r="N100" s="663"/>
      <c r="O100" s="663"/>
      <c r="P100" s="663"/>
      <c r="Q100" s="663"/>
      <c r="R100" s="663"/>
      <c r="S100" s="663"/>
      <c r="T100" s="663"/>
      <c r="U100" s="149"/>
      <c r="V100" s="149"/>
      <c r="W100" s="149"/>
      <c r="X100" s="149"/>
      <c r="Y100" s="455"/>
    </row>
    <row r="101" customFormat="false" ht="12.75" hidden="false" customHeight="false" outlineLevel="0" collapsed="false">
      <c r="A101" s="664" t="s">
        <v>470</v>
      </c>
      <c r="B101" s="665"/>
      <c r="C101" s="666" t="n">
        <f aca="false">B95</f>
        <v>63775</v>
      </c>
      <c r="D101" s="450"/>
      <c r="E101" s="665" t="n">
        <f aca="false">C101</f>
        <v>63775</v>
      </c>
      <c r="F101" s="665" t="n">
        <f aca="false">E105</f>
        <v>63775</v>
      </c>
      <c r="G101" s="665" t="n">
        <f aca="false">F105</f>
        <v>63775</v>
      </c>
      <c r="H101" s="665" t="n">
        <f aca="false">G105</f>
        <v>63775</v>
      </c>
      <c r="I101" s="665" t="n">
        <f aca="false">H105</f>
        <v>63775</v>
      </c>
      <c r="J101" s="665" t="n">
        <f aca="false">I105</f>
        <v>62499.5</v>
      </c>
      <c r="K101" s="665" t="n">
        <f aca="false">J105</f>
        <v>61224</v>
      </c>
      <c r="L101" s="665" t="n">
        <f aca="false">K105</f>
        <v>59310.75</v>
      </c>
      <c r="M101" s="665" t="n">
        <f aca="false">L105</f>
        <v>57397.5</v>
      </c>
      <c r="N101" s="665" t="n">
        <f aca="false">M105</f>
        <v>55484.25</v>
      </c>
      <c r="O101" s="665" t="n">
        <f aca="false">N105</f>
        <v>52933.25</v>
      </c>
      <c r="P101" s="665" t="n">
        <f aca="false">O105</f>
        <v>50382.25</v>
      </c>
      <c r="Q101" s="665" t="n">
        <f aca="false">P105</f>
        <v>47193.5</v>
      </c>
      <c r="R101" s="665" t="n">
        <f aca="false">Q105</f>
        <v>44004.75</v>
      </c>
      <c r="S101" s="665" t="n">
        <f aca="false">R105</f>
        <v>40816</v>
      </c>
      <c r="T101" s="665" t="n">
        <f aca="false">S105</f>
        <v>37627.25</v>
      </c>
      <c r="U101" s="665" t="n">
        <f aca="false">T105</f>
        <v>34438.5</v>
      </c>
      <c r="V101" s="665" t="n">
        <f aca="false">U105</f>
        <v>28061</v>
      </c>
      <c r="W101" s="665" t="n">
        <f aca="false">V105</f>
        <v>20408</v>
      </c>
      <c r="X101" s="665" t="n">
        <f aca="false">W105</f>
        <v>10841.75</v>
      </c>
      <c r="Y101" s="667" t="n">
        <f aca="false">X105</f>
        <v>0</v>
      </c>
      <c r="Z101" s="665" t="n">
        <f aca="false">Y105</f>
        <v>0</v>
      </c>
      <c r="AA101" s="665" t="n">
        <f aca="false">Z105</f>
        <v>0</v>
      </c>
      <c r="AB101" s="665" t="n">
        <f aca="false">AA105</f>
        <v>0</v>
      </c>
      <c r="AC101" s="668" t="n">
        <f aca="false">AB105</f>
        <v>0</v>
      </c>
    </row>
    <row r="102" customFormat="false" ht="12.75" hidden="false" customHeight="false" outlineLevel="0" collapsed="false">
      <c r="A102" s="664" t="s">
        <v>471</v>
      </c>
      <c r="B102" s="669"/>
      <c r="C102" s="665"/>
      <c r="D102" s="450"/>
      <c r="E102" s="665" t="n">
        <f aca="false">E101*$B$96</f>
        <v>5216.795</v>
      </c>
      <c r="F102" s="665" t="n">
        <f aca="false">F101*$B$96</f>
        <v>5216.795</v>
      </c>
      <c r="G102" s="665" t="n">
        <f aca="false">G101*$B$96</f>
        <v>5216.795</v>
      </c>
      <c r="H102" s="665" t="n">
        <f aca="false">H101*$B$96</f>
        <v>5216.795</v>
      </c>
      <c r="I102" s="665" t="n">
        <f aca="false">I101*$B$96</f>
        <v>5216.795</v>
      </c>
      <c r="J102" s="665" t="n">
        <f aca="false">J101*$B$96</f>
        <v>5112.4591</v>
      </c>
      <c r="K102" s="665" t="n">
        <f aca="false">K101*$B$96</f>
        <v>5008.1232</v>
      </c>
      <c r="L102" s="665" t="n">
        <f aca="false">L101*$B$96</f>
        <v>4851.61935</v>
      </c>
      <c r="M102" s="665" t="n">
        <f aca="false">M101*$B$96</f>
        <v>4695.1155</v>
      </c>
      <c r="N102" s="665" t="n">
        <f aca="false">N101*$B$96</f>
        <v>4538.61165</v>
      </c>
      <c r="O102" s="665" t="n">
        <f aca="false">O101*$B$96</f>
        <v>4329.93985</v>
      </c>
      <c r="P102" s="665" t="n">
        <f aca="false">P101*$B$96</f>
        <v>4121.26805</v>
      </c>
      <c r="Q102" s="665" t="n">
        <f aca="false">Q101*$B$96</f>
        <v>3860.4283</v>
      </c>
      <c r="R102" s="665" t="n">
        <f aca="false">R101*$B$96</f>
        <v>3599.58855</v>
      </c>
      <c r="S102" s="665" t="n">
        <f aca="false">S101*$B$96</f>
        <v>3338.7488</v>
      </c>
      <c r="T102" s="665" t="n">
        <f aca="false">T101*$B$96</f>
        <v>3077.90905</v>
      </c>
      <c r="U102" s="665" t="n">
        <f aca="false">U101*$B$96</f>
        <v>2817.0693</v>
      </c>
      <c r="V102" s="665" t="n">
        <f aca="false">V101*$B$96</f>
        <v>2295.3898</v>
      </c>
      <c r="W102" s="665" t="n">
        <f aca="false">W101*$B$96</f>
        <v>1669.3744</v>
      </c>
      <c r="X102" s="665" t="n">
        <f aca="false">X101*$B$96</f>
        <v>886.85515</v>
      </c>
      <c r="Y102" s="665" t="n">
        <f aca="false">Y101*$B$96</f>
        <v>0</v>
      </c>
      <c r="Z102" s="665" t="n">
        <f aca="false">Z101*$B$96</f>
        <v>0</v>
      </c>
      <c r="AA102" s="665" t="n">
        <f aca="false">AA101*$B$96</f>
        <v>0</v>
      </c>
      <c r="AB102" s="665" t="n">
        <f aca="false">AB101*$B$96</f>
        <v>0</v>
      </c>
      <c r="AC102" s="665" t="n">
        <f aca="false">AC101*$B$96</f>
        <v>0</v>
      </c>
    </row>
    <row r="103" customFormat="false" ht="12.6" hidden="false" customHeight="true" outlineLevel="0" collapsed="false">
      <c r="A103" s="664" t="s">
        <v>472</v>
      </c>
      <c r="B103" s="665"/>
      <c r="C103" s="665"/>
      <c r="D103" s="149"/>
      <c r="E103" s="670" t="n">
        <f aca="false">$C$101*E107</f>
        <v>0</v>
      </c>
      <c r="F103" s="670" t="n">
        <f aca="false">$C$101*F107</f>
        <v>0</v>
      </c>
      <c r="G103" s="670" t="n">
        <f aca="false">$C$101*G107</f>
        <v>0</v>
      </c>
      <c r="H103" s="670" t="n">
        <f aca="false">$C$101*H107</f>
        <v>0</v>
      </c>
      <c r="I103" s="670" t="n">
        <f aca="false">$C$101*I107</f>
        <v>1275.5</v>
      </c>
      <c r="J103" s="670" t="n">
        <f aca="false">$C$101*J107</f>
        <v>1275.5</v>
      </c>
      <c r="K103" s="670" t="n">
        <f aca="false">$C$101*K107</f>
        <v>1913.25</v>
      </c>
      <c r="L103" s="670" t="n">
        <f aca="false">$C$101*L107</f>
        <v>1913.25</v>
      </c>
      <c r="M103" s="670" t="n">
        <f aca="false">$C$101*M107</f>
        <v>1913.25</v>
      </c>
      <c r="N103" s="670" t="n">
        <f aca="false">$C$101*N107</f>
        <v>2551</v>
      </c>
      <c r="O103" s="670" t="n">
        <f aca="false">$C$101*O107</f>
        <v>2551</v>
      </c>
      <c r="P103" s="670" t="n">
        <f aca="false">$C$101*P107</f>
        <v>3188.75</v>
      </c>
      <c r="Q103" s="670" t="n">
        <f aca="false">$C$101*Q107</f>
        <v>3188.75</v>
      </c>
      <c r="R103" s="670" t="n">
        <f aca="false">$C$101*R107</f>
        <v>3188.75</v>
      </c>
      <c r="S103" s="670" t="n">
        <f aca="false">$C$101*S107</f>
        <v>3188.75</v>
      </c>
      <c r="T103" s="670" t="n">
        <f aca="false">$C$101*T107</f>
        <v>3188.75</v>
      </c>
      <c r="U103" s="670" t="n">
        <f aca="false">$C$101*U107</f>
        <v>6377.5</v>
      </c>
      <c r="V103" s="670" t="n">
        <f aca="false">$C$101*V107</f>
        <v>7653</v>
      </c>
      <c r="W103" s="670" t="n">
        <f aca="false">$C$101*W107</f>
        <v>9566.25</v>
      </c>
      <c r="X103" s="670" t="n">
        <f aca="false">$C$101*X107</f>
        <v>10841.75</v>
      </c>
      <c r="Y103" s="670" t="n">
        <f aca="false">$C$101*Y107</f>
        <v>0</v>
      </c>
      <c r="Z103" s="670" t="n">
        <f aca="false">$C$101*Z107</f>
        <v>0</v>
      </c>
      <c r="AA103" s="670" t="n">
        <f aca="false">$C$101*AA107</f>
        <v>0</v>
      </c>
      <c r="AB103" s="670" t="n">
        <f aca="false">$C$101*AB107</f>
        <v>0</v>
      </c>
      <c r="AC103" s="670" t="n">
        <f aca="false">$C$101*AC107</f>
        <v>0</v>
      </c>
      <c r="AD103" s="498"/>
    </row>
    <row r="104" customFormat="false" ht="12.75" hidden="false" customHeight="false" outlineLevel="0" collapsed="false">
      <c r="A104" s="664" t="s">
        <v>473</v>
      </c>
      <c r="B104" s="665"/>
      <c r="C104" s="673"/>
      <c r="D104" s="149"/>
      <c r="E104" s="673" t="n">
        <f aca="false">E103+E102</f>
        <v>5216.795</v>
      </c>
      <c r="F104" s="673" t="n">
        <f aca="false">F103+F102</f>
        <v>5216.795</v>
      </c>
      <c r="G104" s="673" t="n">
        <f aca="false">G103+G102</f>
        <v>5216.795</v>
      </c>
      <c r="H104" s="673" t="n">
        <f aca="false">H103+H102</f>
        <v>5216.795</v>
      </c>
      <c r="I104" s="673" t="n">
        <f aca="false">I103+I102</f>
        <v>6492.295</v>
      </c>
      <c r="J104" s="673" t="n">
        <f aca="false">J103+J102</f>
        <v>6387.9591</v>
      </c>
      <c r="K104" s="673" t="n">
        <f aca="false">K103+K102</f>
        <v>6921.3732</v>
      </c>
      <c r="L104" s="673" t="n">
        <f aca="false">L103+L102</f>
        <v>6764.86935</v>
      </c>
      <c r="M104" s="673" t="n">
        <f aca="false">M103+M102</f>
        <v>6608.3655</v>
      </c>
      <c r="N104" s="673" t="n">
        <f aca="false">N103+N102</f>
        <v>7089.61165</v>
      </c>
      <c r="O104" s="673" t="n">
        <f aca="false">O103+O102</f>
        <v>6880.93985</v>
      </c>
      <c r="P104" s="673" t="n">
        <f aca="false">P103+P102</f>
        <v>7310.01805</v>
      </c>
      <c r="Q104" s="673" t="n">
        <f aca="false">Q103+Q102</f>
        <v>7049.1783</v>
      </c>
      <c r="R104" s="673" t="n">
        <f aca="false">R103+R102</f>
        <v>6788.33855</v>
      </c>
      <c r="S104" s="673" t="n">
        <f aca="false">S103+S102</f>
        <v>6527.4988</v>
      </c>
      <c r="T104" s="673" t="n">
        <f aca="false">T103+T102</f>
        <v>6266.65905</v>
      </c>
      <c r="U104" s="673" t="n">
        <f aca="false">U103+U102</f>
        <v>9194.5693</v>
      </c>
      <c r="V104" s="673" t="n">
        <f aca="false">V103+V102</f>
        <v>9948.3898</v>
      </c>
      <c r="W104" s="673" t="n">
        <f aca="false">W103+W102</f>
        <v>11235.6244</v>
      </c>
      <c r="X104" s="673" t="n">
        <f aca="false">X103+X102</f>
        <v>11728.60515</v>
      </c>
      <c r="Y104" s="674" t="n">
        <f aca="false">Y103+Y102</f>
        <v>0</v>
      </c>
      <c r="Z104" s="673" t="n">
        <f aca="false">Z103+Z102</f>
        <v>0</v>
      </c>
      <c r="AA104" s="673" t="n">
        <f aca="false">AA103+AA102</f>
        <v>0</v>
      </c>
      <c r="AB104" s="673" t="n">
        <f aca="false">AB103+AB102</f>
        <v>0</v>
      </c>
      <c r="AC104" s="675" t="n">
        <f aca="false">AC103+AC102</f>
        <v>0</v>
      </c>
    </row>
    <row r="105" customFormat="false" ht="12.75" hidden="false" customHeight="false" outlineLevel="0" collapsed="false">
      <c r="A105" s="664" t="s">
        <v>474</v>
      </c>
      <c r="B105" s="665"/>
      <c r="C105" s="665"/>
      <c r="D105" s="149"/>
      <c r="E105" s="665" t="n">
        <f aca="false">E101-E103</f>
        <v>63775</v>
      </c>
      <c r="F105" s="665" t="n">
        <f aca="false">F101-F103</f>
        <v>63775</v>
      </c>
      <c r="G105" s="665" t="n">
        <f aca="false">G101-G103</f>
        <v>63775</v>
      </c>
      <c r="H105" s="665" t="n">
        <f aca="false">H101-H103</f>
        <v>63775</v>
      </c>
      <c r="I105" s="665" t="n">
        <f aca="false">I101-I103</f>
        <v>62499.5</v>
      </c>
      <c r="J105" s="665" t="n">
        <f aca="false">J101-J103</f>
        <v>61224</v>
      </c>
      <c r="K105" s="665" t="n">
        <f aca="false">K101-K103</f>
        <v>59310.75</v>
      </c>
      <c r="L105" s="665" t="n">
        <f aca="false">L101-L103</f>
        <v>57397.5</v>
      </c>
      <c r="M105" s="665" t="n">
        <f aca="false">M101-M103</f>
        <v>55484.25</v>
      </c>
      <c r="N105" s="665" t="n">
        <f aca="false">N101-N103</f>
        <v>52933.25</v>
      </c>
      <c r="O105" s="665" t="n">
        <f aca="false">O101-O103</f>
        <v>50382.25</v>
      </c>
      <c r="P105" s="665" t="n">
        <f aca="false">P101-P103</f>
        <v>47193.5</v>
      </c>
      <c r="Q105" s="665" t="n">
        <f aca="false">Q101-Q103</f>
        <v>44004.75</v>
      </c>
      <c r="R105" s="665" t="n">
        <f aca="false">R101-R103</f>
        <v>40816</v>
      </c>
      <c r="S105" s="665" t="n">
        <f aca="false">S101-S103</f>
        <v>37627.25</v>
      </c>
      <c r="T105" s="665" t="n">
        <f aca="false">T101-T103</f>
        <v>34438.5</v>
      </c>
      <c r="U105" s="665" t="n">
        <f aca="false">U101-U103</f>
        <v>28061</v>
      </c>
      <c r="V105" s="665" t="n">
        <f aca="false">V101-V103</f>
        <v>20408</v>
      </c>
      <c r="W105" s="665" t="n">
        <f aca="false">W101-W103</f>
        <v>10841.75</v>
      </c>
      <c r="X105" s="665" t="n">
        <f aca="false">X101-X103</f>
        <v>0</v>
      </c>
      <c r="Y105" s="667" t="n">
        <f aca="false">Y101-Y103</f>
        <v>0</v>
      </c>
      <c r="Z105" s="665" t="n">
        <f aca="false">Z101-Z103</f>
        <v>0</v>
      </c>
      <c r="AA105" s="665" t="n">
        <f aca="false">AA101-AA103</f>
        <v>0</v>
      </c>
      <c r="AB105" s="665" t="n">
        <f aca="false">AB101-AB103</f>
        <v>0</v>
      </c>
      <c r="AC105" s="668" t="n">
        <f aca="false">AC101-AC103</f>
        <v>0</v>
      </c>
    </row>
    <row r="106" customFormat="false" ht="12.75" hidden="false" customHeight="false" outlineLevel="0" collapsed="false">
      <c r="A106" s="664" t="s">
        <v>475</v>
      </c>
      <c r="B106" s="665"/>
      <c r="C106" s="684" t="n">
        <f aca="false">SUMPRODUCT(E99:AC99,$E$103:$AC$103)/SUM(E103:AC103)</f>
        <v>15.39</v>
      </c>
      <c r="D106" s="149"/>
      <c r="E106" s="669"/>
      <c r="F106" s="665"/>
      <c r="G106" s="665"/>
      <c r="H106" s="665"/>
      <c r="I106" s="665"/>
      <c r="J106" s="665"/>
      <c r="K106" s="665"/>
      <c r="L106" s="665"/>
      <c r="M106" s="665"/>
      <c r="N106" s="665"/>
      <c r="O106" s="665"/>
      <c r="P106" s="665"/>
      <c r="Q106" s="665"/>
      <c r="R106" s="665"/>
      <c r="S106" s="665"/>
      <c r="T106" s="665"/>
      <c r="U106" s="665"/>
      <c r="V106" s="665"/>
      <c r="W106" s="665"/>
      <c r="X106" s="665"/>
      <c r="Y106" s="667"/>
      <c r="Z106" s="665"/>
      <c r="AA106" s="665"/>
      <c r="AB106" s="665"/>
      <c r="AC106" s="668"/>
    </row>
    <row r="107" customFormat="false" ht="12.75" hidden="false" customHeight="false" outlineLevel="0" collapsed="false">
      <c r="A107" s="612"/>
      <c r="B107" s="677"/>
      <c r="C107" s="678" t="s">
        <v>476</v>
      </c>
      <c r="D107" s="679" t="n">
        <f aca="false">SUM(E107:AC107)</f>
        <v>1</v>
      </c>
      <c r="E107" s="680" t="n">
        <v>0</v>
      </c>
      <c r="F107" s="680" t="n">
        <v>0</v>
      </c>
      <c r="G107" s="680" t="n">
        <v>0</v>
      </c>
      <c r="H107" s="680" t="n">
        <v>0</v>
      </c>
      <c r="I107" s="680" t="n">
        <v>0.02</v>
      </c>
      <c r="J107" s="680" t="n">
        <v>0.02</v>
      </c>
      <c r="K107" s="680" t="n">
        <v>0.03</v>
      </c>
      <c r="L107" s="680" t="n">
        <v>0.03</v>
      </c>
      <c r="M107" s="680" t="n">
        <v>0.03</v>
      </c>
      <c r="N107" s="680" t="n">
        <v>0.04</v>
      </c>
      <c r="O107" s="680" t="n">
        <v>0.04</v>
      </c>
      <c r="P107" s="680" t="n">
        <v>0.05</v>
      </c>
      <c r="Q107" s="680" t="n">
        <v>0.05</v>
      </c>
      <c r="R107" s="680" t="n">
        <v>0.05</v>
      </c>
      <c r="S107" s="680" t="n">
        <v>0.05</v>
      </c>
      <c r="T107" s="680" t="n">
        <v>0.05</v>
      </c>
      <c r="U107" s="680" t="n">
        <v>0.1</v>
      </c>
      <c r="V107" s="680" t="n">
        <v>0.12</v>
      </c>
      <c r="W107" s="680" t="n">
        <v>0.15</v>
      </c>
      <c r="X107" s="680" t="n">
        <v>0.17</v>
      </c>
      <c r="Y107" s="680" t="n">
        <v>0</v>
      </c>
      <c r="Z107" s="680" t="n">
        <v>0</v>
      </c>
      <c r="AA107" s="680" t="n">
        <v>0</v>
      </c>
      <c r="AB107" s="680" t="n">
        <v>0</v>
      </c>
      <c r="AC107" s="680" t="n">
        <v>0</v>
      </c>
    </row>
    <row r="109" customFormat="false" ht="12.6" hidden="false" customHeight="true" outlineLevel="0" collapsed="false"/>
    <row r="110" customFormat="false" ht="12.6" hidden="false" customHeight="true" outlineLevel="0" collapsed="false"/>
    <row r="111" customFormat="false" ht="12.6" hidden="false" customHeight="true" outlineLevel="0" collapsed="false"/>
    <row r="112" customFormat="false" ht="12.6" hidden="false" customHeight="true" outlineLevel="0" collapsed="false"/>
    <row r="113" customFormat="false" ht="12.6" hidden="false" customHeight="true" outlineLevel="0" collapsed="false"/>
    <row r="114" customFormat="false" ht="12.6" hidden="false" customHeight="true" outlineLevel="0" collapsed="false"/>
    <row r="115" customFormat="false" ht="12.6" hidden="false" customHeight="true" outlineLevel="0" collapsed="false"/>
    <row r="116" customFormat="false" ht="12.6" hidden="false" customHeight="true" outlineLevel="0" collapsed="false"/>
    <row r="117" customFormat="false" ht="12.6" hidden="false" customHeight="true" outlineLevel="0" collapsed="false"/>
    <row r="118" customFormat="false" ht="12.6" hidden="false" customHeight="true" outlineLevel="0" collapsed="false"/>
    <row r="119" customFormat="false" ht="12.6" hidden="false" customHeight="true" outlineLevel="0" collapsed="false">
      <c r="A119" s="566"/>
      <c r="B119" s="450"/>
      <c r="C119" s="450"/>
      <c r="D119" s="685"/>
      <c r="E119" s="418"/>
      <c r="F119" s="418"/>
      <c r="G119" s="418"/>
      <c r="H119" s="418"/>
      <c r="I119" s="418"/>
      <c r="J119" s="418"/>
      <c r="K119" s="418"/>
      <c r="L119" s="418"/>
      <c r="M119" s="418"/>
      <c r="N119" s="418"/>
      <c r="O119" s="418"/>
      <c r="P119" s="418"/>
      <c r="Q119" s="418"/>
      <c r="R119" s="418"/>
      <c r="S119" s="418"/>
      <c r="T119" s="418"/>
      <c r="U119" s="418"/>
      <c r="V119" s="418"/>
      <c r="W119" s="418"/>
      <c r="X119" s="418"/>
      <c r="Y119" s="418"/>
      <c r="Z119" s="418"/>
      <c r="AA119" s="418"/>
      <c r="AB119" s="418"/>
      <c r="AC119" s="686"/>
    </row>
    <row r="120" customFormat="false" ht="12.6" hidden="false" customHeight="true" outlineLevel="0" collapsed="false">
      <c r="A120" s="1"/>
      <c r="B120" s="450"/>
      <c r="C120" s="450"/>
      <c r="D120" s="418"/>
      <c r="E120" s="418"/>
      <c r="F120" s="418"/>
      <c r="G120" s="418"/>
      <c r="H120" s="418"/>
      <c r="I120" s="418"/>
      <c r="J120" s="418"/>
      <c r="K120" s="418"/>
      <c r="L120" s="418"/>
      <c r="M120" s="418"/>
      <c r="N120" s="418"/>
      <c r="O120" s="418"/>
      <c r="P120" s="418"/>
      <c r="Q120" s="418"/>
      <c r="R120" s="418"/>
      <c r="S120" s="418"/>
      <c r="T120" s="418"/>
      <c r="U120" s="418"/>
      <c r="V120" s="418"/>
      <c r="W120" s="418"/>
      <c r="X120" s="418"/>
      <c r="Y120" s="418"/>
      <c r="Z120" s="418"/>
      <c r="AA120" s="418"/>
      <c r="AB120" s="418"/>
      <c r="AC120" s="686"/>
    </row>
    <row r="121" customFormat="false" ht="12.6" hidden="false" customHeight="true" outlineLevel="0" collapsed="false">
      <c r="A121" s="566"/>
      <c r="B121" s="450"/>
      <c r="C121" s="450"/>
      <c r="D121" s="418"/>
      <c r="E121" s="641"/>
      <c r="F121" s="641"/>
      <c r="G121" s="641"/>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87"/>
      <c r="AD121" s="687"/>
      <c r="AE121" s="687"/>
      <c r="AF121" s="687"/>
      <c r="AG121" s="687"/>
      <c r="AH121" s="687"/>
      <c r="AI121" s="687"/>
      <c r="AJ121" s="687"/>
      <c r="AK121" s="687"/>
      <c r="AL121" s="687"/>
      <c r="AM121" s="687"/>
      <c r="AN121" s="687"/>
      <c r="AO121" s="687"/>
      <c r="AP121" s="687"/>
      <c r="AQ121" s="687"/>
      <c r="AR121" s="687"/>
      <c r="AS121" s="687"/>
    </row>
    <row r="122" customFormat="false" ht="12.6" hidden="false" customHeight="true" outlineLevel="0" collapsed="false">
      <c r="A122" s="566"/>
      <c r="B122" s="450"/>
      <c r="C122" s="450"/>
      <c r="D122" s="418"/>
      <c r="E122" s="688"/>
      <c r="F122" s="688"/>
      <c r="G122" s="688"/>
      <c r="H122" s="688"/>
      <c r="I122" s="688"/>
      <c r="J122" s="688"/>
      <c r="K122" s="688"/>
      <c r="L122" s="688"/>
      <c r="M122" s="688"/>
      <c r="N122" s="688"/>
      <c r="O122" s="688"/>
      <c r="P122" s="688"/>
      <c r="Q122" s="688"/>
      <c r="R122" s="688"/>
      <c r="S122" s="688"/>
      <c r="T122" s="688"/>
      <c r="U122" s="688"/>
      <c r="V122" s="688"/>
      <c r="W122" s="688"/>
      <c r="X122" s="688"/>
      <c r="Y122" s="688"/>
      <c r="Z122" s="688"/>
      <c r="AA122" s="688"/>
      <c r="AB122" s="688"/>
      <c r="AC122" s="689"/>
      <c r="AD122" s="689"/>
      <c r="AE122" s="689"/>
      <c r="AF122" s="689"/>
      <c r="AG122" s="689"/>
      <c r="AH122" s="689"/>
      <c r="AI122" s="689"/>
      <c r="AJ122" s="689"/>
      <c r="AK122" s="689"/>
      <c r="AL122" s="689"/>
      <c r="AM122" s="689"/>
      <c r="AN122" s="689"/>
      <c r="AO122" s="689"/>
      <c r="AP122" s="689"/>
      <c r="AQ122" s="689"/>
      <c r="AR122" s="689"/>
      <c r="AS122" s="689"/>
    </row>
    <row r="123" customFormat="false" ht="12.6" hidden="false" customHeight="true" outlineLevel="0" collapsed="false">
      <c r="A123" s="566"/>
      <c r="B123" s="450"/>
      <c r="C123" s="450"/>
      <c r="D123" s="418"/>
      <c r="E123" s="418"/>
      <c r="F123" s="418"/>
      <c r="G123" s="418"/>
      <c r="H123" s="418"/>
      <c r="I123" s="418"/>
      <c r="J123" s="418"/>
      <c r="K123" s="418"/>
      <c r="L123" s="418"/>
      <c r="M123" s="418"/>
      <c r="N123" s="418"/>
      <c r="O123" s="418"/>
      <c r="P123" s="418"/>
      <c r="Q123" s="418"/>
      <c r="R123" s="418"/>
      <c r="S123" s="418"/>
      <c r="T123" s="418"/>
      <c r="U123" s="418"/>
      <c r="V123" s="418"/>
      <c r="W123" s="418"/>
      <c r="X123" s="418"/>
      <c r="Y123" s="418"/>
      <c r="Z123" s="418"/>
      <c r="AA123" s="418"/>
      <c r="AB123" s="418"/>
      <c r="AC123" s="686"/>
      <c r="AD123" s="686"/>
      <c r="AE123" s="686"/>
      <c r="AF123" s="686"/>
      <c r="AG123" s="686"/>
      <c r="AH123" s="686"/>
      <c r="AI123" s="686"/>
      <c r="AJ123" s="686"/>
      <c r="AK123" s="686"/>
      <c r="AL123" s="686"/>
      <c r="AM123" s="686"/>
      <c r="AN123" s="686"/>
      <c r="AO123" s="686"/>
      <c r="AP123" s="686"/>
      <c r="AQ123" s="686"/>
      <c r="AR123" s="686"/>
      <c r="AS123" s="686"/>
    </row>
    <row r="124" customFormat="false" ht="12.6" hidden="false" customHeight="true" outlineLevel="0" collapsed="false">
      <c r="A124" s="566"/>
      <c r="B124" s="690"/>
      <c r="C124" s="690"/>
      <c r="D124" s="418"/>
      <c r="E124" s="418"/>
      <c r="F124" s="418"/>
      <c r="G124" s="418"/>
      <c r="H124" s="418"/>
      <c r="I124" s="418"/>
      <c r="J124" s="418"/>
      <c r="K124" s="418"/>
      <c r="L124" s="418"/>
      <c r="M124" s="418"/>
      <c r="N124" s="418"/>
      <c r="O124" s="418"/>
      <c r="P124" s="418"/>
      <c r="Q124" s="418"/>
      <c r="R124" s="418"/>
      <c r="S124" s="418"/>
      <c r="T124" s="418"/>
      <c r="U124" s="418"/>
      <c r="V124" s="418"/>
      <c r="W124" s="418"/>
      <c r="X124" s="418"/>
      <c r="Y124" s="418"/>
      <c r="Z124" s="418"/>
      <c r="AA124" s="418"/>
      <c r="AB124" s="418"/>
      <c r="AC124" s="686"/>
      <c r="AD124" s="686"/>
      <c r="AE124" s="686"/>
      <c r="AF124" s="686"/>
      <c r="AG124" s="686"/>
      <c r="AH124" s="686"/>
      <c r="AI124" s="686"/>
      <c r="AJ124" s="686"/>
      <c r="AK124" s="686"/>
      <c r="AL124" s="686"/>
      <c r="AM124" s="686"/>
      <c r="AN124" s="686"/>
      <c r="AO124" s="686"/>
      <c r="AP124" s="686"/>
      <c r="AQ124" s="686"/>
      <c r="AR124" s="686"/>
      <c r="AS124" s="686"/>
    </row>
    <row r="125" customFormat="false" ht="12.6" hidden="false" customHeight="true" outlineLevel="0" collapsed="false">
      <c r="A125" s="566"/>
      <c r="B125" s="450"/>
      <c r="C125" s="450"/>
      <c r="D125" s="685"/>
      <c r="E125" s="688"/>
      <c r="F125" s="688"/>
      <c r="G125" s="688"/>
      <c r="H125" s="688"/>
      <c r="I125" s="688"/>
      <c r="J125" s="688"/>
      <c r="K125" s="688"/>
      <c r="L125" s="688"/>
      <c r="M125" s="688"/>
      <c r="N125" s="688"/>
      <c r="O125" s="688"/>
      <c r="P125" s="688"/>
      <c r="Q125" s="688"/>
      <c r="R125" s="688"/>
      <c r="S125" s="688"/>
      <c r="T125" s="688"/>
      <c r="U125" s="688"/>
      <c r="V125" s="688"/>
      <c r="W125" s="688"/>
      <c r="X125" s="688"/>
      <c r="Y125" s="688"/>
      <c r="Z125" s="688"/>
      <c r="AA125" s="688"/>
      <c r="AB125" s="688"/>
      <c r="AC125" s="689"/>
      <c r="AD125" s="689"/>
      <c r="AE125" s="689"/>
      <c r="AF125" s="689"/>
      <c r="AG125" s="689"/>
      <c r="AH125" s="689"/>
      <c r="AI125" s="689"/>
      <c r="AJ125" s="689"/>
      <c r="AK125" s="689"/>
      <c r="AL125" s="689"/>
      <c r="AM125" s="689"/>
      <c r="AN125" s="689"/>
      <c r="AO125" s="689"/>
      <c r="AP125" s="689"/>
      <c r="AQ125" s="689"/>
      <c r="AR125" s="689"/>
      <c r="AS125" s="689"/>
    </row>
    <row r="126" customFormat="false" ht="12.6" hidden="false" customHeight="true" outlineLevel="0" collapsed="false">
      <c r="A126" s="566"/>
      <c r="B126" s="450"/>
      <c r="C126" s="450"/>
      <c r="D126" s="418"/>
      <c r="E126" s="418"/>
      <c r="F126" s="418"/>
      <c r="G126" s="418"/>
      <c r="H126" s="418"/>
      <c r="I126" s="418"/>
      <c r="J126" s="418"/>
      <c r="K126" s="418"/>
      <c r="L126" s="418"/>
      <c r="M126" s="418"/>
      <c r="N126" s="418"/>
      <c r="O126" s="418"/>
      <c r="P126" s="418"/>
      <c r="Q126" s="418"/>
      <c r="R126" s="418"/>
      <c r="S126" s="418"/>
      <c r="T126" s="418"/>
      <c r="U126" s="418"/>
      <c r="V126" s="418"/>
      <c r="W126" s="418"/>
      <c r="X126" s="418"/>
      <c r="Y126" s="418"/>
      <c r="Z126" s="418"/>
      <c r="AA126" s="418"/>
      <c r="AB126" s="418"/>
      <c r="AC126" s="686"/>
    </row>
    <row r="127" customFormat="false" ht="12.6" hidden="false" customHeight="true" outlineLevel="0" collapsed="false">
      <c r="A127" s="450"/>
      <c r="B127" s="450"/>
      <c r="C127" s="450"/>
      <c r="D127" s="418"/>
      <c r="E127" s="418"/>
      <c r="F127" s="418"/>
      <c r="G127" s="418"/>
      <c r="H127" s="418"/>
      <c r="I127" s="418"/>
      <c r="J127" s="418"/>
      <c r="K127" s="418"/>
      <c r="L127" s="418"/>
      <c r="M127" s="418"/>
      <c r="N127" s="418"/>
      <c r="O127" s="418"/>
      <c r="P127" s="418"/>
      <c r="Q127" s="418"/>
      <c r="R127" s="418"/>
      <c r="S127" s="418"/>
      <c r="T127" s="418"/>
      <c r="U127" s="418"/>
      <c r="V127" s="418"/>
      <c r="W127" s="418"/>
      <c r="X127" s="418"/>
      <c r="Y127" s="418"/>
      <c r="Z127" s="418"/>
      <c r="AA127" s="418"/>
      <c r="AB127" s="418"/>
      <c r="AC127" s="686"/>
    </row>
    <row r="128" customFormat="false" ht="12.6" hidden="false" customHeight="true" outlineLevel="0" collapsed="false">
      <c r="A128" s="450"/>
      <c r="B128" s="450"/>
      <c r="C128" s="450"/>
      <c r="D128" s="418"/>
      <c r="E128" s="418"/>
      <c r="F128" s="418"/>
      <c r="G128" s="418"/>
      <c r="H128" s="418"/>
      <c r="I128" s="418"/>
      <c r="J128" s="418"/>
      <c r="K128" s="418"/>
      <c r="L128" s="418"/>
      <c r="M128" s="418"/>
      <c r="N128" s="418"/>
      <c r="O128" s="418"/>
      <c r="P128" s="418"/>
      <c r="Q128" s="418"/>
      <c r="R128" s="418"/>
      <c r="S128" s="418"/>
      <c r="T128" s="418"/>
      <c r="U128" s="418"/>
      <c r="V128" s="418"/>
      <c r="W128" s="418"/>
      <c r="X128" s="418"/>
      <c r="Y128" s="418"/>
      <c r="Z128" s="418"/>
      <c r="AA128" s="418"/>
      <c r="AB128" s="418"/>
      <c r="AC128" s="686"/>
    </row>
    <row r="129" customFormat="false" ht="12.6" hidden="false" customHeight="true" outlineLevel="0" collapsed="false">
      <c r="A129" s="450"/>
      <c r="B129" s="450"/>
      <c r="C129" s="450"/>
    </row>
    <row r="130" customFormat="false" ht="12.6" hidden="false" customHeight="true" outlineLevel="0" collapsed="false"/>
    <row r="131" customFormat="false" ht="12.6" hidden="false" customHeight="true" outlineLevel="0" collapsed="false"/>
    <row r="132" customFormat="false" ht="12.6" hidden="false" customHeight="true" outlineLevel="0" collapsed="false"/>
    <row r="133" customFormat="false" ht="12.6" hidden="false" customHeight="true" outlineLevel="0" collapsed="false"/>
    <row r="134" customFormat="false" ht="12.6" hidden="false" customHeight="true" outlineLevel="0" collapsed="false"/>
    <row r="135" customFormat="false" ht="12.6" hidden="false" customHeight="true" outlineLevel="0" collapsed="false"/>
    <row r="136" customFormat="false" ht="12.6" hidden="false" customHeight="true" outlineLevel="0" collapsed="false"/>
    <row r="137" customFormat="false" ht="12.6" hidden="false" customHeight="true" outlineLevel="0" collapsed="false"/>
    <row r="138" customFormat="false" ht="12.6" hidden="false" customHeight="true" outlineLevel="0" collapsed="false"/>
    <row r="139" customFormat="false" ht="12.6" hidden="false" customHeight="true" outlineLevel="0" collapsed="false"/>
    <row r="140" customFormat="false" ht="12.6" hidden="false" customHeight="true" outlineLevel="0" collapsed="false"/>
    <row r="141" customFormat="false" ht="12.6" hidden="false" customHeight="true" outlineLevel="0" collapsed="false"/>
    <row r="142" customFormat="false" ht="12.6" hidden="false" customHeight="true" outlineLevel="0" collapsed="false"/>
    <row r="143" customFormat="false" ht="12.6" hidden="false" customHeight="true" outlineLevel="0" collapsed="false"/>
    <row r="144" customFormat="false" ht="12.6" hidden="false" customHeight="true" outlineLevel="0" collapsed="false"/>
    <row r="145" customFormat="false" ht="12.6" hidden="false" customHeight="true" outlineLevel="0" collapsed="false"/>
    <row r="146" customFormat="false" ht="12.6" hidden="false" customHeight="true" outlineLevel="0" collapsed="false"/>
    <row r="147" customFormat="false" ht="12.6" hidden="false" customHeight="true" outlineLevel="0" collapsed="false"/>
    <row r="148" customFormat="false" ht="12.6" hidden="false" customHeight="true" outlineLevel="0" collapsed="false"/>
    <row r="149" customFormat="false" ht="12.6" hidden="false" customHeight="true" outlineLevel="0" collapsed="false"/>
    <row r="150" customFormat="false" ht="12.6" hidden="false" customHeight="true" outlineLevel="0" collapsed="false"/>
    <row r="151" customFormat="false" ht="12.6" hidden="false" customHeight="true" outlineLevel="0" collapsed="false"/>
    <row r="152" customFormat="false" ht="12.6" hidden="false" customHeight="true" outlineLevel="0" collapsed="false"/>
    <row r="153" customFormat="false" ht="12.6" hidden="false" customHeight="true" outlineLevel="0" collapsed="false"/>
    <row r="154" customFormat="false" ht="12.6" hidden="false" customHeight="true" outlineLevel="0" collapsed="false"/>
    <row r="155" customFormat="false" ht="12.6" hidden="false" customHeight="true" outlineLevel="0" collapsed="false"/>
    <row r="156" customFormat="false" ht="12.6" hidden="false" customHeight="true" outlineLevel="0" collapsed="false"/>
    <row r="157" customFormat="false" ht="12.6" hidden="false" customHeight="true" outlineLevel="0" collapsed="false"/>
    <row r="158" customFormat="false" ht="12.6" hidden="false" customHeight="true" outlineLevel="0" collapsed="false"/>
    <row r="159" customFormat="false" ht="12.6" hidden="false" customHeight="true" outlineLevel="0" collapsed="false"/>
    <row r="160" customFormat="false" ht="12.6" hidden="false" customHeight="true" outlineLevel="0" collapsed="false"/>
    <row r="161" customFormat="false" ht="12.6" hidden="false" customHeight="true" outlineLevel="0" collapsed="false"/>
    <row r="162" customFormat="false" ht="12.6" hidden="false" customHeight="true" outlineLevel="0" collapsed="false"/>
    <row r="163" customFormat="false" ht="12.6" hidden="false" customHeight="true" outlineLevel="0" collapsed="false"/>
    <row r="164" customFormat="false" ht="12.6" hidden="false" customHeight="true" outlineLevel="0" collapsed="false"/>
    <row r="165" customFormat="false" ht="12.6" hidden="false" customHeight="true" outlineLevel="0" collapsed="false"/>
    <row r="166" customFormat="false" ht="12.6" hidden="false" customHeight="true" outlineLevel="0" collapsed="false"/>
    <row r="167" customFormat="false" ht="12.6" hidden="false" customHeight="true" outlineLevel="0" collapsed="false"/>
    <row r="168" customFormat="false" ht="12.6" hidden="false" customHeight="true" outlineLevel="0" collapsed="false"/>
    <row r="169" customFormat="false" ht="12.6" hidden="false" customHeight="true" outlineLevel="0" collapsed="false"/>
    <row r="170" customFormat="false" ht="12.6" hidden="false" customHeight="true" outlineLevel="0" collapsed="false"/>
    <row r="171" customFormat="false" ht="12.6" hidden="false" customHeight="true" outlineLevel="0" collapsed="false"/>
    <row r="172" customFormat="false" ht="12.6" hidden="false" customHeight="true" outlineLevel="0" collapsed="false"/>
    <row r="173" customFormat="false" ht="12.6" hidden="false" customHeight="true" outlineLevel="0" collapsed="false"/>
    <row r="174" customFormat="false" ht="12.6" hidden="false" customHeight="true" outlineLevel="0" collapsed="false"/>
    <row r="175" customFormat="false" ht="12.6" hidden="false" customHeight="true" outlineLevel="0" collapsed="false"/>
    <row r="176" customFormat="false" ht="12.6" hidden="false" customHeight="true" outlineLevel="0" collapsed="false"/>
    <row r="177" customFormat="false" ht="12.6" hidden="false" customHeight="true" outlineLevel="0" collapsed="false"/>
    <row r="178" customFormat="false" ht="12.6" hidden="false" customHeight="true" outlineLevel="0" collapsed="false"/>
    <row r="179" customFormat="false" ht="12.6" hidden="false" customHeight="true" outlineLevel="0" collapsed="false"/>
    <row r="180" customFormat="false" ht="12.6" hidden="false" customHeight="true" outlineLevel="0" collapsed="false"/>
    <row r="181" customFormat="false" ht="12.6" hidden="false" customHeight="true" outlineLevel="0" collapsed="false"/>
    <row r="182" customFormat="false" ht="12.6" hidden="false" customHeight="true" outlineLevel="0" collapsed="false"/>
    <row r="183" customFormat="false" ht="12.6" hidden="false" customHeight="true" outlineLevel="0" collapsed="false"/>
    <row r="184" customFormat="false" ht="12.6" hidden="false" customHeight="true" outlineLevel="0" collapsed="false"/>
    <row r="185" customFormat="false" ht="12.6" hidden="false" customHeight="true" outlineLevel="0" collapsed="false"/>
    <row r="186" customFormat="false" ht="12.6" hidden="false" customHeight="true" outlineLevel="0" collapsed="false"/>
    <row r="187" customFormat="false" ht="12.6" hidden="false" customHeight="true" outlineLevel="0" collapsed="false"/>
    <row r="188" customFormat="false" ht="12.6" hidden="false" customHeight="true" outlineLevel="0" collapsed="false"/>
    <row r="189" customFormat="false" ht="12.6" hidden="false" customHeight="true" outlineLevel="0" collapsed="false"/>
    <row r="190" customFormat="false" ht="12.6" hidden="false" customHeight="true" outlineLevel="0" collapsed="false"/>
    <row r="191" customFormat="false" ht="12.6" hidden="false" customHeight="true" outlineLevel="0" collapsed="false"/>
    <row r="192" customFormat="false" ht="12.6" hidden="false" customHeight="true" outlineLevel="0" collapsed="false"/>
    <row r="193" customFormat="false" ht="12.6" hidden="false" customHeight="true" outlineLevel="0" collapsed="false"/>
    <row r="194" customFormat="false" ht="12.6" hidden="false" customHeight="true" outlineLevel="0" collapsed="false"/>
    <row r="195" customFormat="false" ht="12.6" hidden="false" customHeight="true" outlineLevel="0" collapsed="false"/>
    <row r="196" customFormat="false" ht="12.6" hidden="false" customHeight="true" outlineLevel="0" collapsed="false"/>
    <row r="197" customFormat="false" ht="12.6" hidden="false" customHeight="true" outlineLevel="0" collapsed="false"/>
    <row r="198" customFormat="false" ht="12.6" hidden="false" customHeight="true" outlineLevel="0" collapsed="false"/>
    <row r="199" customFormat="false" ht="12.6" hidden="false" customHeight="true" outlineLevel="0" collapsed="false"/>
    <row r="200" customFormat="false" ht="12.6" hidden="false" customHeight="true" outlineLevel="0" collapsed="false"/>
    <row r="201" customFormat="false" ht="12.6" hidden="false" customHeight="true" outlineLevel="0" collapsed="false"/>
    <row r="202" customFormat="false" ht="12.6" hidden="false" customHeight="true" outlineLevel="0" collapsed="false"/>
    <row r="203" customFormat="false" ht="12.6" hidden="false" customHeight="true" outlineLevel="0" collapsed="false"/>
    <row r="204" customFormat="false" ht="12.6" hidden="false" customHeight="true" outlineLevel="0" collapsed="false"/>
    <row r="205" customFormat="false" ht="12.6" hidden="false" customHeight="true" outlineLevel="0" collapsed="false"/>
    <row r="206" customFormat="false" ht="12.6" hidden="false" customHeight="true" outlineLevel="0" collapsed="false"/>
    <row r="207" customFormat="false" ht="12.6" hidden="false" customHeight="true" outlineLevel="0" collapsed="false"/>
    <row r="208" customFormat="false" ht="12.6" hidden="false" customHeight="true" outlineLevel="0" collapsed="false"/>
    <row r="209" customFormat="false" ht="12.6" hidden="false" customHeight="true" outlineLevel="0" collapsed="false"/>
    <row r="210" customFormat="false" ht="12.6" hidden="false" customHeight="true" outlineLevel="0" collapsed="false"/>
    <row r="211" customFormat="false" ht="12.6" hidden="false" customHeight="true" outlineLevel="0" collapsed="false"/>
    <row r="212" customFormat="false" ht="12.6" hidden="false" customHeight="true" outlineLevel="0" collapsed="false"/>
    <row r="213" customFormat="false" ht="12.6" hidden="false" customHeight="true" outlineLevel="0" collapsed="false"/>
    <row r="214" customFormat="false" ht="12.6" hidden="false" customHeight="true" outlineLevel="0" collapsed="false"/>
    <row r="215" customFormat="false" ht="12.6" hidden="false" customHeight="true" outlineLevel="0" collapsed="false"/>
    <row r="216" customFormat="false" ht="12.6" hidden="false" customHeight="true" outlineLevel="0" collapsed="false"/>
    <row r="217" customFormat="false" ht="12.6" hidden="false" customHeight="true" outlineLevel="0" collapsed="false"/>
    <row r="218" customFormat="false" ht="12.6" hidden="false" customHeight="true" outlineLevel="0" collapsed="false"/>
    <row r="219" customFormat="false" ht="12.6" hidden="false" customHeight="true" outlineLevel="0" collapsed="false"/>
    <row r="220" customFormat="false" ht="12.6" hidden="false" customHeight="true" outlineLevel="0" collapsed="false"/>
    <row r="221" customFormat="false" ht="12.6" hidden="false" customHeight="true" outlineLevel="0" collapsed="false"/>
    <row r="222" customFormat="false" ht="12.6" hidden="false" customHeight="true" outlineLevel="0" collapsed="false"/>
    <row r="223" customFormat="false" ht="12.6" hidden="false" customHeight="true" outlineLevel="0" collapsed="false"/>
    <row r="224" customFormat="false" ht="12.6" hidden="false" customHeight="true" outlineLevel="0" collapsed="false"/>
    <row r="225" customFormat="false" ht="12.6" hidden="false" customHeight="true" outlineLevel="0" collapsed="false"/>
    <row r="226" customFormat="false" ht="12.6" hidden="false" customHeight="true" outlineLevel="0" collapsed="false"/>
    <row r="227" customFormat="false" ht="12.6" hidden="false" customHeight="true" outlineLevel="0" collapsed="false"/>
    <row r="228" customFormat="false" ht="12.6" hidden="false" customHeight="true" outlineLevel="0" collapsed="false"/>
    <row r="229" customFormat="false" ht="12.6" hidden="false" customHeight="true" outlineLevel="0" collapsed="false"/>
    <row r="230" customFormat="false" ht="12.6" hidden="false" customHeight="true" outlineLevel="0" collapsed="false"/>
    <row r="231" customFormat="false" ht="12.6" hidden="false" customHeight="true" outlineLevel="0" collapsed="false"/>
    <row r="232" customFormat="false" ht="12.6" hidden="false" customHeight="true" outlineLevel="0" collapsed="false"/>
    <row r="233" customFormat="false" ht="12.6" hidden="false" customHeight="true" outlineLevel="0" collapsed="false"/>
    <row r="234" customFormat="false" ht="12.6" hidden="false" customHeight="true" outlineLevel="0" collapsed="false"/>
    <row r="235" customFormat="false" ht="12.6" hidden="false" customHeight="true" outlineLevel="0" collapsed="false"/>
    <row r="236" customFormat="false" ht="12.6" hidden="false" customHeight="true" outlineLevel="0" collapsed="false"/>
    <row r="237" customFormat="false" ht="12.6" hidden="false" customHeight="true" outlineLevel="0" collapsed="false"/>
    <row r="238" customFormat="false" ht="12.6" hidden="false" customHeight="true" outlineLevel="0" collapsed="false"/>
    <row r="239" customFormat="false" ht="12.6" hidden="false" customHeight="true" outlineLevel="0" collapsed="false"/>
    <row r="240" customFormat="false" ht="12.6" hidden="false" customHeight="true" outlineLevel="0" collapsed="false"/>
    <row r="241" customFormat="false" ht="12.6" hidden="false" customHeight="true" outlineLevel="0" collapsed="false"/>
    <row r="242" customFormat="false" ht="12.6" hidden="false" customHeight="true" outlineLevel="0" collapsed="false"/>
    <row r="243" customFormat="false" ht="12.6" hidden="false" customHeight="true" outlineLevel="0" collapsed="false"/>
    <row r="244" customFormat="false" ht="12.6" hidden="false" customHeight="true" outlineLevel="0" collapsed="false"/>
    <row r="245" customFormat="false" ht="12.6" hidden="false" customHeight="true" outlineLevel="0" collapsed="false"/>
    <row r="246" customFormat="false" ht="12.6" hidden="false" customHeight="true" outlineLevel="0" collapsed="false"/>
    <row r="247" customFormat="false" ht="12.6" hidden="false" customHeight="true" outlineLevel="0" collapsed="false"/>
    <row r="248" customFormat="false" ht="12.6" hidden="false" customHeight="true" outlineLevel="0" collapsed="false"/>
    <row r="249" customFormat="false" ht="12.6" hidden="false" customHeight="true" outlineLevel="0" collapsed="false"/>
    <row r="250" customFormat="false" ht="12.6" hidden="false" customHeight="true" outlineLevel="0" collapsed="false"/>
    <row r="251" customFormat="false" ht="12.6" hidden="false" customHeight="true" outlineLevel="0" collapsed="false"/>
    <row r="252" customFormat="false" ht="12.6" hidden="false" customHeight="true" outlineLevel="0" collapsed="false"/>
    <row r="253" customFormat="false" ht="12.6" hidden="false" customHeight="true" outlineLevel="0" collapsed="false"/>
    <row r="254" customFormat="false" ht="12.6" hidden="false" customHeight="true" outlineLevel="0" collapsed="false"/>
    <row r="255" customFormat="false" ht="12.6" hidden="false" customHeight="true" outlineLevel="0" collapsed="false"/>
    <row r="256" customFormat="false" ht="12.6" hidden="false" customHeight="true" outlineLevel="0" collapsed="false"/>
    <row r="257" customFormat="false" ht="12.6" hidden="false" customHeight="true" outlineLevel="0" collapsed="false"/>
    <row r="258" customFormat="false" ht="12.6" hidden="false" customHeight="true" outlineLevel="0" collapsed="false"/>
    <row r="259" customFormat="false" ht="12.6" hidden="false" customHeight="true" outlineLevel="0" collapsed="false"/>
    <row r="260" customFormat="false" ht="12.6" hidden="false" customHeight="true" outlineLevel="0" collapsed="false"/>
    <row r="261" customFormat="false" ht="12.6" hidden="false" customHeight="true" outlineLevel="0" collapsed="false"/>
    <row r="262" customFormat="false" ht="12.6" hidden="false" customHeight="true" outlineLevel="0" collapsed="false"/>
    <row r="263" customFormat="false" ht="12.6" hidden="false" customHeight="true" outlineLevel="0" collapsed="false"/>
    <row r="264" customFormat="false" ht="12.6" hidden="false" customHeight="true" outlineLevel="0" collapsed="false"/>
    <row r="265" customFormat="false" ht="12.6" hidden="false" customHeight="true" outlineLevel="0" collapsed="false"/>
    <row r="266" customFormat="false" ht="12.6" hidden="false" customHeight="true" outlineLevel="0" collapsed="false"/>
    <row r="267" customFormat="false" ht="12.6" hidden="false" customHeight="true" outlineLevel="0" collapsed="false"/>
    <row r="268" customFormat="false" ht="12.6" hidden="false" customHeight="true" outlineLevel="0" collapsed="false"/>
    <row r="269" customFormat="false" ht="12.6" hidden="false" customHeight="true" outlineLevel="0" collapsed="false"/>
    <row r="270" customFormat="false" ht="12.6" hidden="false" customHeight="true" outlineLevel="0" collapsed="false"/>
    <row r="271" customFormat="false" ht="12.6" hidden="false" customHeight="true" outlineLevel="0" collapsed="false"/>
    <row r="272" customFormat="false" ht="12.6" hidden="false" customHeight="true" outlineLevel="0" collapsed="false"/>
    <row r="273" customFormat="false" ht="12.6" hidden="false" customHeight="true" outlineLevel="0" collapsed="false"/>
    <row r="274" customFormat="false" ht="12.6" hidden="false" customHeight="true" outlineLevel="0" collapsed="false"/>
    <row r="275" customFormat="false" ht="12.6" hidden="false" customHeight="true" outlineLevel="0" collapsed="false"/>
    <row r="276" customFormat="false" ht="12.6" hidden="false" customHeight="true" outlineLevel="0" collapsed="false"/>
    <row r="277" customFormat="false" ht="12.6" hidden="false" customHeight="true" outlineLevel="0" collapsed="false"/>
    <row r="278" customFormat="false" ht="12.6" hidden="false" customHeight="true" outlineLevel="0" collapsed="false"/>
    <row r="279" customFormat="false" ht="12.6" hidden="false" customHeight="true" outlineLevel="0" collapsed="false"/>
    <row r="280" customFormat="false" ht="12.6" hidden="false" customHeight="true" outlineLevel="0" collapsed="false"/>
    <row r="281" customFormat="false" ht="12.6" hidden="false" customHeight="true" outlineLevel="0" collapsed="false"/>
    <row r="282" customFormat="false" ht="12.6" hidden="false" customHeight="true" outlineLevel="0" collapsed="false"/>
    <row r="283" customFormat="false" ht="12.6" hidden="false" customHeight="true" outlineLevel="0" collapsed="false"/>
  </sheetData>
  <printOptions headings="false" gridLines="false" gridLinesSet="true" horizontalCentered="false" verticalCentered="false"/>
  <pageMargins left="0.5" right="0.5" top="0.984027777777778" bottom="0.984027777777778" header="0.511811023622047" footer="0.5"/>
  <pageSetup paperSize="1" scale="100" fitToWidth="1" fitToHeight="1" pageOrder="overThenDown" orientation="landscape" blackAndWhite="false" draft="false" cellComments="none" horizontalDpi="300" verticalDpi="300" copies="1"/>
  <headerFooter differentFirst="false" differentOddEven="false">
    <oddHeader/>
    <oddFooter>&amp;L&amp;D   &amp;T&amp;R&amp;F
&amp;A &amp;P</oddFooter>
  </headerFooter>
  <rowBreaks count="1" manualBreakCount="1">
    <brk id="61" man="true" max="16383" min="0"/>
  </rowBreaks>
  <colBreaks count="4" manualBreakCount="4">
    <brk id="20" man="true" max="65535" min="0"/>
    <brk id="29" man="true" max="65535" min="0"/>
    <brk id="46" man="true" max="65535" min="0"/>
    <brk id="63" man="true" max="65535" min="0"/>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84"/>
  <sheetViews>
    <sheetView showFormulas="false" showGridLines="true" showRowColHeaders="true" showZeros="true" rightToLeft="false" tabSelected="false" showOutlineSymbols="true" defaultGridColor="true" view="normal" topLeftCell="D48" colorId="64" zoomScale="100" zoomScaleNormal="100" zoomScalePageLayoutView="100" workbookViewId="0">
      <selection pane="topLeft" activeCell="D72" activeCellId="0" sqref="D72"/>
    </sheetView>
  </sheetViews>
  <sheetFormatPr defaultColWidth="9.28125" defaultRowHeight="12.6" customHeight="true" zeroHeight="false" outlineLevelRow="0" outlineLevelCol="0"/>
  <cols>
    <col collapsed="false" customWidth="true" hidden="false" outlineLevel="0" max="1" min="1" style="450" width="9.14"/>
    <col collapsed="false" customWidth="true" hidden="false" outlineLevel="0" max="2" min="2" style="450" width="24.99"/>
    <col collapsed="false" customWidth="true" hidden="false" outlineLevel="0" max="3" min="3" style="450" width="7.14"/>
    <col collapsed="false" customWidth="true" hidden="false" outlineLevel="0" max="23" min="4" style="450" width="9.7"/>
    <col collapsed="false" customWidth="true" hidden="false" outlineLevel="0" max="28" min="24" style="691" width="9.7"/>
    <col collapsed="false" customWidth="false" hidden="false" outlineLevel="0" max="30" min="29" style="691" width="9.28"/>
    <col collapsed="false" customWidth="true" hidden="false" outlineLevel="0" max="31" min="31" style="0" width="9.7"/>
    <col collapsed="false" customWidth="true" hidden="false" outlineLevel="0" max="32" min="32" style="691" width="10.71"/>
    <col collapsed="false" customWidth="false" hidden="false" outlineLevel="0" max="257" min="33" style="691" width="9.28"/>
  </cols>
  <sheetData>
    <row r="1" customFormat="false" ht="20.25" hidden="false" customHeight="true" outlineLevel="0" collapsed="false">
      <c r="B1" s="368" t="str">
        <f aca="false">'Project Assumptions'!$A$2</f>
        <v>CALEDONIA, Lowndes County, MS</v>
      </c>
      <c r="C1" s="369"/>
      <c r="D1" s="692"/>
      <c r="E1" s="693"/>
      <c r="F1" s="694"/>
      <c r="G1" s="694"/>
      <c r="H1" s="694"/>
      <c r="I1" s="694"/>
      <c r="J1" s="694"/>
      <c r="K1" s="694"/>
      <c r="L1" s="694"/>
      <c r="M1" s="694"/>
      <c r="N1" s="694"/>
      <c r="O1" s="694"/>
      <c r="P1" s="694"/>
      <c r="Q1" s="694"/>
      <c r="R1" s="694"/>
      <c r="S1" s="694"/>
      <c r="T1" s="694"/>
      <c r="U1" s="694"/>
      <c r="V1" s="694"/>
      <c r="W1" s="694"/>
      <c r="AD1" s="498"/>
    </row>
    <row r="2" customFormat="false" ht="15.6" hidden="false" customHeight="true" outlineLevel="0" collapsed="false">
      <c r="B2" s="371" t="s">
        <v>479</v>
      </c>
      <c r="C2" s="372"/>
      <c r="D2" s="695"/>
      <c r="E2" s="696"/>
      <c r="F2" s="697"/>
      <c r="G2" s="697"/>
      <c r="H2" s="697"/>
      <c r="I2" s="697"/>
      <c r="J2" s="697"/>
      <c r="K2" s="697"/>
      <c r="L2" s="697"/>
      <c r="M2" s="697"/>
      <c r="N2" s="697"/>
      <c r="O2" s="697"/>
      <c r="P2" s="697"/>
      <c r="Q2" s="697"/>
      <c r="R2" s="697"/>
      <c r="S2" s="697"/>
      <c r="T2" s="697"/>
      <c r="U2" s="697"/>
      <c r="V2" s="697"/>
      <c r="W2" s="697"/>
      <c r="X2" s="698"/>
      <c r="Y2" s="698"/>
      <c r="Z2" s="698"/>
      <c r="AA2" s="698"/>
      <c r="AB2" s="698"/>
      <c r="AD2" s="498"/>
    </row>
    <row r="3" customFormat="false" ht="12.6" hidden="false" customHeight="true" outlineLevel="0" collapsed="false">
      <c r="B3" s="699"/>
      <c r="C3" s="5"/>
      <c r="D3" s="450" t="n">
        <v>1</v>
      </c>
      <c r="E3" s="450" t="n">
        <f aca="false">D3+1</f>
        <v>2</v>
      </c>
      <c r="F3" s="450" t="n">
        <f aca="false">E3+1</f>
        <v>3</v>
      </c>
      <c r="G3" s="450" t="n">
        <f aca="false">F3+1</f>
        <v>4</v>
      </c>
      <c r="H3" s="450" t="n">
        <f aca="false">G3+1</f>
        <v>5</v>
      </c>
      <c r="I3" s="450" t="n">
        <f aca="false">H3+1</f>
        <v>6</v>
      </c>
      <c r="J3" s="450" t="n">
        <f aca="false">I3+1</f>
        <v>7</v>
      </c>
      <c r="K3" s="450" t="n">
        <f aca="false">J3+1</f>
        <v>8</v>
      </c>
      <c r="L3" s="450" t="n">
        <f aca="false">K3+1</f>
        <v>9</v>
      </c>
      <c r="M3" s="450" t="n">
        <f aca="false">L3+1</f>
        <v>10</v>
      </c>
      <c r="N3" s="450" t="n">
        <f aca="false">M3+1</f>
        <v>11</v>
      </c>
      <c r="O3" s="450" t="n">
        <f aca="false">N3+1</f>
        <v>12</v>
      </c>
      <c r="P3" s="450" t="n">
        <f aca="false">O3+1</f>
        <v>13</v>
      </c>
      <c r="Q3" s="450" t="n">
        <f aca="false">P3+1</f>
        <v>14</v>
      </c>
      <c r="R3" s="450" t="n">
        <f aca="false">Q3+1</f>
        <v>15</v>
      </c>
      <c r="S3" s="450" t="n">
        <f aca="false">R3+1</f>
        <v>16</v>
      </c>
      <c r="T3" s="450" t="n">
        <f aca="false">S3+1</f>
        <v>17</v>
      </c>
      <c r="U3" s="450" t="n">
        <f aca="false">T3+1</f>
        <v>18</v>
      </c>
      <c r="V3" s="450" t="n">
        <f aca="false">U3+1</f>
        <v>19</v>
      </c>
      <c r="W3" s="450" t="n">
        <f aca="false">V3+1</f>
        <v>20</v>
      </c>
      <c r="X3" s="450" t="n">
        <f aca="false">W3+1</f>
        <v>21</v>
      </c>
      <c r="Y3" s="686"/>
      <c r="Z3" s="686"/>
      <c r="AA3" s="686"/>
      <c r="AB3" s="700"/>
      <c r="AC3" s="686"/>
      <c r="AD3" s="498"/>
    </row>
    <row r="4" customFormat="false" ht="12.6" hidden="false" customHeight="true" outlineLevel="0" collapsed="false">
      <c r="B4" s="499"/>
      <c r="C4" s="500"/>
      <c r="D4" s="381" t="n">
        <f aca="false">YEAR('[5]Project Assumptions'!$I$14)</f>
        <v>1999</v>
      </c>
      <c r="E4" s="381" t="n">
        <f aca="false">D4+1</f>
        <v>2000</v>
      </c>
      <c r="F4" s="381" t="n">
        <f aca="false">E4+1</f>
        <v>2001</v>
      </c>
      <c r="G4" s="381" t="n">
        <f aca="false">F4+1</f>
        <v>2002</v>
      </c>
      <c r="H4" s="381" t="n">
        <f aca="false">G4+1</f>
        <v>2003</v>
      </c>
      <c r="I4" s="381" t="n">
        <f aca="false">H4+1</f>
        <v>2004</v>
      </c>
      <c r="J4" s="381" t="n">
        <f aca="false">I4+1</f>
        <v>2005</v>
      </c>
      <c r="K4" s="381" t="n">
        <f aca="false">J4+1</f>
        <v>2006</v>
      </c>
      <c r="L4" s="381" t="n">
        <f aca="false">K4+1</f>
        <v>2007</v>
      </c>
      <c r="M4" s="381" t="n">
        <f aca="false">L4+1</f>
        <v>2008</v>
      </c>
      <c r="N4" s="381" t="n">
        <f aca="false">M4+1</f>
        <v>2009</v>
      </c>
      <c r="O4" s="381" t="n">
        <f aca="false">N4+1</f>
        <v>2010</v>
      </c>
      <c r="P4" s="381" t="n">
        <f aca="false">O4+1</f>
        <v>2011</v>
      </c>
      <c r="Q4" s="381" t="n">
        <f aca="false">P4+1</f>
        <v>2012</v>
      </c>
      <c r="R4" s="381" t="n">
        <f aca="false">Q4+1</f>
        <v>2013</v>
      </c>
      <c r="S4" s="381" t="n">
        <f aca="false">R4+1</f>
        <v>2014</v>
      </c>
      <c r="T4" s="381" t="n">
        <f aca="false">S4+1</f>
        <v>2015</v>
      </c>
      <c r="U4" s="381" t="n">
        <f aca="false">T4+1</f>
        <v>2016</v>
      </c>
      <c r="V4" s="381" t="n">
        <f aca="false">U4+1</f>
        <v>2017</v>
      </c>
      <c r="W4" s="381" t="n">
        <f aca="false">V4+1</f>
        <v>2018</v>
      </c>
      <c r="X4" s="382" t="n">
        <f aca="false">W4+1</f>
        <v>2019</v>
      </c>
      <c r="Y4" s="701"/>
      <c r="Z4" s="701"/>
      <c r="AA4" s="701"/>
      <c r="AB4" s="701"/>
      <c r="AC4" s="701"/>
      <c r="AD4" s="503"/>
      <c r="AF4" s="503"/>
      <c r="AG4" s="503"/>
      <c r="AH4" s="503"/>
      <c r="AI4" s="503"/>
      <c r="AJ4" s="503"/>
      <c r="AK4" s="503"/>
      <c r="AL4" s="503"/>
      <c r="AM4" s="503"/>
      <c r="AN4" s="503"/>
      <c r="AO4" s="503"/>
      <c r="AP4" s="503"/>
      <c r="AQ4" s="503"/>
      <c r="AR4" s="503"/>
      <c r="AS4" s="503"/>
      <c r="AT4" s="503"/>
      <c r="AU4" s="503"/>
      <c r="AV4" s="503"/>
      <c r="AW4" s="503"/>
      <c r="AX4" s="503"/>
      <c r="AY4" s="503"/>
      <c r="AZ4" s="503"/>
      <c r="BA4" s="503"/>
    </row>
    <row r="5" customFormat="false" ht="12.6" hidden="false" customHeight="true" outlineLevel="0" collapsed="false">
      <c r="B5" s="702" t="str">
        <f aca="false">'[6]PPA Assu&amp;Sum'!A5</f>
        <v>Months of Operation</v>
      </c>
      <c r="D5" s="387" t="n">
        <f aca="false">'PPA Assumptions &amp; Summary'!C6</f>
        <v>5</v>
      </c>
      <c r="E5" s="387" t="n">
        <f aca="false">'PPA Assumptions &amp; Summary'!D6</f>
        <v>12</v>
      </c>
      <c r="F5" s="387" t="n">
        <f aca="false">'PPA Assumptions &amp; Summary'!E6</f>
        <v>12</v>
      </c>
      <c r="G5" s="387" t="n">
        <f aca="false">'PPA Assumptions &amp; Summary'!F6</f>
        <v>12</v>
      </c>
      <c r="H5" s="387" t="n">
        <f aca="false">'PPA Assumptions &amp; Summary'!G6</f>
        <v>12</v>
      </c>
      <c r="I5" s="387" t="n">
        <f aca="false">'PPA Assumptions &amp; Summary'!H6</f>
        <v>12</v>
      </c>
      <c r="J5" s="387" t="n">
        <f aca="false">'PPA Assumptions &amp; Summary'!I6</f>
        <v>12</v>
      </c>
      <c r="K5" s="387" t="n">
        <f aca="false">'PPA Assumptions &amp; Summary'!J6</f>
        <v>12</v>
      </c>
      <c r="L5" s="387" t="n">
        <f aca="false">'PPA Assumptions &amp; Summary'!K6</f>
        <v>12</v>
      </c>
      <c r="M5" s="387" t="n">
        <f aca="false">'PPA Assumptions &amp; Summary'!L6</f>
        <v>12</v>
      </c>
      <c r="N5" s="387" t="n">
        <f aca="false">'PPA Assumptions &amp; Summary'!M6</f>
        <v>12</v>
      </c>
      <c r="O5" s="387" t="n">
        <f aca="false">'PPA Assumptions &amp; Summary'!N6</f>
        <v>12</v>
      </c>
      <c r="P5" s="387" t="n">
        <f aca="false">'PPA Assumptions &amp; Summary'!O6</f>
        <v>12</v>
      </c>
      <c r="Q5" s="387" t="n">
        <f aca="false">'PPA Assumptions &amp; Summary'!P6</f>
        <v>12</v>
      </c>
      <c r="R5" s="387" t="n">
        <f aca="false">'PPA Assumptions &amp; Summary'!Q6</f>
        <v>12</v>
      </c>
      <c r="S5" s="387" t="n">
        <f aca="false">'PPA Assumptions &amp; Summary'!R6</f>
        <v>12</v>
      </c>
      <c r="T5" s="387" t="n">
        <f aca="false">'PPA Assumptions &amp; Summary'!S6</f>
        <v>12</v>
      </c>
      <c r="U5" s="387" t="n">
        <f aca="false">'PPA Assumptions &amp; Summary'!T6</f>
        <v>12</v>
      </c>
      <c r="V5" s="387" t="n">
        <f aca="false">'PPA Assumptions &amp; Summary'!U6</f>
        <v>12</v>
      </c>
      <c r="W5" s="387" t="n">
        <f aca="false">'PPA Assumptions &amp; Summary'!V6</f>
        <v>12</v>
      </c>
      <c r="X5" s="389" t="n">
        <f aca="false">'PPA Assumptions &amp; Summary'!W6</f>
        <v>12</v>
      </c>
      <c r="Y5" s="703"/>
      <c r="Z5" s="703"/>
      <c r="AA5" s="703"/>
      <c r="AB5" s="703"/>
      <c r="AC5" s="686"/>
      <c r="AD5" s="498"/>
    </row>
    <row r="6" customFormat="false" ht="12.6" hidden="false" customHeight="true" outlineLevel="0" collapsed="false">
      <c r="B6" s="702" t="str">
        <f aca="false">'[6]PPA Assu&amp;Sum'!A6</f>
        <v>Months of Year Under PPA</v>
      </c>
      <c r="D6" s="387" t="n">
        <f aca="false">'PPA Assumptions &amp; Summary'!C7</f>
        <v>5</v>
      </c>
      <c r="E6" s="387" t="n">
        <f aca="false">'PPA Assumptions &amp; Summary'!D7</f>
        <v>12</v>
      </c>
      <c r="F6" s="387" t="n">
        <f aca="false">'PPA Assumptions &amp; Summary'!E7</f>
        <v>12</v>
      </c>
      <c r="G6" s="387" t="n">
        <f aca="false">'PPA Assumptions &amp; Summary'!F7</f>
        <v>12</v>
      </c>
      <c r="H6" s="387" t="n">
        <f aca="false">'PPA Assumptions &amp; Summary'!G7</f>
        <v>5</v>
      </c>
      <c r="I6" s="387" t="n">
        <f aca="false">'PPA Assumptions &amp; Summary'!H7</f>
        <v>0</v>
      </c>
      <c r="J6" s="387" t="n">
        <f aca="false">'PPA Assumptions &amp; Summary'!I7</f>
        <v>0</v>
      </c>
      <c r="K6" s="387" t="n">
        <f aca="false">'PPA Assumptions &amp; Summary'!J7</f>
        <v>0</v>
      </c>
      <c r="L6" s="387" t="n">
        <f aca="false">'PPA Assumptions &amp; Summary'!K7</f>
        <v>0</v>
      </c>
      <c r="M6" s="387" t="n">
        <f aca="false">'PPA Assumptions &amp; Summary'!L7</f>
        <v>0</v>
      </c>
      <c r="N6" s="387" t="n">
        <f aca="false">'PPA Assumptions &amp; Summary'!M7</f>
        <v>0</v>
      </c>
      <c r="O6" s="387" t="n">
        <f aca="false">'PPA Assumptions &amp; Summary'!N7</f>
        <v>0</v>
      </c>
      <c r="P6" s="387" t="n">
        <f aca="false">'PPA Assumptions &amp; Summary'!O7</f>
        <v>0</v>
      </c>
      <c r="Q6" s="387" t="n">
        <f aca="false">'PPA Assumptions &amp; Summary'!P7</f>
        <v>0</v>
      </c>
      <c r="R6" s="387" t="n">
        <f aca="false">'PPA Assumptions &amp; Summary'!Q7</f>
        <v>0</v>
      </c>
      <c r="S6" s="387" t="n">
        <f aca="false">'PPA Assumptions &amp; Summary'!R7</f>
        <v>0</v>
      </c>
      <c r="T6" s="387" t="n">
        <f aca="false">'PPA Assumptions &amp; Summary'!S7</f>
        <v>0</v>
      </c>
      <c r="U6" s="387" t="n">
        <f aca="false">'PPA Assumptions &amp; Summary'!T7</f>
        <v>0</v>
      </c>
      <c r="V6" s="387" t="n">
        <f aca="false">'PPA Assumptions &amp; Summary'!U7</f>
        <v>0</v>
      </c>
      <c r="W6" s="387" t="n">
        <f aca="false">'PPA Assumptions &amp; Summary'!V7</f>
        <v>0</v>
      </c>
      <c r="X6" s="389" t="n">
        <f aca="false">'PPA Assumptions &amp; Summary'!W7</f>
        <v>0</v>
      </c>
      <c r="Y6" s="703"/>
      <c r="Z6" s="703"/>
      <c r="AA6" s="703"/>
      <c r="AB6" s="703"/>
      <c r="AC6" s="686"/>
      <c r="AD6" s="498"/>
    </row>
    <row r="7" customFormat="false" ht="12.6" hidden="false" customHeight="true" outlineLevel="0" collapsed="false">
      <c r="A7" s="418"/>
      <c r="B7" s="704" t="str">
        <f aca="false">'[6]PPA Assu&amp;Sum'!A7</f>
        <v>Months of Year Merchant</v>
      </c>
      <c r="C7" s="427"/>
      <c r="D7" s="705" t="n">
        <f aca="false">'PPA Assumptions &amp; Summary'!C8</f>
        <v>0</v>
      </c>
      <c r="E7" s="705" t="n">
        <f aca="false">'PPA Assumptions &amp; Summary'!D8</f>
        <v>0</v>
      </c>
      <c r="F7" s="705" t="n">
        <f aca="false">'PPA Assumptions &amp; Summary'!E8</f>
        <v>0</v>
      </c>
      <c r="G7" s="705" t="n">
        <f aca="false">'PPA Assumptions &amp; Summary'!F8</f>
        <v>0</v>
      </c>
      <c r="H7" s="705" t="n">
        <f aca="false">'PPA Assumptions &amp; Summary'!G8</f>
        <v>7</v>
      </c>
      <c r="I7" s="705" t="n">
        <f aca="false">'PPA Assumptions &amp; Summary'!H8</f>
        <v>12</v>
      </c>
      <c r="J7" s="705" t="n">
        <f aca="false">'PPA Assumptions &amp; Summary'!I8</f>
        <v>12</v>
      </c>
      <c r="K7" s="705" t="n">
        <f aca="false">'PPA Assumptions &amp; Summary'!J8</f>
        <v>12</v>
      </c>
      <c r="L7" s="705" t="n">
        <f aca="false">'PPA Assumptions &amp; Summary'!K8</f>
        <v>12</v>
      </c>
      <c r="M7" s="705" t="n">
        <f aca="false">'PPA Assumptions &amp; Summary'!L8</f>
        <v>12</v>
      </c>
      <c r="N7" s="705" t="n">
        <f aca="false">'PPA Assumptions &amp; Summary'!M8</f>
        <v>12</v>
      </c>
      <c r="O7" s="705" t="n">
        <f aca="false">'PPA Assumptions &amp; Summary'!N8</f>
        <v>12</v>
      </c>
      <c r="P7" s="705" t="n">
        <f aca="false">'PPA Assumptions &amp; Summary'!O8</f>
        <v>12</v>
      </c>
      <c r="Q7" s="705" t="n">
        <f aca="false">'PPA Assumptions &amp; Summary'!P8</f>
        <v>12</v>
      </c>
      <c r="R7" s="705" t="n">
        <f aca="false">'PPA Assumptions &amp; Summary'!Q8</f>
        <v>12</v>
      </c>
      <c r="S7" s="705" t="n">
        <f aca="false">'PPA Assumptions &amp; Summary'!R8</f>
        <v>12</v>
      </c>
      <c r="T7" s="705" t="n">
        <f aca="false">'PPA Assumptions &amp; Summary'!S8</f>
        <v>12</v>
      </c>
      <c r="U7" s="705" t="n">
        <f aca="false">'PPA Assumptions &amp; Summary'!T8</f>
        <v>12</v>
      </c>
      <c r="V7" s="705" t="n">
        <f aca="false">'PPA Assumptions &amp; Summary'!U8</f>
        <v>12</v>
      </c>
      <c r="W7" s="705" t="n">
        <f aca="false">'PPA Assumptions &amp; Summary'!V8</f>
        <v>12</v>
      </c>
      <c r="X7" s="706" t="n">
        <f aca="false">'PPA Assumptions &amp; Summary'!W8</f>
        <v>12</v>
      </c>
      <c r="Y7" s="707"/>
      <c r="Z7" s="707"/>
      <c r="AA7" s="707"/>
      <c r="AB7" s="707"/>
      <c r="AC7" s="686"/>
      <c r="AD7" s="498"/>
      <c r="AF7" s="686"/>
      <c r="AG7" s="686"/>
      <c r="AH7" s="686"/>
      <c r="AI7" s="686"/>
      <c r="AJ7" s="686"/>
      <c r="AK7" s="686"/>
      <c r="AL7" s="686"/>
      <c r="AM7" s="686"/>
      <c r="AN7" s="686"/>
      <c r="AO7" s="686"/>
      <c r="AP7" s="686"/>
      <c r="AQ7" s="686"/>
      <c r="AR7" s="686"/>
      <c r="AS7" s="686"/>
      <c r="AT7" s="686"/>
      <c r="AU7" s="686"/>
      <c r="AV7" s="686"/>
      <c r="AW7" s="686"/>
      <c r="AX7" s="686"/>
      <c r="AY7" s="686"/>
      <c r="AZ7" s="686"/>
      <c r="BA7" s="686"/>
      <c r="BB7" s="686"/>
      <c r="BC7" s="686"/>
      <c r="BD7" s="686"/>
      <c r="BE7" s="686"/>
      <c r="BF7" s="686"/>
      <c r="BG7" s="686"/>
      <c r="BH7" s="686"/>
      <c r="BI7" s="686"/>
      <c r="BJ7" s="686"/>
      <c r="BK7" s="686"/>
      <c r="BL7" s="686"/>
      <c r="BM7" s="686"/>
      <c r="BN7" s="686"/>
      <c r="BO7" s="686"/>
      <c r="BP7" s="686"/>
      <c r="BQ7" s="686"/>
      <c r="BR7" s="686"/>
      <c r="BS7" s="686"/>
      <c r="BT7" s="686"/>
      <c r="BU7" s="686"/>
      <c r="BV7" s="686"/>
      <c r="BW7" s="686"/>
      <c r="BX7" s="686"/>
      <c r="BY7" s="686"/>
      <c r="BZ7" s="686"/>
      <c r="CA7" s="686"/>
      <c r="CB7" s="686"/>
      <c r="CC7" s="686"/>
      <c r="CD7" s="686"/>
      <c r="CE7" s="686"/>
      <c r="CF7" s="686"/>
      <c r="CG7" s="686"/>
      <c r="CH7" s="686"/>
      <c r="CI7" s="686"/>
      <c r="CJ7" s="686"/>
      <c r="CK7" s="686"/>
      <c r="CL7" s="686"/>
      <c r="CM7" s="686"/>
      <c r="CN7" s="686"/>
      <c r="CO7" s="686"/>
      <c r="CP7" s="686"/>
      <c r="CQ7" s="686"/>
      <c r="CR7" s="686"/>
      <c r="CS7" s="686"/>
      <c r="CT7" s="686"/>
      <c r="CU7" s="686"/>
      <c r="CV7" s="686"/>
      <c r="CW7" s="686"/>
      <c r="CX7" s="686"/>
      <c r="CY7" s="686"/>
      <c r="CZ7" s="686"/>
      <c r="DA7" s="686"/>
      <c r="DB7" s="686"/>
      <c r="DC7" s="686"/>
      <c r="DD7" s="686"/>
      <c r="DE7" s="686"/>
      <c r="DF7" s="686"/>
      <c r="DG7" s="686"/>
      <c r="DH7" s="686"/>
      <c r="DI7" s="686"/>
      <c r="DJ7" s="686"/>
      <c r="DK7" s="686"/>
      <c r="DL7" s="686"/>
      <c r="DM7" s="686"/>
      <c r="DN7" s="686"/>
      <c r="DO7" s="686"/>
      <c r="DP7" s="686"/>
      <c r="DQ7" s="686"/>
      <c r="DR7" s="686"/>
      <c r="DS7" s="686"/>
      <c r="DT7" s="686"/>
      <c r="DU7" s="686"/>
      <c r="DV7" s="686"/>
      <c r="DW7" s="686"/>
      <c r="DX7" s="686"/>
      <c r="DY7" s="686"/>
      <c r="DZ7" s="686"/>
      <c r="EA7" s="686"/>
      <c r="EB7" s="686"/>
      <c r="EC7" s="686"/>
      <c r="ED7" s="686"/>
      <c r="EE7" s="686"/>
      <c r="EF7" s="686"/>
      <c r="EG7" s="686"/>
      <c r="EH7" s="686"/>
      <c r="EI7" s="686"/>
      <c r="EJ7" s="686"/>
      <c r="EK7" s="686"/>
      <c r="EL7" s="686"/>
      <c r="EM7" s="686"/>
      <c r="EN7" s="686"/>
      <c r="EO7" s="686"/>
      <c r="EP7" s="686"/>
      <c r="EQ7" s="686"/>
      <c r="ER7" s="686"/>
      <c r="ES7" s="686"/>
      <c r="ET7" s="686"/>
      <c r="EU7" s="686"/>
      <c r="EV7" s="686"/>
      <c r="EW7" s="686"/>
      <c r="EX7" s="686"/>
      <c r="EY7" s="686"/>
      <c r="EZ7" s="686"/>
      <c r="FA7" s="686"/>
      <c r="FB7" s="686"/>
      <c r="FC7" s="686"/>
      <c r="FD7" s="686"/>
      <c r="FE7" s="686"/>
      <c r="FF7" s="686"/>
      <c r="FG7" s="686"/>
      <c r="FH7" s="686"/>
      <c r="FI7" s="686"/>
      <c r="FJ7" s="686"/>
      <c r="FK7" s="686"/>
      <c r="FL7" s="686"/>
      <c r="FM7" s="686"/>
      <c r="FN7" s="686"/>
      <c r="FO7" s="686"/>
      <c r="FP7" s="686"/>
      <c r="FQ7" s="686"/>
      <c r="FR7" s="686"/>
      <c r="FS7" s="686"/>
      <c r="FT7" s="686"/>
      <c r="FU7" s="686"/>
      <c r="FV7" s="686"/>
      <c r="FW7" s="686"/>
      <c r="FX7" s="686"/>
      <c r="FY7" s="686"/>
      <c r="FZ7" s="686"/>
      <c r="GA7" s="686"/>
      <c r="GB7" s="686"/>
      <c r="GC7" s="686"/>
      <c r="GD7" s="686"/>
      <c r="GE7" s="686"/>
      <c r="GF7" s="686"/>
      <c r="GG7" s="686"/>
      <c r="GH7" s="686"/>
      <c r="GI7" s="686"/>
      <c r="GJ7" s="686"/>
      <c r="GK7" s="686"/>
      <c r="GL7" s="686"/>
      <c r="GM7" s="686"/>
      <c r="GN7" s="686"/>
      <c r="GO7" s="686"/>
      <c r="GP7" s="686"/>
      <c r="GQ7" s="686"/>
      <c r="GR7" s="686"/>
      <c r="GS7" s="686"/>
      <c r="GT7" s="686"/>
      <c r="GU7" s="686"/>
      <c r="GV7" s="686"/>
      <c r="GW7" s="686"/>
      <c r="GX7" s="686"/>
      <c r="GY7" s="686"/>
      <c r="GZ7" s="686"/>
      <c r="HA7" s="686"/>
      <c r="HB7" s="686"/>
      <c r="HC7" s="686"/>
      <c r="HD7" s="686"/>
      <c r="HE7" s="686"/>
      <c r="HF7" s="686"/>
      <c r="HG7" s="686"/>
      <c r="HH7" s="686"/>
      <c r="HI7" s="686"/>
      <c r="HJ7" s="686"/>
      <c r="HK7" s="686"/>
      <c r="HL7" s="686"/>
      <c r="HM7" s="686"/>
      <c r="HN7" s="686"/>
      <c r="HO7" s="686"/>
      <c r="HP7" s="686"/>
      <c r="HQ7" s="686"/>
      <c r="HR7" s="686"/>
      <c r="HS7" s="686"/>
      <c r="HT7" s="686"/>
      <c r="HU7" s="686"/>
      <c r="HV7" s="686"/>
      <c r="HW7" s="686"/>
      <c r="HX7" s="686"/>
      <c r="HY7" s="686"/>
      <c r="HZ7" s="686"/>
      <c r="IA7" s="686"/>
      <c r="IB7" s="686"/>
      <c r="IC7" s="686"/>
      <c r="ID7" s="686"/>
      <c r="IE7" s="686"/>
      <c r="IF7" s="686"/>
      <c r="IG7" s="686"/>
      <c r="IH7" s="686"/>
      <c r="II7" s="686"/>
      <c r="IJ7" s="686"/>
      <c r="IK7" s="686"/>
      <c r="IL7" s="686"/>
      <c r="IM7" s="686"/>
      <c r="IN7" s="686"/>
      <c r="IO7" s="686"/>
      <c r="IP7" s="686"/>
      <c r="IQ7" s="686"/>
      <c r="IR7" s="686"/>
      <c r="IS7" s="686"/>
      <c r="IT7" s="686"/>
      <c r="IU7" s="686"/>
      <c r="IV7" s="686"/>
      <c r="IW7" s="686"/>
    </row>
    <row r="8" customFormat="false" ht="12.6" hidden="false" customHeight="true" outlineLevel="0" collapsed="false">
      <c r="A8" s="418"/>
      <c r="B8" s="566"/>
      <c r="C8" s="418"/>
      <c r="D8" s="387"/>
      <c r="E8" s="387"/>
      <c r="F8" s="387"/>
      <c r="G8" s="387"/>
      <c r="H8" s="387"/>
      <c r="I8" s="387"/>
      <c r="J8" s="387"/>
      <c r="K8" s="387"/>
      <c r="L8" s="387"/>
      <c r="M8" s="387"/>
      <c r="N8" s="387"/>
      <c r="O8" s="387"/>
      <c r="P8" s="387"/>
      <c r="Q8" s="387"/>
      <c r="R8" s="387"/>
      <c r="S8" s="387"/>
      <c r="T8" s="387"/>
      <c r="U8" s="387"/>
      <c r="V8" s="387"/>
      <c r="W8" s="387"/>
      <c r="X8" s="387"/>
      <c r="Y8" s="703"/>
      <c r="Z8" s="703"/>
      <c r="AA8" s="703"/>
      <c r="AB8" s="703"/>
      <c r="AC8" s="686"/>
      <c r="AD8" s="498"/>
      <c r="AF8" s="686"/>
      <c r="AG8" s="686"/>
      <c r="AH8" s="686"/>
      <c r="AI8" s="686"/>
      <c r="AJ8" s="686"/>
      <c r="AK8" s="686"/>
      <c r="AL8" s="686"/>
      <c r="AM8" s="686"/>
      <c r="AN8" s="686"/>
      <c r="AO8" s="686"/>
      <c r="AP8" s="686"/>
      <c r="AQ8" s="686"/>
      <c r="AR8" s="686"/>
      <c r="AS8" s="686"/>
      <c r="AT8" s="686"/>
      <c r="AU8" s="686"/>
      <c r="AV8" s="686"/>
      <c r="AW8" s="686"/>
      <c r="AX8" s="686"/>
      <c r="AY8" s="686"/>
      <c r="AZ8" s="686"/>
      <c r="BA8" s="686"/>
      <c r="BB8" s="686"/>
      <c r="BC8" s="686"/>
      <c r="BD8" s="686"/>
      <c r="BE8" s="686"/>
      <c r="BF8" s="686"/>
      <c r="BG8" s="686"/>
      <c r="BH8" s="686"/>
      <c r="BI8" s="686"/>
      <c r="BJ8" s="686"/>
      <c r="BK8" s="686"/>
      <c r="BL8" s="686"/>
      <c r="BM8" s="686"/>
      <c r="BN8" s="686"/>
      <c r="BO8" s="686"/>
      <c r="BP8" s="686"/>
      <c r="BQ8" s="686"/>
      <c r="BR8" s="686"/>
      <c r="BS8" s="686"/>
      <c r="BT8" s="686"/>
      <c r="BU8" s="686"/>
      <c r="BV8" s="686"/>
      <c r="BW8" s="686"/>
      <c r="BX8" s="686"/>
      <c r="BY8" s="686"/>
      <c r="BZ8" s="686"/>
      <c r="CA8" s="686"/>
      <c r="CB8" s="686"/>
      <c r="CC8" s="686"/>
      <c r="CD8" s="686"/>
      <c r="CE8" s="686"/>
      <c r="CF8" s="686"/>
      <c r="CG8" s="686"/>
      <c r="CH8" s="686"/>
      <c r="CI8" s="686"/>
      <c r="CJ8" s="686"/>
      <c r="CK8" s="686"/>
      <c r="CL8" s="686"/>
      <c r="CM8" s="686"/>
      <c r="CN8" s="686"/>
      <c r="CO8" s="686"/>
      <c r="CP8" s="686"/>
      <c r="CQ8" s="686"/>
      <c r="CR8" s="686"/>
      <c r="CS8" s="686"/>
      <c r="CT8" s="686"/>
      <c r="CU8" s="686"/>
      <c r="CV8" s="686"/>
      <c r="CW8" s="686"/>
      <c r="CX8" s="686"/>
      <c r="CY8" s="686"/>
      <c r="CZ8" s="686"/>
      <c r="DA8" s="686"/>
      <c r="DB8" s="686"/>
      <c r="DC8" s="686"/>
      <c r="DD8" s="686"/>
      <c r="DE8" s="686"/>
      <c r="DF8" s="686"/>
      <c r="DG8" s="686"/>
      <c r="DH8" s="686"/>
      <c r="DI8" s="686"/>
      <c r="DJ8" s="686"/>
      <c r="DK8" s="686"/>
      <c r="DL8" s="686"/>
      <c r="DM8" s="686"/>
      <c r="DN8" s="686"/>
      <c r="DO8" s="686"/>
      <c r="DP8" s="686"/>
      <c r="DQ8" s="686"/>
      <c r="DR8" s="686"/>
      <c r="DS8" s="686"/>
      <c r="DT8" s="686"/>
      <c r="DU8" s="686"/>
      <c r="DV8" s="686"/>
      <c r="DW8" s="686"/>
      <c r="DX8" s="686"/>
      <c r="DY8" s="686"/>
      <c r="DZ8" s="686"/>
      <c r="EA8" s="686"/>
      <c r="EB8" s="686"/>
      <c r="EC8" s="686"/>
      <c r="ED8" s="686"/>
      <c r="EE8" s="686"/>
      <c r="EF8" s="686"/>
      <c r="EG8" s="686"/>
      <c r="EH8" s="686"/>
      <c r="EI8" s="686"/>
      <c r="EJ8" s="686"/>
      <c r="EK8" s="686"/>
      <c r="EL8" s="686"/>
      <c r="EM8" s="686"/>
      <c r="EN8" s="686"/>
      <c r="EO8" s="686"/>
      <c r="EP8" s="686"/>
      <c r="EQ8" s="686"/>
      <c r="ER8" s="686"/>
      <c r="ES8" s="686"/>
      <c r="ET8" s="686"/>
      <c r="EU8" s="686"/>
      <c r="EV8" s="686"/>
      <c r="EW8" s="686"/>
      <c r="EX8" s="686"/>
      <c r="EY8" s="686"/>
      <c r="EZ8" s="686"/>
      <c r="FA8" s="686"/>
      <c r="FB8" s="686"/>
      <c r="FC8" s="686"/>
      <c r="FD8" s="686"/>
      <c r="FE8" s="686"/>
      <c r="FF8" s="686"/>
      <c r="FG8" s="686"/>
      <c r="FH8" s="686"/>
      <c r="FI8" s="686"/>
      <c r="FJ8" s="686"/>
      <c r="FK8" s="686"/>
      <c r="FL8" s="686"/>
      <c r="FM8" s="686"/>
      <c r="FN8" s="686"/>
      <c r="FO8" s="686"/>
      <c r="FP8" s="686"/>
      <c r="FQ8" s="686"/>
      <c r="FR8" s="686"/>
      <c r="FS8" s="686"/>
      <c r="FT8" s="686"/>
      <c r="FU8" s="686"/>
      <c r="FV8" s="686"/>
      <c r="FW8" s="686"/>
      <c r="FX8" s="686"/>
      <c r="FY8" s="686"/>
      <c r="FZ8" s="686"/>
      <c r="GA8" s="686"/>
      <c r="GB8" s="686"/>
      <c r="GC8" s="686"/>
      <c r="GD8" s="686"/>
      <c r="GE8" s="686"/>
      <c r="GF8" s="686"/>
      <c r="GG8" s="686"/>
      <c r="GH8" s="686"/>
      <c r="GI8" s="686"/>
      <c r="GJ8" s="686"/>
      <c r="GK8" s="686"/>
      <c r="GL8" s="686"/>
      <c r="GM8" s="686"/>
      <c r="GN8" s="686"/>
      <c r="GO8" s="686"/>
      <c r="GP8" s="686"/>
      <c r="GQ8" s="686"/>
      <c r="GR8" s="686"/>
      <c r="GS8" s="686"/>
      <c r="GT8" s="686"/>
      <c r="GU8" s="686"/>
      <c r="GV8" s="686"/>
      <c r="GW8" s="686"/>
      <c r="GX8" s="686"/>
      <c r="GY8" s="686"/>
      <c r="GZ8" s="686"/>
      <c r="HA8" s="686"/>
      <c r="HB8" s="686"/>
      <c r="HC8" s="686"/>
      <c r="HD8" s="686"/>
      <c r="HE8" s="686"/>
      <c r="HF8" s="686"/>
      <c r="HG8" s="686"/>
      <c r="HH8" s="686"/>
      <c r="HI8" s="686"/>
      <c r="HJ8" s="686"/>
      <c r="HK8" s="686"/>
      <c r="HL8" s="686"/>
      <c r="HM8" s="686"/>
      <c r="HN8" s="686"/>
      <c r="HO8" s="686"/>
      <c r="HP8" s="686"/>
      <c r="HQ8" s="686"/>
      <c r="HR8" s="686"/>
      <c r="HS8" s="686"/>
      <c r="HT8" s="686"/>
      <c r="HU8" s="686"/>
      <c r="HV8" s="686"/>
      <c r="HW8" s="686"/>
      <c r="HX8" s="686"/>
      <c r="HY8" s="686"/>
      <c r="HZ8" s="686"/>
      <c r="IA8" s="686"/>
      <c r="IB8" s="686"/>
      <c r="IC8" s="686"/>
      <c r="ID8" s="686"/>
      <c r="IE8" s="686"/>
      <c r="IF8" s="686"/>
      <c r="IG8" s="686"/>
      <c r="IH8" s="686"/>
      <c r="II8" s="686"/>
      <c r="IJ8" s="686"/>
      <c r="IK8" s="686"/>
      <c r="IL8" s="686"/>
      <c r="IM8" s="686"/>
      <c r="IN8" s="686"/>
      <c r="IO8" s="686"/>
      <c r="IP8" s="686"/>
      <c r="IQ8" s="686"/>
      <c r="IR8" s="686"/>
      <c r="IS8" s="686"/>
      <c r="IT8" s="686"/>
      <c r="IU8" s="686"/>
      <c r="IV8" s="686"/>
      <c r="IW8" s="686"/>
    </row>
    <row r="9" customFormat="false" ht="12.6" hidden="false" customHeight="true" outlineLevel="0" collapsed="false">
      <c r="A9" s="418"/>
      <c r="B9" s="708" t="s">
        <v>480</v>
      </c>
      <c r="C9" s="709"/>
      <c r="D9" s="500"/>
      <c r="E9" s="500"/>
      <c r="F9" s="710"/>
      <c r="G9" s="710"/>
      <c r="H9" s="710"/>
      <c r="I9" s="710"/>
      <c r="J9" s="710"/>
      <c r="K9" s="710"/>
      <c r="L9" s="710"/>
      <c r="M9" s="710"/>
      <c r="N9" s="710"/>
      <c r="O9" s="710"/>
      <c r="P9" s="710"/>
      <c r="Q9" s="710"/>
      <c r="R9" s="710"/>
      <c r="S9" s="710"/>
      <c r="T9" s="710"/>
      <c r="U9" s="710"/>
      <c r="V9" s="710"/>
      <c r="W9" s="710"/>
      <c r="X9" s="711"/>
      <c r="Y9" s="703"/>
      <c r="Z9" s="703"/>
      <c r="AA9" s="703"/>
      <c r="AB9" s="703"/>
      <c r="AC9" s="686"/>
      <c r="AD9" s="498"/>
      <c r="AF9" s="686"/>
      <c r="AG9" s="686"/>
      <c r="AH9" s="686"/>
      <c r="AI9" s="686"/>
      <c r="AJ9" s="686"/>
      <c r="AK9" s="686"/>
      <c r="AL9" s="686"/>
      <c r="AM9" s="686"/>
      <c r="AN9" s="686"/>
      <c r="AO9" s="686"/>
      <c r="AP9" s="686"/>
      <c r="AQ9" s="686"/>
      <c r="AR9" s="686"/>
      <c r="AS9" s="686"/>
      <c r="AT9" s="686"/>
      <c r="AU9" s="686"/>
      <c r="AV9" s="686"/>
      <c r="AW9" s="686"/>
      <c r="AX9" s="686"/>
      <c r="AY9" s="686"/>
      <c r="AZ9" s="686"/>
      <c r="BA9" s="686"/>
      <c r="BB9" s="686"/>
      <c r="BC9" s="686"/>
      <c r="BD9" s="686"/>
      <c r="BE9" s="686"/>
      <c r="BF9" s="686"/>
      <c r="BG9" s="686"/>
      <c r="BH9" s="686"/>
      <c r="BI9" s="686"/>
      <c r="BJ9" s="686"/>
      <c r="BK9" s="686"/>
      <c r="BL9" s="686"/>
      <c r="BM9" s="686"/>
      <c r="BN9" s="686"/>
      <c r="BO9" s="686"/>
      <c r="BP9" s="686"/>
      <c r="BQ9" s="686"/>
      <c r="BR9" s="686"/>
      <c r="BS9" s="686"/>
      <c r="BT9" s="686"/>
      <c r="BU9" s="686"/>
      <c r="BV9" s="686"/>
      <c r="BW9" s="686"/>
      <c r="BX9" s="686"/>
      <c r="BY9" s="686"/>
      <c r="BZ9" s="686"/>
      <c r="CA9" s="686"/>
      <c r="CB9" s="686"/>
      <c r="CC9" s="686"/>
      <c r="CD9" s="686"/>
      <c r="CE9" s="686"/>
      <c r="CF9" s="686"/>
      <c r="CG9" s="686"/>
      <c r="CH9" s="686"/>
      <c r="CI9" s="686"/>
      <c r="CJ9" s="686"/>
      <c r="CK9" s="686"/>
      <c r="CL9" s="686"/>
      <c r="CM9" s="686"/>
      <c r="CN9" s="686"/>
      <c r="CO9" s="686"/>
      <c r="CP9" s="686"/>
      <c r="CQ9" s="686"/>
      <c r="CR9" s="686"/>
      <c r="CS9" s="686"/>
      <c r="CT9" s="686"/>
      <c r="CU9" s="686"/>
      <c r="CV9" s="686"/>
      <c r="CW9" s="686"/>
      <c r="CX9" s="686"/>
      <c r="CY9" s="686"/>
      <c r="CZ9" s="686"/>
      <c r="DA9" s="686"/>
      <c r="DB9" s="686"/>
      <c r="DC9" s="686"/>
      <c r="DD9" s="686"/>
      <c r="DE9" s="686"/>
      <c r="DF9" s="686"/>
      <c r="DG9" s="686"/>
      <c r="DH9" s="686"/>
      <c r="DI9" s="686"/>
      <c r="DJ9" s="686"/>
      <c r="DK9" s="686"/>
      <c r="DL9" s="686"/>
      <c r="DM9" s="686"/>
      <c r="DN9" s="686"/>
      <c r="DO9" s="686"/>
      <c r="DP9" s="686"/>
      <c r="DQ9" s="686"/>
      <c r="DR9" s="686"/>
      <c r="DS9" s="686"/>
      <c r="DT9" s="686"/>
      <c r="DU9" s="686"/>
      <c r="DV9" s="686"/>
      <c r="DW9" s="686"/>
      <c r="DX9" s="686"/>
      <c r="DY9" s="686"/>
      <c r="DZ9" s="686"/>
      <c r="EA9" s="686"/>
      <c r="EB9" s="686"/>
      <c r="EC9" s="686"/>
      <c r="ED9" s="686"/>
      <c r="EE9" s="686"/>
      <c r="EF9" s="686"/>
      <c r="EG9" s="686"/>
      <c r="EH9" s="686"/>
      <c r="EI9" s="686"/>
      <c r="EJ9" s="686"/>
      <c r="EK9" s="686"/>
      <c r="EL9" s="686"/>
      <c r="EM9" s="686"/>
      <c r="EN9" s="686"/>
      <c r="EO9" s="686"/>
      <c r="EP9" s="686"/>
      <c r="EQ9" s="686"/>
      <c r="ER9" s="686"/>
      <c r="ES9" s="686"/>
      <c r="ET9" s="686"/>
      <c r="EU9" s="686"/>
      <c r="EV9" s="686"/>
      <c r="EW9" s="686"/>
      <c r="EX9" s="686"/>
      <c r="EY9" s="686"/>
      <c r="EZ9" s="686"/>
      <c r="FA9" s="686"/>
      <c r="FB9" s="686"/>
      <c r="FC9" s="686"/>
      <c r="FD9" s="686"/>
      <c r="FE9" s="686"/>
      <c r="FF9" s="686"/>
      <c r="FG9" s="686"/>
      <c r="FH9" s="686"/>
      <c r="FI9" s="686"/>
      <c r="FJ9" s="686"/>
      <c r="FK9" s="686"/>
      <c r="FL9" s="686"/>
      <c r="FM9" s="686"/>
      <c r="FN9" s="686"/>
      <c r="FO9" s="686"/>
      <c r="FP9" s="686"/>
      <c r="FQ9" s="686"/>
      <c r="FR9" s="686"/>
      <c r="FS9" s="686"/>
      <c r="FT9" s="686"/>
      <c r="FU9" s="686"/>
      <c r="FV9" s="686"/>
      <c r="FW9" s="686"/>
      <c r="FX9" s="686"/>
      <c r="FY9" s="686"/>
      <c r="FZ9" s="686"/>
      <c r="GA9" s="686"/>
      <c r="GB9" s="686"/>
      <c r="GC9" s="686"/>
      <c r="GD9" s="686"/>
      <c r="GE9" s="686"/>
      <c r="GF9" s="686"/>
      <c r="GG9" s="686"/>
      <c r="GH9" s="686"/>
      <c r="GI9" s="686"/>
      <c r="GJ9" s="686"/>
      <c r="GK9" s="686"/>
      <c r="GL9" s="686"/>
      <c r="GM9" s="686"/>
      <c r="GN9" s="686"/>
      <c r="GO9" s="686"/>
      <c r="GP9" s="686"/>
      <c r="GQ9" s="686"/>
      <c r="GR9" s="686"/>
      <c r="GS9" s="686"/>
      <c r="GT9" s="686"/>
      <c r="GU9" s="686"/>
      <c r="GV9" s="686"/>
      <c r="GW9" s="686"/>
      <c r="GX9" s="686"/>
      <c r="GY9" s="686"/>
      <c r="GZ9" s="686"/>
      <c r="HA9" s="686"/>
      <c r="HB9" s="686"/>
      <c r="HC9" s="686"/>
      <c r="HD9" s="686"/>
      <c r="HE9" s="686"/>
      <c r="HF9" s="686"/>
      <c r="HG9" s="686"/>
      <c r="HH9" s="686"/>
      <c r="HI9" s="686"/>
      <c r="HJ9" s="686"/>
      <c r="HK9" s="686"/>
      <c r="HL9" s="686"/>
      <c r="HM9" s="686"/>
      <c r="HN9" s="686"/>
      <c r="HO9" s="686"/>
      <c r="HP9" s="686"/>
      <c r="HQ9" s="686"/>
      <c r="HR9" s="686"/>
      <c r="HS9" s="686"/>
      <c r="HT9" s="686"/>
      <c r="HU9" s="686"/>
      <c r="HV9" s="686"/>
      <c r="HW9" s="686"/>
      <c r="HX9" s="686"/>
      <c r="HY9" s="686"/>
      <c r="HZ9" s="686"/>
      <c r="IA9" s="686"/>
      <c r="IB9" s="686"/>
      <c r="IC9" s="686"/>
      <c r="ID9" s="686"/>
      <c r="IE9" s="686"/>
      <c r="IF9" s="686"/>
      <c r="IG9" s="686"/>
      <c r="IH9" s="686"/>
      <c r="II9" s="686"/>
      <c r="IJ9" s="686"/>
      <c r="IK9" s="686"/>
      <c r="IL9" s="686"/>
      <c r="IM9" s="686"/>
      <c r="IN9" s="686"/>
      <c r="IO9" s="686"/>
      <c r="IP9" s="686"/>
      <c r="IQ9" s="686"/>
      <c r="IR9" s="686"/>
      <c r="IS9" s="686"/>
      <c r="IT9" s="686"/>
      <c r="IU9" s="686"/>
      <c r="IV9" s="686"/>
      <c r="IW9" s="686"/>
    </row>
    <row r="10" customFormat="false" ht="12.6" hidden="false" customHeight="true" outlineLevel="0" collapsed="false">
      <c r="A10" s="418"/>
      <c r="B10" s="417" t="s">
        <v>481</v>
      </c>
      <c r="D10" s="438" t="n">
        <f aca="false">Operations!C31*'PPA Assumptions &amp; Summary'!C12/1000</f>
        <v>16236.81696</v>
      </c>
      <c r="E10" s="438" t="n">
        <f aca="false">Operations!D31*'PPA Assumptions &amp; Summary'!D12/1000</f>
        <v>16558.24716</v>
      </c>
      <c r="F10" s="438" t="n">
        <f aca="false">Operations!E31*'PPA Assumptions &amp; Summary'!E12/1000</f>
        <v>16787.84016</v>
      </c>
      <c r="G10" s="438" t="n">
        <f aca="false">Operations!F31*'PPA Assumptions &amp; Summary'!F12/1000</f>
        <v>16787.84016</v>
      </c>
      <c r="H10" s="438" t="n">
        <f aca="false">Operations!G31*'PPA Assumptions &amp; Summary'!G12/1000</f>
        <v>17658.7174295653</v>
      </c>
      <c r="I10" s="438" t="n">
        <f aca="false">Operations!H31*'PPA Assumptions &amp; Summary'!H12/1000</f>
        <v>18129.69185664</v>
      </c>
      <c r="J10" s="438" t="n">
        <f aca="false">Operations!I31*'PPA Assumptions &amp; Summary'!I12/1000</f>
        <v>18129.69185664</v>
      </c>
      <c r="K10" s="438" t="n">
        <f aca="false">Operations!J31*'PPA Assumptions &amp; Summary'!J12/1000</f>
        <v>18129.69185664</v>
      </c>
      <c r="L10" s="438" t="n">
        <f aca="false">Operations!K31*'PPA Assumptions &amp; Summary'!K12/1000</f>
        <v>18129.69185664</v>
      </c>
      <c r="M10" s="438" t="n">
        <f aca="false">Operations!L31*'PPA Assumptions &amp; Summary'!L12/1000</f>
        <v>18129.69185664</v>
      </c>
      <c r="N10" s="438" t="n">
        <f aca="false">Operations!M31*'PPA Assumptions &amp; Summary'!M12/1000</f>
        <v>18129.69185664</v>
      </c>
      <c r="O10" s="438" t="n">
        <f aca="false">Operations!N31*'PPA Assumptions &amp; Summary'!N12/1000</f>
        <v>18129.69185664</v>
      </c>
      <c r="P10" s="438" t="n">
        <f aca="false">Operations!O31*'PPA Assumptions &amp; Summary'!O12/1000</f>
        <v>18129.69185664</v>
      </c>
      <c r="Q10" s="438" t="n">
        <f aca="false">Operations!P31*'PPA Assumptions &amp; Summary'!P12/1000</f>
        <v>18129.69185664</v>
      </c>
      <c r="R10" s="438" t="n">
        <f aca="false">Operations!Q31*'PPA Assumptions &amp; Summary'!Q12/1000</f>
        <v>18129.69185664</v>
      </c>
      <c r="S10" s="438" t="n">
        <f aca="false">Operations!R31*'PPA Assumptions &amp; Summary'!R12/1000</f>
        <v>18129.69185664</v>
      </c>
      <c r="T10" s="438" t="n">
        <f aca="false">Operations!S31*'PPA Assumptions &amp; Summary'!S12/1000</f>
        <v>18129.69185664</v>
      </c>
      <c r="U10" s="438" t="n">
        <f aca="false">Operations!T31*'PPA Assumptions &amp; Summary'!T12/1000</f>
        <v>18129.69185664</v>
      </c>
      <c r="V10" s="438" t="n">
        <f aca="false">Operations!U31*'PPA Assumptions &amp; Summary'!U12/1000</f>
        <v>18129.69185664</v>
      </c>
      <c r="W10" s="438" t="n">
        <f aca="false">Operations!V31*'PPA Assumptions &amp; Summary'!V12/1000</f>
        <v>18129.69185664</v>
      </c>
      <c r="X10" s="439" t="n">
        <f aca="false">Operations!W31*'PPA Assumptions &amp; Summary'!W12/1000</f>
        <v>18129.69185664</v>
      </c>
      <c r="Y10" s="703"/>
      <c r="Z10" s="703"/>
      <c r="AA10" s="703"/>
      <c r="AB10" s="703"/>
      <c r="AC10" s="686"/>
      <c r="AD10" s="498"/>
      <c r="AF10" s="686"/>
      <c r="AG10" s="686"/>
      <c r="AH10" s="686"/>
      <c r="AI10" s="686"/>
      <c r="AJ10" s="686"/>
      <c r="AK10" s="686"/>
      <c r="AL10" s="686"/>
      <c r="AM10" s="686"/>
      <c r="AN10" s="686"/>
      <c r="AO10" s="686"/>
      <c r="AP10" s="686"/>
      <c r="AQ10" s="686"/>
      <c r="AR10" s="686"/>
      <c r="AS10" s="686"/>
      <c r="AT10" s="686"/>
      <c r="AU10" s="686"/>
      <c r="AV10" s="686"/>
      <c r="AW10" s="686"/>
      <c r="AX10" s="686"/>
      <c r="AY10" s="686"/>
      <c r="AZ10" s="686"/>
      <c r="BA10" s="686"/>
      <c r="BB10" s="686"/>
      <c r="BC10" s="686"/>
      <c r="BD10" s="686"/>
      <c r="BE10" s="686"/>
      <c r="BF10" s="686"/>
      <c r="BG10" s="686"/>
      <c r="BH10" s="686"/>
      <c r="BI10" s="686"/>
      <c r="BJ10" s="686"/>
      <c r="BK10" s="686"/>
      <c r="BL10" s="686"/>
      <c r="BM10" s="686"/>
      <c r="BN10" s="686"/>
      <c r="BO10" s="686"/>
      <c r="BP10" s="686"/>
      <c r="BQ10" s="686"/>
      <c r="BR10" s="686"/>
      <c r="BS10" s="686"/>
      <c r="BT10" s="686"/>
      <c r="BU10" s="686"/>
      <c r="BV10" s="686"/>
      <c r="BW10" s="686"/>
      <c r="BX10" s="686"/>
      <c r="BY10" s="686"/>
      <c r="BZ10" s="686"/>
      <c r="CA10" s="686"/>
      <c r="CB10" s="686"/>
      <c r="CC10" s="686"/>
      <c r="CD10" s="686"/>
      <c r="CE10" s="686"/>
      <c r="CF10" s="686"/>
      <c r="CG10" s="686"/>
      <c r="CH10" s="686"/>
      <c r="CI10" s="686"/>
      <c r="CJ10" s="686"/>
      <c r="CK10" s="686"/>
      <c r="CL10" s="686"/>
      <c r="CM10" s="686"/>
      <c r="CN10" s="686"/>
      <c r="CO10" s="686"/>
      <c r="CP10" s="686"/>
      <c r="CQ10" s="686"/>
      <c r="CR10" s="686"/>
      <c r="CS10" s="686"/>
      <c r="CT10" s="686"/>
      <c r="CU10" s="686"/>
      <c r="CV10" s="686"/>
      <c r="CW10" s="686"/>
      <c r="CX10" s="686"/>
      <c r="CY10" s="686"/>
      <c r="CZ10" s="686"/>
      <c r="DA10" s="686"/>
      <c r="DB10" s="686"/>
      <c r="DC10" s="686"/>
      <c r="DD10" s="686"/>
      <c r="DE10" s="686"/>
      <c r="DF10" s="686"/>
      <c r="DG10" s="686"/>
      <c r="DH10" s="686"/>
      <c r="DI10" s="686"/>
      <c r="DJ10" s="686"/>
      <c r="DK10" s="686"/>
      <c r="DL10" s="686"/>
      <c r="DM10" s="686"/>
      <c r="DN10" s="686"/>
      <c r="DO10" s="686"/>
      <c r="DP10" s="686"/>
      <c r="DQ10" s="686"/>
      <c r="DR10" s="686"/>
      <c r="DS10" s="686"/>
      <c r="DT10" s="686"/>
      <c r="DU10" s="686"/>
      <c r="DV10" s="686"/>
      <c r="DW10" s="686"/>
      <c r="DX10" s="686"/>
      <c r="DY10" s="686"/>
      <c r="DZ10" s="686"/>
      <c r="EA10" s="686"/>
      <c r="EB10" s="686"/>
      <c r="EC10" s="686"/>
      <c r="ED10" s="686"/>
      <c r="EE10" s="686"/>
      <c r="EF10" s="686"/>
      <c r="EG10" s="686"/>
      <c r="EH10" s="686"/>
      <c r="EI10" s="686"/>
      <c r="EJ10" s="686"/>
      <c r="EK10" s="686"/>
      <c r="EL10" s="686"/>
      <c r="EM10" s="686"/>
      <c r="EN10" s="686"/>
      <c r="EO10" s="686"/>
      <c r="EP10" s="686"/>
      <c r="EQ10" s="686"/>
      <c r="ER10" s="686"/>
      <c r="ES10" s="686"/>
      <c r="ET10" s="686"/>
      <c r="EU10" s="686"/>
      <c r="EV10" s="686"/>
      <c r="EW10" s="686"/>
      <c r="EX10" s="686"/>
      <c r="EY10" s="686"/>
      <c r="EZ10" s="686"/>
      <c r="FA10" s="686"/>
      <c r="FB10" s="686"/>
      <c r="FC10" s="686"/>
      <c r="FD10" s="686"/>
      <c r="FE10" s="686"/>
      <c r="FF10" s="686"/>
      <c r="FG10" s="686"/>
      <c r="FH10" s="686"/>
      <c r="FI10" s="686"/>
      <c r="FJ10" s="686"/>
      <c r="FK10" s="686"/>
      <c r="FL10" s="686"/>
      <c r="FM10" s="686"/>
      <c r="FN10" s="686"/>
      <c r="FO10" s="686"/>
      <c r="FP10" s="686"/>
      <c r="FQ10" s="686"/>
      <c r="FR10" s="686"/>
      <c r="FS10" s="686"/>
      <c r="FT10" s="686"/>
      <c r="FU10" s="686"/>
      <c r="FV10" s="686"/>
      <c r="FW10" s="686"/>
      <c r="FX10" s="686"/>
      <c r="FY10" s="686"/>
      <c r="FZ10" s="686"/>
      <c r="GA10" s="686"/>
      <c r="GB10" s="686"/>
      <c r="GC10" s="686"/>
      <c r="GD10" s="686"/>
      <c r="GE10" s="686"/>
      <c r="GF10" s="686"/>
      <c r="GG10" s="686"/>
      <c r="GH10" s="686"/>
      <c r="GI10" s="686"/>
      <c r="GJ10" s="686"/>
      <c r="GK10" s="686"/>
      <c r="GL10" s="686"/>
      <c r="GM10" s="686"/>
      <c r="GN10" s="686"/>
      <c r="GO10" s="686"/>
      <c r="GP10" s="686"/>
      <c r="GQ10" s="686"/>
      <c r="GR10" s="686"/>
      <c r="GS10" s="686"/>
      <c r="GT10" s="686"/>
      <c r="GU10" s="686"/>
      <c r="GV10" s="686"/>
      <c r="GW10" s="686"/>
      <c r="GX10" s="686"/>
      <c r="GY10" s="686"/>
      <c r="GZ10" s="686"/>
      <c r="HA10" s="686"/>
      <c r="HB10" s="686"/>
      <c r="HC10" s="686"/>
      <c r="HD10" s="686"/>
      <c r="HE10" s="686"/>
      <c r="HF10" s="686"/>
      <c r="HG10" s="686"/>
      <c r="HH10" s="686"/>
      <c r="HI10" s="686"/>
      <c r="HJ10" s="686"/>
      <c r="HK10" s="686"/>
      <c r="HL10" s="686"/>
      <c r="HM10" s="686"/>
      <c r="HN10" s="686"/>
      <c r="HO10" s="686"/>
      <c r="HP10" s="686"/>
      <c r="HQ10" s="686"/>
      <c r="HR10" s="686"/>
      <c r="HS10" s="686"/>
      <c r="HT10" s="686"/>
      <c r="HU10" s="686"/>
      <c r="HV10" s="686"/>
      <c r="HW10" s="686"/>
      <c r="HX10" s="686"/>
      <c r="HY10" s="686"/>
      <c r="HZ10" s="686"/>
      <c r="IA10" s="686"/>
      <c r="IB10" s="686"/>
      <c r="IC10" s="686"/>
      <c r="ID10" s="686"/>
      <c r="IE10" s="686"/>
      <c r="IF10" s="686"/>
      <c r="IG10" s="686"/>
      <c r="IH10" s="686"/>
      <c r="II10" s="686"/>
      <c r="IJ10" s="686"/>
      <c r="IK10" s="686"/>
      <c r="IL10" s="686"/>
      <c r="IM10" s="686"/>
      <c r="IN10" s="686"/>
      <c r="IO10" s="686"/>
      <c r="IP10" s="686"/>
      <c r="IQ10" s="686"/>
      <c r="IR10" s="686"/>
      <c r="IS10" s="686"/>
      <c r="IT10" s="686"/>
      <c r="IU10" s="686"/>
      <c r="IV10" s="686"/>
      <c r="IW10" s="686"/>
    </row>
    <row r="11" customFormat="false" ht="12.6" hidden="false" customHeight="true" outlineLevel="0" collapsed="false">
      <c r="A11" s="450" t="n">
        <v>1</v>
      </c>
      <c r="B11" s="712" t="s">
        <v>482</v>
      </c>
      <c r="C11" s="418"/>
      <c r="D11" s="438" t="n">
        <f aca="false">(Operations!C8*'PPA Assumptions &amp; Summary'!C13*D6)+((Operations!C17*(1-Cap_Factor_Energy))*'PPA Assumptions &amp; Summary'!C14*D7)</f>
        <v>8840</v>
      </c>
      <c r="E11" s="438" t="n">
        <f aca="false">(Operations!D8*'PPA Assumptions &amp; Summary'!D13*E6)+((Operations!D17*(1-Cap_Factor_Energy))*'PPA Assumptions &amp; Summary'!D14*E7)</f>
        <v>21636</v>
      </c>
      <c r="F11" s="438" t="n">
        <f aca="false">(Operations!E8*'PPA Assumptions &amp; Summary'!E13*F6)+((Operations!E17*(1-Cap_Factor_Energy))*'PPA Assumptions &amp; Summary'!E14*F7)</f>
        <v>21936</v>
      </c>
      <c r="G11" s="438" t="n">
        <f aca="false">(Operations!F8*'PPA Assumptions &amp; Summary'!F13*G6)+((Operations!F17*(1-Cap_Factor_Energy))*'PPA Assumptions &amp; Summary'!F14*G7)</f>
        <v>21936</v>
      </c>
      <c r="H11" s="438" t="n">
        <f aca="false">(Operations!G8*'PPA Assumptions &amp; Summary'!G13*H6)+((Operations!G17*(1-Cap_Factor_Energy))*'PPA Assumptions &amp; Summary'!G14*H7)</f>
        <v>28437.1335264308</v>
      </c>
      <c r="I11" s="438" t="n">
        <f aca="false">(Operations!H8*'PPA Assumptions &amp; Summary'!H13*I6)+((Operations!H17*(1-Cap_Factor_Energy))*'PPA Assumptions &amp; Summary'!H14*I7)</f>
        <v>33495.7120639896</v>
      </c>
      <c r="J11" s="438" t="n">
        <f aca="false">(Operations!I8*'PPA Assumptions &amp; Summary'!I13*J6)+((Operations!I17*(1-Cap_Factor_Energy))*'PPA Assumptions &amp; Summary'!I14*J7)</f>
        <v>33905.7457806349</v>
      </c>
      <c r="K11" s="438" t="n">
        <f aca="false">(Operations!J8*'PPA Assumptions &amp; Summary'!J13*K6)+((Operations!J17*(1-Cap_Factor_Energy))*'PPA Assumptions &amp; Summary'!J14*K7)</f>
        <v>34310.2353794215</v>
      </c>
      <c r="L11" s="438" t="n">
        <f aca="false">(Operations!K8*'PPA Assumptions &amp; Summary'!K13*L6)+((Operations!K17*(1-Cap_Factor_Energy))*'PPA Assumptions &amp; Summary'!K14*L7)</f>
        <v>35339.5424408041</v>
      </c>
      <c r="M11" s="438" t="n">
        <f aca="false">(Operations!L8*'PPA Assumptions &amp; Summary'!L13*M6)+((Operations!L17*(1-Cap_Factor_Energy))*'PPA Assumptions &amp; Summary'!L14*M7)</f>
        <v>35749.7335584206</v>
      </c>
      <c r="N11" s="438" t="n">
        <f aca="false">(Operations!M8*'PPA Assumptions &amp; Summary'!M13*N6)+((Operations!M17*(1-Cap_Factor_Energy))*'PPA Assumptions &amp; Summary'!M14*N7)</f>
        <v>36822.2255651732</v>
      </c>
      <c r="O11" s="438" t="n">
        <f aca="false">(Operations!N8*'PPA Assumptions &amp; Summary'!N13*O6)+((Operations!N17*(1-Cap_Factor_Energy))*'PPA Assumptions &amp; Summary'!N14*O7)</f>
        <v>37237.3124715443</v>
      </c>
      <c r="P11" s="438" t="n">
        <f aca="false">(Operations!O8*'PPA Assumptions &amp; Summary'!O13*P6)+((Operations!O17*(1-Cap_Factor_Energy))*'PPA Assumptions &amp; Summary'!O14*P7)</f>
        <v>38354.4318456906</v>
      </c>
      <c r="Q11" s="438" t="n">
        <f aca="false">(Operations!P8*'PPA Assumptions &amp; Summary'!P13*Q6)+((Operations!P17*(1-Cap_Factor_Energy))*'PPA Assumptions &amp; Summary'!P14*Q7)</f>
        <v>38773.4895269676</v>
      </c>
      <c r="R11" s="438" t="n">
        <f aca="false">(Operations!Q8*'PPA Assumptions &amp; Summary'!Q13*R6)+((Operations!Q17*(1-Cap_Factor_Energy))*'PPA Assumptions &amp; Summary'!Q14*R7)</f>
        <v>39183.1716804601</v>
      </c>
      <c r="S11" s="438" t="n">
        <f aca="false">(Operations!R8*'PPA Assumptions &amp; Summary'!R13*S6)+((Operations!R17*(1-Cap_Factor_Energy))*'PPA Assumptions &amp; Summary'!R14*S7)</f>
        <v>39582.5386225878</v>
      </c>
      <c r="T11" s="438" t="n">
        <f aca="false">(Operations!S8*'PPA Assumptions &amp; Summary'!S13*T6)+((Operations!S17*(1-Cap_Factor_Energy))*'PPA Assumptions &amp; Summary'!S14*T7)</f>
        <v>39970.6027267308</v>
      </c>
      <c r="U11" s="438" t="n">
        <f aca="false">(Operations!T8*'PPA Assumptions &amp; Summary'!T13*U6)+((Operations!T17*(1-Cap_Factor_Energy))*'PPA Assumptions &amp; Summary'!T14*U7)</f>
        <v>40346.3263923621</v>
      </c>
      <c r="V11" s="438" t="n">
        <f aca="false">(Operations!U8*'PPA Assumptions &amp; Summary'!U13*V6)+((Operations!U17*(1-Cap_Factor_Energy))*'PPA Assumptions &amp; Summary'!U14*V7)</f>
        <v>40708.6199354772</v>
      </c>
      <c r="W11" s="438" t="n">
        <f aca="false">(Operations!V8*'PPA Assumptions &amp; Summary'!V13*W6)+((Operations!V17*(1-Cap_Factor_Energy))*'PPA Assumptions &amp; Summary'!V14*W7)</f>
        <v>41056.3393974261</v>
      </c>
      <c r="X11" s="439" t="n">
        <f aca="false">(Operations!W8*'PPA Assumptions &amp; Summary'!W13*X6)+((Operations!W17*(1-Cap_Factor_Energy))*'PPA Assumptions &amp; Summary'!W14*X7)</f>
        <v>41388.2842691499</v>
      </c>
    </row>
    <row r="12" customFormat="false" ht="12.6" hidden="false" customHeight="true" outlineLevel="0" collapsed="false">
      <c r="B12" s="712" t="s">
        <v>483</v>
      </c>
      <c r="C12" s="418"/>
      <c r="D12" s="438" t="n">
        <f aca="false">(Operations!C12+Operations!C22)*'PPA Assumptions &amp; Summary'!C24/1000</f>
        <v>472.12</v>
      </c>
      <c r="E12" s="438" t="n">
        <f aca="false">(Operations!D12+Operations!D22)*'PPA Assumptions &amp; Summary'!D24/1000</f>
        <v>495.910254977376</v>
      </c>
      <c r="F12" s="438" t="n">
        <f aca="false">(Operations!E12+Operations!E22)*'PPA Assumptions &amp; Summary'!E24/1000</f>
        <v>517.870030217195</v>
      </c>
      <c r="G12" s="438" t="n">
        <f aca="false">(Operations!F12+Operations!F22)*'PPA Assumptions &amp; Summary'!F24/1000</f>
        <v>533.406131123711</v>
      </c>
      <c r="H12" s="438" t="n">
        <f aca="false">(Operations!G12+Operations!G22)*'PPA Assumptions &amp; Summary'!G24/1000</f>
        <v>577.909135218536</v>
      </c>
      <c r="I12" s="438" t="n">
        <f aca="false">(Operations!H12+Operations!H22)*'PPA Assumptions &amp; Summary'!H24/1000</f>
        <v>611.122184947635</v>
      </c>
      <c r="J12" s="438" t="n">
        <f aca="false">(Operations!I12+Operations!I22)*'PPA Assumptions &amp; Summary'!I24/1000</f>
        <v>629.455850496064</v>
      </c>
      <c r="K12" s="438" t="n">
        <f aca="false">(Operations!J12+Operations!J22)*'PPA Assumptions &amp; Summary'!J24/1000</f>
        <v>648.339526010946</v>
      </c>
      <c r="L12" s="438" t="n">
        <f aca="false">(Operations!K12+Operations!K22)*'PPA Assumptions &amp; Summary'!K24/1000</f>
        <v>667.789711791274</v>
      </c>
      <c r="M12" s="438" t="n">
        <f aca="false">(Operations!L12+Operations!L22)*'PPA Assumptions &amp; Summary'!L24/1000</f>
        <v>687.823403145012</v>
      </c>
      <c r="N12" s="438" t="n">
        <f aca="false">(Operations!M12+Operations!M22)*'PPA Assumptions &amp; Summary'!M24/1000</f>
        <v>708.458105239363</v>
      </c>
      <c r="O12" s="438" t="n">
        <f aca="false">(Operations!N12+Operations!N22)*'PPA Assumptions &amp; Summary'!N24/1000</f>
        <v>729.711848396544</v>
      </c>
      <c r="P12" s="438" t="n">
        <f aca="false">(Operations!O12+Operations!O22)*'PPA Assumptions &amp; Summary'!O24/1000</f>
        <v>751.60320384844</v>
      </c>
      <c r="Q12" s="438" t="n">
        <f aca="false">(Operations!P12+Operations!P22)*'PPA Assumptions &amp; Summary'!P24/1000</f>
        <v>774.151299963893</v>
      </c>
      <c r="R12" s="438" t="n">
        <f aca="false">(Operations!Q12+Operations!Q22)*'PPA Assumptions &amp; Summary'!Q24/1000</f>
        <v>797.37583896281</v>
      </c>
      <c r="S12" s="438" t="n">
        <f aca="false">(Operations!R12+Operations!R22)*'PPA Assumptions &amp; Summary'!R24/1000</f>
        <v>821.297114131694</v>
      </c>
      <c r="T12" s="438" t="n">
        <f aca="false">(Operations!S12+Operations!S22)*'PPA Assumptions &amp; Summary'!S24/1000</f>
        <v>845.936027555645</v>
      </c>
      <c r="U12" s="438" t="n">
        <f aca="false">(Operations!T12+Operations!T22)*'PPA Assumptions &amp; Summary'!T24/1000</f>
        <v>871.314108382314</v>
      </c>
      <c r="V12" s="438" t="n">
        <f aca="false">(Operations!U12+Operations!U22)*'PPA Assumptions &amp; Summary'!U24/1000</f>
        <v>897.453531633784</v>
      </c>
      <c r="W12" s="438" t="n">
        <f aca="false">(Operations!V12+Operations!V22)*'PPA Assumptions &amp; Summary'!V24/1000</f>
        <v>924.377137582797</v>
      </c>
      <c r="X12" s="439" t="n">
        <f aca="false">(Operations!W12+Operations!W22)*'PPA Assumptions &amp; Summary'!W24/1000</f>
        <v>952.108451710282</v>
      </c>
    </row>
    <row r="13" customFormat="false" ht="12.6" hidden="false" customHeight="true" outlineLevel="0" collapsed="false">
      <c r="B13" s="712" t="s">
        <v>484</v>
      </c>
      <c r="C13" s="418"/>
      <c r="D13" s="438" t="n">
        <f aca="false">IF(D3&gt;ProjectLife+1,0,(Main_Start*'Project Assumptions'!$L$15*((1+Main_Escal)^('Book Income Statement'!D4-'Project Assumptions'!$N$6))+Fuel_Start*'Project Assumptions'!$L$16)/1000)+((Main_Start*1/3)*'Project Assumptions'!$L$15*((1+Main_Escal)^('Book Income Statement'!D4-'Project Assumptions'!$N$6))+Fuel_Start*'Project Assumptions'!$L$16)/1000*D7/12</f>
        <v>1349.28</v>
      </c>
      <c r="E13" s="438" t="n">
        <f aca="false">IF(E3&gt;ProjectLife+1,0,(Main_Start*'Project Assumptions'!$L$15*((1+Main_Escal)^('Book Income Statement'!E4-'Project Assumptions'!$N$6))+Fuel_Start*'Project Assumptions'!$L$16)/1000)*E6/12+((Main_Start*1/3)*'Project Assumptions'!$L$15*((1+Main_Escal)^('Book Income Statement'!E4-'Project Assumptions'!$N$6))+Fuel_Start*'Project Assumptions'!$L$16)/1000*E7/12</f>
        <v>1389.7584</v>
      </c>
      <c r="F13" s="438" t="n">
        <f aca="false">IF(F3&gt;ProjectLife+1,0,(Main_Start*'Project Assumptions'!$L$15*((1+Main_Escal)^('Book Income Statement'!F4-'Project Assumptions'!$N$6))+Fuel_Start*'Project Assumptions'!$L$16)/1000)*F6/12+((Main_Start*1/3)*'Project Assumptions'!$L$15*((1+Main_Escal)^('Book Income Statement'!F4-'Project Assumptions'!$N$6))+Fuel_Start*'Project Assumptions'!$L$16)/1000*F7/12</f>
        <v>1431.451152</v>
      </c>
      <c r="G13" s="438" t="n">
        <f aca="false">IF(G3&gt;ProjectLife+1,0,(Main_Start*'Project Assumptions'!$L$15*((1+Main_Escal)^('Book Income Statement'!G4-'Project Assumptions'!$N$6))+Fuel_Start*'Project Assumptions'!$L$16)/1000)*G6/12+((Main_Start*1/3)*'Project Assumptions'!$L$15*((1+Main_Escal)^('Book Income Statement'!G4-'Project Assumptions'!$N$6))+Fuel_Start*'Project Assumptions'!$L$16)/1000*G7/12</f>
        <v>1474.39468656</v>
      </c>
      <c r="H13" s="438" t="n">
        <f aca="false">IF(H3&gt;ProjectLife+1,0,(Main_Start*'Project Assumptions'!$L$15*((1+Main_Escal)^('Book Income Statement'!H4-'Project Assumptions'!$N$6))+Fuel_Start*'Project Assumptions'!$L$16)/1000)*H6/12+((Main_Start*1/3)*'Project Assumptions'!$L$15*((1+Main_Escal)^('Book Income Statement'!H4-'Project Assumptions'!$N$6))+Fuel_Start*'Project Assumptions'!$L$16)/1000*H7/12</f>
        <v>928.0495443736</v>
      </c>
      <c r="I13" s="438" t="n">
        <f aca="false">IF(I3&gt;ProjectLife+1,0,(Main_Start*'Project Assumptions'!$L$15*((1+Main_Escal)^('Book Income Statement'!I4-'Project Assumptions'!$N$6))+Fuel_Start*'Project Assumptions'!$L$16)/1000)*I6/12+((Main_Start*1/3)*'Project Assumptions'!$L$15*((1+Main_Escal)^('Book Income Statement'!I4-'Project Assumptions'!$N$6))+Fuel_Start*'Project Assumptions'!$L$16)/1000*I7/12</f>
        <v>521.395107657168</v>
      </c>
      <c r="J13" s="438" t="n">
        <f aca="false">IF(J3&gt;ProjectLife+1,0,(Main_Start*'Project Assumptions'!$L$15*((1+Main_Escal)^('Book Income Statement'!J4-'Project Assumptions'!$N$6))+Fuel_Start*'Project Assumptions'!$L$16)/1000)*J6/12+((Main_Start*1/3)*'Project Assumptions'!$L$15*((1+Main_Escal)^('Book Income Statement'!J4-'Project Assumptions'!$N$6))+Fuel_Start*'Project Assumptions'!$L$16)/1000*J7/12</f>
        <v>537.036960886883</v>
      </c>
      <c r="K13" s="438" t="n">
        <f aca="false">IF(K3&gt;ProjectLife+1,0,(Main_Start*'Project Assumptions'!$L$15*((1+Main_Escal)^('Book Income Statement'!K4-'Project Assumptions'!$N$6))+Fuel_Start*'Project Assumptions'!$L$16)/1000)*K6/12+((Main_Start*1/3)*'Project Assumptions'!$L$15*((1+Main_Escal)^('Book Income Statement'!K4-'Project Assumptions'!$N$6))+Fuel_Start*'Project Assumptions'!$L$16)/1000*K7/12</f>
        <v>553.14806971349</v>
      </c>
      <c r="L13" s="438" t="n">
        <f aca="false">IF(L3&gt;ProjectLife+1,0,(Main_Start*'Project Assumptions'!$L$15*((1+Main_Escal)^('Book Income Statement'!L4-'Project Assumptions'!$N$6))+Fuel_Start*'Project Assumptions'!$L$16)/1000)*L6/12+((Main_Start*1/3)*'Project Assumptions'!$L$15*((1+Main_Escal)^('Book Income Statement'!L4-'Project Assumptions'!$N$6))+Fuel_Start*'Project Assumptions'!$L$16)/1000*L7/12</f>
        <v>569.742511804894</v>
      </c>
      <c r="M13" s="438" t="n">
        <f aca="false">IF(M3&gt;ProjectLife+1,0,(Main_Start*'Project Assumptions'!$L$15*((1+Main_Escal)^('Book Income Statement'!M4-'Project Assumptions'!$N$6))+Fuel_Start*'Project Assumptions'!$L$16)/1000)*M6/12+((Main_Start*1/3)*'Project Assumptions'!$L$15*((1+Main_Escal)^('Book Income Statement'!M4-'Project Assumptions'!$N$6))+Fuel_Start*'Project Assumptions'!$L$16)/1000*M7/12</f>
        <v>586.834787159041</v>
      </c>
      <c r="N13" s="438" t="n">
        <f aca="false">IF(N3&gt;ProjectLife+1,0,(Main_Start*'Project Assumptions'!$L$15*((1+Main_Escal)^('Book Income Statement'!N4-'Project Assumptions'!$N$6))+Fuel_Start*'Project Assumptions'!$L$16)/1000)*N6/12+((Main_Start*1/3)*'Project Assumptions'!$L$15*((1+Main_Escal)^('Book Income Statement'!N4-'Project Assumptions'!$N$6))+Fuel_Start*'Project Assumptions'!$L$16)/1000*N7/12</f>
        <v>604.439830773812</v>
      </c>
      <c r="O13" s="438" t="n">
        <f aca="false">IF(O3&gt;ProjectLife+1,0,(Main_Start*'Project Assumptions'!$L$15*((1+Main_Escal)^('Book Income Statement'!O4-'Project Assumptions'!$N$6))+Fuel_Start*'Project Assumptions'!$L$16)/1000)*O6/12+((Main_Start*1/3)*'Project Assumptions'!$L$15*((1+Main_Escal)^('Book Income Statement'!O4-'Project Assumptions'!$N$6))+Fuel_Start*'Project Assumptions'!$L$16)/1000*O7/12</f>
        <v>622.573025697027</v>
      </c>
      <c r="P13" s="438" t="n">
        <f aca="false">IF(P3&gt;ProjectLife+1,0,(Main_Start*'Project Assumptions'!$L$15*((1+Main_Escal)^('Book Income Statement'!P4-'Project Assumptions'!$N$6))+Fuel_Start*'Project Assumptions'!$L$16)/1000)*P6/12+((Main_Start*1/3)*'Project Assumptions'!$L$15*((1+Main_Escal)^('Book Income Statement'!P4-'Project Assumptions'!$N$6))+Fuel_Start*'Project Assumptions'!$L$16)/1000*P7/12</f>
        <v>641.250216467938</v>
      </c>
      <c r="Q13" s="438" t="n">
        <f aca="false">IF(Q3&gt;ProjectLife+1,0,(Main_Start*'Project Assumptions'!$L$15*((1+Main_Escal)^('Book Income Statement'!Q4-'Project Assumptions'!$N$6))+Fuel_Start*'Project Assumptions'!$L$16)/1000)*Q6/12+((Main_Start*1/3)*'Project Assumptions'!$L$15*((1+Main_Escal)^('Book Income Statement'!Q4-'Project Assumptions'!$N$6))+Fuel_Start*'Project Assumptions'!$L$16)/1000*Q7/12</f>
        <v>660.487722961976</v>
      </c>
      <c r="R13" s="438" t="n">
        <f aca="false">IF(R3&gt;ProjectLife+1,0,(Main_Start*'Project Assumptions'!$L$15*((1+Main_Escal)^('Book Income Statement'!R4-'Project Assumptions'!$N$6))+Fuel_Start*'Project Assumptions'!$L$16)/1000)*R6/12+((Main_Start*1/3)*'Project Assumptions'!$L$15*((1+Main_Escal)^('Book Income Statement'!R4-'Project Assumptions'!$N$6))+Fuel_Start*'Project Assumptions'!$L$16)/1000*R7/12</f>
        <v>680.302354650835</v>
      </c>
      <c r="S13" s="438" t="n">
        <f aca="false">IF(S3&gt;ProjectLife+1,0,(Main_Start*'Project Assumptions'!$L$15*((1+Main_Escal)^('Book Income Statement'!S4-'Project Assumptions'!$N$6))+Fuel_Start*'Project Assumptions'!$L$16)/1000)*S6/12+((Main_Start*1/3)*'Project Assumptions'!$L$15*((1+Main_Escal)^('Book Income Statement'!S4-'Project Assumptions'!$N$6))+Fuel_Start*'Project Assumptions'!$L$16)/1000*S7/12</f>
        <v>700.71142529036</v>
      </c>
      <c r="T13" s="438" t="n">
        <f aca="false">IF(T3&gt;ProjectLife+1,0,(Main_Start*'Project Assumptions'!$L$15*((1+Main_Escal)^('Book Income Statement'!T4-'Project Assumptions'!$N$6))+Fuel_Start*'Project Assumptions'!$L$16)/1000)*T6/12+((Main_Start*1/3)*'Project Assumptions'!$L$15*((1+Main_Escal)^('Book Income Statement'!T4-'Project Assumptions'!$N$6))+Fuel_Start*'Project Assumptions'!$L$16)/1000*T7/12</f>
        <v>721.732768049071</v>
      </c>
      <c r="U13" s="438" t="n">
        <f aca="false">IF(U3&gt;ProjectLife+1,0,(Main_Start*'Project Assumptions'!$L$15*((1+Main_Escal)^('Book Income Statement'!U4-'Project Assumptions'!$N$6))+Fuel_Start*'Project Assumptions'!$L$16)/1000)*U6/12+((Main_Start*1/3)*'Project Assumptions'!$L$15*((1+Main_Escal)^('Book Income Statement'!U4-'Project Assumptions'!$N$6))+Fuel_Start*'Project Assumptions'!$L$16)/1000*U7/12</f>
        <v>743.384751090543</v>
      </c>
      <c r="V13" s="438" t="n">
        <f aca="false">IF(V3&gt;ProjectLife+1,0,(Main_Start*'Project Assumptions'!$L$15*((1+Main_Escal)^('Book Income Statement'!V4-'Project Assumptions'!$N$6))+Fuel_Start*'Project Assumptions'!$L$16)/1000)*V6/12+((Main_Start*1/3)*'Project Assumptions'!$L$15*((1+Main_Escal)^('Book Income Statement'!V4-'Project Assumptions'!$N$6))+Fuel_Start*'Project Assumptions'!$L$16)/1000*V7/12</f>
        <v>765.68629362326</v>
      </c>
      <c r="W13" s="438" t="n">
        <f aca="false">IF(W3&gt;ProjectLife+1,0,(Main_Start*'Project Assumptions'!$L$15*((1+Main_Escal)^('Book Income Statement'!W4-'Project Assumptions'!$N$6))+Fuel_Start*'Project Assumptions'!$L$16)/1000)*W6/12+((Main_Start*1/3)*'Project Assumptions'!$L$15*((1+Main_Escal)^('Book Income Statement'!W4-'Project Assumptions'!$N$6))+Fuel_Start*'Project Assumptions'!$L$16)/1000*W7/12</f>
        <v>788.656882431957</v>
      </c>
      <c r="X13" s="439" t="n">
        <f aca="false">IF(X3&gt;ProjectLife+1,0,(Main_Start*'Project Assumptions'!$L$15*((1+Main_Escal)^('Book Income Statement'!X4-'Project Assumptions'!$N$6))+Fuel_Start*'Project Assumptions'!$L$16)/1000)*X6/12+((Main_Start*1/3)*'Project Assumptions'!$L$15*((1+Main_Escal)^('Book Income Statement'!X4-'Project Assumptions'!$N$6))+Fuel_Start*'Project Assumptions'!$L$16)/1000</f>
        <v>812.316588904916</v>
      </c>
    </row>
    <row r="14" customFormat="false" ht="12.6" hidden="false" customHeight="true" outlineLevel="0" collapsed="false">
      <c r="B14" s="417" t="s">
        <v>485</v>
      </c>
      <c r="D14" s="441" t="n">
        <f aca="false">Operations!C20*AnnualHours*(Energy_Margin)/1000*D7/12</f>
        <v>0</v>
      </c>
      <c r="E14" s="441" t="n">
        <f aca="false">Operations!D20*AnnualHours*(Energy_Margin)/1000*E7/12</f>
        <v>0</v>
      </c>
      <c r="F14" s="441" t="n">
        <f aca="false">Operations!E20*AnnualHours*(Energy_Margin)/1000*F7/12</f>
        <v>0</v>
      </c>
      <c r="G14" s="441" t="n">
        <f aca="false">Operations!F20*AnnualHours*(Energy_Margin)/1000*G7/12</f>
        <v>0</v>
      </c>
      <c r="H14" s="441" t="n">
        <f aca="false">Operations!G20*AnnualHours*(Energy_Margin)/1000*H7/12</f>
        <v>4.03047866666667</v>
      </c>
      <c r="I14" s="441" t="n">
        <f aca="false">Operations!H20*AnnualHours*(Energy_Margin)/1000*I7/12</f>
        <v>11.844672</v>
      </c>
      <c r="J14" s="441" t="n">
        <f aca="false">Operations!I20*AnnualHours*(Energy_Margin)/1000*J7/12</f>
        <v>11.844672</v>
      </c>
      <c r="K14" s="441" t="n">
        <f aca="false">Operations!J20*AnnualHours*(Energy_Margin)/1000*K7/12</f>
        <v>11.844672</v>
      </c>
      <c r="L14" s="441" t="n">
        <f aca="false">Operations!K20*AnnualHours*(Energy_Margin)/1000*L7/12</f>
        <v>11.844672</v>
      </c>
      <c r="M14" s="441" t="n">
        <f aca="false">Operations!L20*AnnualHours*(Energy_Margin)/1000*M7/12</f>
        <v>11.844672</v>
      </c>
      <c r="N14" s="441" t="n">
        <f aca="false">Operations!M20*AnnualHours*(Energy_Margin)/1000*N7/12</f>
        <v>11.844672</v>
      </c>
      <c r="O14" s="441" t="n">
        <f aca="false">Operations!N20*AnnualHours*(Energy_Margin)/1000*O7/12</f>
        <v>11.844672</v>
      </c>
      <c r="P14" s="441" t="n">
        <f aca="false">Operations!O20*AnnualHours*(Energy_Margin)/1000*P7/12</f>
        <v>11.844672</v>
      </c>
      <c r="Q14" s="441" t="n">
        <f aca="false">Operations!P20*AnnualHours*(Energy_Margin)/1000*Q7/12</f>
        <v>11.844672</v>
      </c>
      <c r="R14" s="441" t="n">
        <f aca="false">Operations!Q20*AnnualHours*(Energy_Margin)/1000*R7/12</f>
        <v>11.844672</v>
      </c>
      <c r="S14" s="441" t="n">
        <f aca="false">Operations!R20*AnnualHours*(Energy_Margin)/1000*S7/12</f>
        <v>11.844672</v>
      </c>
      <c r="T14" s="441" t="n">
        <f aca="false">Operations!S20*AnnualHours*(Energy_Margin)/1000*T7/12</f>
        <v>11.844672</v>
      </c>
      <c r="U14" s="441" t="n">
        <f aca="false">Operations!T20*AnnualHours*(Energy_Margin)/1000*U7/12</f>
        <v>11.844672</v>
      </c>
      <c r="V14" s="441" t="n">
        <f aca="false">Operations!U20*AnnualHours*(Energy_Margin)/1000*V7/12</f>
        <v>11.844672</v>
      </c>
      <c r="W14" s="441" t="n">
        <f aca="false">Operations!V20*AnnualHours*(Energy_Margin)/1000*W7/12</f>
        <v>11.844672</v>
      </c>
      <c r="X14" s="447" t="n">
        <f aca="false">Operations!W20*AnnualHours*(Energy_Margin)/1000*X7/12</f>
        <v>11.844672</v>
      </c>
      <c r="Y14" s="713"/>
      <c r="Z14" s="713"/>
      <c r="AA14" s="713"/>
      <c r="AB14" s="713"/>
    </row>
    <row r="15" customFormat="false" ht="12.6" hidden="false" customHeight="true" outlineLevel="0" collapsed="false">
      <c r="B15" s="417" t="s">
        <v>365</v>
      </c>
      <c r="D15" s="714" t="n">
        <f aca="false">'PPA Assumptions &amp; Summary'!C16</f>
        <v>0</v>
      </c>
      <c r="E15" s="714" t="n">
        <f aca="false">'PPA Assumptions &amp; Summary'!D16</f>
        <v>0</v>
      </c>
      <c r="F15" s="714" t="n">
        <f aca="false">'PPA Assumptions &amp; Summary'!E16</f>
        <v>0</v>
      </c>
      <c r="G15" s="714" t="n">
        <f aca="false">'PPA Assumptions &amp; Summary'!F16</f>
        <v>0</v>
      </c>
      <c r="H15" s="714" t="n">
        <f aca="false">'PPA Assumptions &amp; Summary'!G16</f>
        <v>0</v>
      </c>
      <c r="I15" s="714" t="n">
        <f aca="false">'PPA Assumptions &amp; Summary'!H16</f>
        <v>0</v>
      </c>
      <c r="J15" s="714" t="n">
        <f aca="false">'PPA Assumptions &amp; Summary'!I16</f>
        <v>0</v>
      </c>
      <c r="K15" s="714" t="n">
        <f aca="false">'PPA Assumptions &amp; Summary'!J16</f>
        <v>0</v>
      </c>
      <c r="L15" s="714" t="n">
        <f aca="false">'PPA Assumptions &amp; Summary'!K16</f>
        <v>0</v>
      </c>
      <c r="M15" s="714" t="n">
        <f aca="false">'PPA Assumptions &amp; Summary'!L16</f>
        <v>0</v>
      </c>
      <c r="N15" s="714" t="n">
        <f aca="false">'PPA Assumptions &amp; Summary'!M16</f>
        <v>0</v>
      </c>
      <c r="O15" s="714" t="n">
        <f aca="false">'PPA Assumptions &amp; Summary'!N16</f>
        <v>0</v>
      </c>
      <c r="P15" s="714" t="n">
        <f aca="false">'PPA Assumptions &amp; Summary'!O16</f>
        <v>0</v>
      </c>
      <c r="Q15" s="714" t="n">
        <f aca="false">'PPA Assumptions &amp; Summary'!P16</f>
        <v>0</v>
      </c>
      <c r="R15" s="714" t="n">
        <f aca="false">'PPA Assumptions &amp; Summary'!Q16</f>
        <v>0</v>
      </c>
      <c r="S15" s="714" t="n">
        <f aca="false">'PPA Assumptions &amp; Summary'!R16</f>
        <v>0</v>
      </c>
      <c r="T15" s="714" t="n">
        <f aca="false">'PPA Assumptions &amp; Summary'!S16</f>
        <v>0</v>
      </c>
      <c r="U15" s="714" t="n">
        <f aca="false">'PPA Assumptions &amp; Summary'!T16</f>
        <v>0</v>
      </c>
      <c r="V15" s="714" t="n">
        <f aca="false">'PPA Assumptions &amp; Summary'!U16</f>
        <v>0</v>
      </c>
      <c r="W15" s="714" t="n">
        <f aca="false">'PPA Assumptions &amp; Summary'!V16</f>
        <v>0</v>
      </c>
      <c r="X15" s="715" t="n">
        <f aca="false">'PPA Assumptions &amp; Summary'!W16</f>
        <v>0</v>
      </c>
      <c r="Y15" s="716"/>
      <c r="Z15" s="716"/>
      <c r="AA15" s="716"/>
      <c r="AB15" s="716"/>
    </row>
    <row r="16" customFormat="false" ht="12.6" hidden="false" customHeight="true" outlineLevel="0" collapsed="false">
      <c r="B16" s="417" t="s">
        <v>366</v>
      </c>
      <c r="D16" s="717" t="n">
        <f aca="false">'PPA Assumptions &amp; Summary'!C17</f>
        <v>0</v>
      </c>
      <c r="E16" s="717" t="n">
        <f aca="false">'PPA Assumptions &amp; Summary'!D17</f>
        <v>0</v>
      </c>
      <c r="F16" s="717" t="n">
        <f aca="false">'PPA Assumptions &amp; Summary'!E17</f>
        <v>0</v>
      </c>
      <c r="G16" s="717" t="n">
        <f aca="false">'PPA Assumptions &amp; Summary'!F17</f>
        <v>0</v>
      </c>
      <c r="H16" s="717" t="n">
        <f aca="false">'PPA Assumptions &amp; Summary'!G17</f>
        <v>0</v>
      </c>
      <c r="I16" s="717" t="n">
        <f aca="false">'PPA Assumptions &amp; Summary'!H17</f>
        <v>0</v>
      </c>
      <c r="J16" s="717" t="n">
        <f aca="false">'PPA Assumptions &amp; Summary'!I17</f>
        <v>0</v>
      </c>
      <c r="K16" s="717" t="n">
        <f aca="false">'PPA Assumptions &amp; Summary'!J17</f>
        <v>0</v>
      </c>
      <c r="L16" s="717" t="n">
        <f aca="false">'PPA Assumptions &amp; Summary'!K17</f>
        <v>0</v>
      </c>
      <c r="M16" s="717" t="n">
        <f aca="false">'PPA Assumptions &amp; Summary'!L17</f>
        <v>0</v>
      </c>
      <c r="N16" s="717" t="n">
        <f aca="false">'PPA Assumptions &amp; Summary'!M17</f>
        <v>0</v>
      </c>
      <c r="O16" s="717" t="n">
        <f aca="false">'PPA Assumptions &amp; Summary'!N17</f>
        <v>0</v>
      </c>
      <c r="P16" s="717" t="n">
        <f aca="false">'PPA Assumptions &amp; Summary'!O17</f>
        <v>0</v>
      </c>
      <c r="Q16" s="717" t="n">
        <f aca="false">'PPA Assumptions &amp; Summary'!P17</f>
        <v>0</v>
      </c>
      <c r="R16" s="717" t="n">
        <f aca="false">'PPA Assumptions &amp; Summary'!Q17</f>
        <v>0</v>
      </c>
      <c r="S16" s="717" t="n">
        <f aca="false">'PPA Assumptions &amp; Summary'!R17</f>
        <v>0</v>
      </c>
      <c r="T16" s="717" t="n">
        <f aca="false">'PPA Assumptions &amp; Summary'!S17</f>
        <v>0</v>
      </c>
      <c r="U16" s="717" t="n">
        <f aca="false">'PPA Assumptions &amp; Summary'!T17</f>
        <v>0</v>
      </c>
      <c r="V16" s="717" t="n">
        <f aca="false">'PPA Assumptions &amp; Summary'!U17</f>
        <v>0</v>
      </c>
      <c r="W16" s="717" t="n">
        <f aca="false">'PPA Assumptions &amp; Summary'!V17</f>
        <v>0</v>
      </c>
      <c r="X16" s="718" t="n">
        <f aca="false">'PPA Assumptions &amp; Summary'!W17</f>
        <v>0</v>
      </c>
      <c r="Y16" s="716"/>
      <c r="Z16" s="716"/>
      <c r="AA16" s="716"/>
      <c r="AB16" s="716"/>
    </row>
    <row r="17" customFormat="false" ht="12.6" hidden="false" customHeight="true" outlineLevel="0" collapsed="false">
      <c r="B17" s="719" t="s">
        <v>486</v>
      </c>
      <c r="C17" s="512"/>
      <c r="D17" s="720" t="n">
        <f aca="false">SUM(D10:D16)</f>
        <v>26898.21696</v>
      </c>
      <c r="E17" s="720" t="n">
        <f aca="false">SUM(E10:E16)</f>
        <v>40079.9158149774</v>
      </c>
      <c r="F17" s="720" t="n">
        <f aca="false">SUM(F10:F16)</f>
        <v>40673.1613422172</v>
      </c>
      <c r="G17" s="720" t="n">
        <f aca="false">SUM(G10:G16)</f>
        <v>40731.6409776837</v>
      </c>
      <c r="H17" s="720" t="n">
        <f aca="false">SUM(H10:H16)</f>
        <v>47605.8401142549</v>
      </c>
      <c r="I17" s="720" t="n">
        <f aca="false">SUM(I10:I16)</f>
        <v>52769.7658852343</v>
      </c>
      <c r="J17" s="720" t="n">
        <f aca="false">SUM(J10:J16)</f>
        <v>53213.7751206579</v>
      </c>
      <c r="K17" s="720" t="n">
        <f aca="false">SUM(K10:K16)</f>
        <v>53653.2595037859</v>
      </c>
      <c r="L17" s="720" t="n">
        <f aca="false">SUM(L10:L16)</f>
        <v>54718.6111930403</v>
      </c>
      <c r="M17" s="720" t="n">
        <f aca="false">SUM(M10:M16)</f>
        <v>55165.9282773646</v>
      </c>
      <c r="N17" s="720" t="n">
        <f aca="false">SUM(N10:N16)</f>
        <v>56276.6600298264</v>
      </c>
      <c r="O17" s="720" t="n">
        <f aca="false">SUM(O10:O16)</f>
        <v>56731.1338742778</v>
      </c>
      <c r="P17" s="720" t="n">
        <f aca="false">SUM(P10:P16)</f>
        <v>57888.821794647</v>
      </c>
      <c r="Q17" s="720" t="n">
        <f aca="false">SUM(Q10:Q16)</f>
        <v>58349.6650785334</v>
      </c>
      <c r="R17" s="720" t="n">
        <f aca="false">SUM(R10:R16)</f>
        <v>58802.3864027137</v>
      </c>
      <c r="S17" s="720" t="n">
        <f aca="false">SUM(S10:S16)</f>
        <v>59246.0836906499</v>
      </c>
      <c r="T17" s="720" t="n">
        <f aca="false">SUM(T10:T16)</f>
        <v>59679.8080509756</v>
      </c>
      <c r="U17" s="720" t="n">
        <f aca="false">SUM(U10:U16)</f>
        <v>60102.561780475</v>
      </c>
      <c r="V17" s="720" t="n">
        <f aca="false">SUM(V10:V16)</f>
        <v>60513.2962893742</v>
      </c>
      <c r="W17" s="720" t="n">
        <f aca="false">SUM(W10:W16)</f>
        <v>60910.9099460808</v>
      </c>
      <c r="X17" s="721" t="n">
        <f aca="false">SUM(X10:X16)</f>
        <v>61294.2458384051</v>
      </c>
      <c r="Y17" s="713"/>
      <c r="Z17" s="713"/>
      <c r="AA17" s="713"/>
      <c r="AB17" s="713"/>
    </row>
    <row r="18" customFormat="false" ht="12.6" hidden="false" customHeight="true" outlineLevel="0" collapsed="false">
      <c r="B18" s="722"/>
      <c r="C18" s="723"/>
      <c r="D18" s="724"/>
      <c r="E18" s="724"/>
      <c r="F18" s="724"/>
      <c r="G18" s="724"/>
      <c r="H18" s="724"/>
      <c r="I18" s="724"/>
      <c r="J18" s="724"/>
      <c r="K18" s="724"/>
      <c r="L18" s="724"/>
      <c r="M18" s="724"/>
      <c r="N18" s="724"/>
      <c r="O18" s="724"/>
      <c r="P18" s="724"/>
      <c r="Q18" s="724"/>
      <c r="R18" s="724"/>
      <c r="S18" s="724"/>
      <c r="T18" s="724"/>
      <c r="U18" s="724"/>
      <c r="V18" s="724"/>
      <c r="W18" s="724"/>
      <c r="X18" s="724"/>
      <c r="Y18" s="713"/>
      <c r="Z18" s="713"/>
      <c r="AA18" s="713"/>
      <c r="AB18" s="713"/>
    </row>
    <row r="19" customFormat="false" ht="12.6" hidden="false" customHeight="true" outlineLevel="0" collapsed="false">
      <c r="B19" s="430"/>
      <c r="C19" s="450" t="s">
        <v>238</v>
      </c>
      <c r="D19" s="725"/>
      <c r="E19" s="725"/>
      <c r="F19" s="725"/>
      <c r="G19" s="725"/>
      <c r="H19" s="725"/>
      <c r="I19" s="725"/>
      <c r="J19" s="725"/>
      <c r="K19" s="725"/>
      <c r="L19" s="725"/>
      <c r="M19" s="725"/>
      <c r="N19" s="725"/>
      <c r="O19" s="725"/>
      <c r="P19" s="725"/>
      <c r="Q19" s="725"/>
      <c r="R19" s="725"/>
      <c r="S19" s="725"/>
      <c r="T19" s="725"/>
      <c r="U19" s="725"/>
      <c r="V19" s="725"/>
      <c r="W19" s="725"/>
      <c r="X19" s="725"/>
      <c r="Y19" s="698"/>
      <c r="Z19" s="698"/>
      <c r="AA19" s="698"/>
      <c r="AB19" s="698"/>
    </row>
    <row r="20" customFormat="false" ht="12.6" hidden="false" customHeight="true" outlineLevel="0" collapsed="false">
      <c r="B20" s="708" t="s">
        <v>487</v>
      </c>
      <c r="C20" s="500"/>
      <c r="D20" s="726"/>
      <c r="E20" s="726"/>
      <c r="F20" s="726"/>
      <c r="G20" s="726"/>
      <c r="H20" s="726"/>
      <c r="I20" s="726"/>
      <c r="J20" s="726"/>
      <c r="K20" s="726"/>
      <c r="L20" s="726"/>
      <c r="M20" s="726"/>
      <c r="N20" s="726"/>
      <c r="O20" s="726"/>
      <c r="P20" s="726"/>
      <c r="Q20" s="726"/>
      <c r="R20" s="726"/>
      <c r="S20" s="726"/>
      <c r="T20" s="726"/>
      <c r="U20" s="726"/>
      <c r="V20" s="726"/>
      <c r="W20" s="726"/>
      <c r="X20" s="727"/>
      <c r="Y20" s="716"/>
      <c r="Z20" s="716"/>
      <c r="AA20" s="716"/>
      <c r="AB20" s="716"/>
    </row>
    <row r="21" customFormat="false" ht="12.6" hidden="false" customHeight="true" outlineLevel="0" collapsed="false">
      <c r="B21" s="728"/>
      <c r="D21" s="441"/>
      <c r="E21" s="441"/>
      <c r="F21" s="441"/>
      <c r="G21" s="441"/>
      <c r="H21" s="441"/>
      <c r="I21" s="441"/>
      <c r="J21" s="441"/>
      <c r="K21" s="441"/>
      <c r="L21" s="441"/>
      <c r="M21" s="441"/>
      <c r="N21" s="441"/>
      <c r="O21" s="441"/>
      <c r="P21" s="441"/>
      <c r="Q21" s="441"/>
      <c r="R21" s="441"/>
      <c r="S21" s="441"/>
      <c r="T21" s="441"/>
      <c r="U21" s="441"/>
      <c r="V21" s="441"/>
      <c r="W21" s="441"/>
      <c r="X21" s="447"/>
      <c r="Y21" s="716"/>
      <c r="Z21" s="716"/>
      <c r="AA21" s="716"/>
      <c r="AB21" s="716"/>
    </row>
    <row r="22" customFormat="false" ht="12.6" hidden="false" customHeight="true" outlineLevel="0" collapsed="false">
      <c r="B22" s="728" t="s">
        <v>488</v>
      </c>
      <c r="D22" s="441"/>
      <c r="E22" s="441"/>
      <c r="F22" s="441"/>
      <c r="G22" s="441"/>
      <c r="H22" s="441"/>
      <c r="I22" s="441"/>
      <c r="J22" s="441"/>
      <c r="K22" s="441"/>
      <c r="L22" s="441"/>
      <c r="M22" s="441"/>
      <c r="N22" s="441"/>
      <c r="O22" s="441"/>
      <c r="P22" s="441"/>
      <c r="Q22" s="441"/>
      <c r="R22" s="441"/>
      <c r="S22" s="441"/>
      <c r="T22" s="441"/>
      <c r="U22" s="441"/>
      <c r="V22" s="441"/>
      <c r="W22" s="441"/>
      <c r="X22" s="447"/>
      <c r="Y22" s="716"/>
      <c r="Z22" s="716"/>
      <c r="AA22" s="716"/>
      <c r="AB22" s="716"/>
    </row>
    <row r="23" customFormat="false" ht="12.6" hidden="false" customHeight="true" outlineLevel="0" collapsed="false">
      <c r="B23" s="417" t="s">
        <v>489</v>
      </c>
      <c r="D23" s="438" t="n">
        <f aca="false">IF(D3&gt;ProjectLife,0,Operations!C36)</f>
        <v>16236.81696</v>
      </c>
      <c r="E23" s="438" t="n">
        <f aca="false">IF(E3&gt;ProjectLife,0,Operations!D36)</f>
        <v>16558.24716</v>
      </c>
      <c r="F23" s="438" t="n">
        <f aca="false">IF(F3&gt;ProjectLife,0,Operations!E36)</f>
        <v>16787.84016</v>
      </c>
      <c r="G23" s="438" t="n">
        <f aca="false">IF(G3&gt;ProjectLife,0,Operations!F36)</f>
        <v>16787.84016</v>
      </c>
      <c r="H23" s="438" t="n">
        <f aca="false">IF(H3&gt;ProjectLife,0,Operations!G36)</f>
        <v>17658.7174295653</v>
      </c>
      <c r="I23" s="438" t="n">
        <f aca="false">IF(I3&gt;ProjectLife,0,Operations!H36)</f>
        <v>18129.69185664</v>
      </c>
      <c r="J23" s="438" t="n">
        <f aca="false">IF(J3&gt;ProjectLife,0,Operations!I36)</f>
        <v>18129.69185664</v>
      </c>
      <c r="K23" s="438" t="n">
        <f aca="false">IF(K3&gt;ProjectLife,0,Operations!J36)</f>
        <v>18129.69185664</v>
      </c>
      <c r="L23" s="438" t="n">
        <f aca="false">IF(L3&gt;ProjectLife,0,Operations!K36)</f>
        <v>18129.69185664</v>
      </c>
      <c r="M23" s="438" t="n">
        <f aca="false">IF(M3&gt;ProjectLife,0,Operations!L36)</f>
        <v>18129.69185664</v>
      </c>
      <c r="N23" s="438" t="n">
        <f aca="false">IF(N3&gt;ProjectLife,0,Operations!M36)</f>
        <v>18129.69185664</v>
      </c>
      <c r="O23" s="438" t="n">
        <f aca="false">IF(O3&gt;ProjectLife,0,Operations!N36)</f>
        <v>18129.69185664</v>
      </c>
      <c r="P23" s="438" t="n">
        <f aca="false">IF(P3&gt;ProjectLife,0,Operations!O36)</f>
        <v>18129.69185664</v>
      </c>
      <c r="Q23" s="438" t="n">
        <f aca="false">IF(Q3&gt;ProjectLife,0,Operations!P36)</f>
        <v>18129.69185664</v>
      </c>
      <c r="R23" s="438" t="n">
        <f aca="false">IF(R3&gt;ProjectLife,0,Operations!Q36)</f>
        <v>18129.69185664</v>
      </c>
      <c r="S23" s="438" t="n">
        <f aca="false">IF(S3&gt;ProjectLife,0,Operations!R36)</f>
        <v>18129.69185664</v>
      </c>
      <c r="T23" s="438" t="n">
        <f aca="false">IF(T3&gt;ProjectLife,0,Operations!S36)</f>
        <v>18129.69185664</v>
      </c>
      <c r="U23" s="438" t="n">
        <f aca="false">IF(U3&gt;ProjectLife,0,Operations!T36)</f>
        <v>18129.69185664</v>
      </c>
      <c r="V23" s="438" t="n">
        <f aca="false">IF(V3&gt;ProjectLife,0,Operations!U36)</f>
        <v>18129.69185664</v>
      </c>
      <c r="W23" s="438" t="n">
        <f aca="false">IF(W3&gt;ProjectLife,0,Operations!V36)</f>
        <v>18129.69185664</v>
      </c>
      <c r="X23" s="439" t="n">
        <f aca="false">IF(X3&gt;ProjectLife+1,0,Operations!W36)</f>
        <v>18129.69185664</v>
      </c>
      <c r="Y23" s="713"/>
      <c r="Z23" s="713"/>
      <c r="AA23" s="713"/>
      <c r="AB23" s="713"/>
    </row>
    <row r="24" customFormat="false" ht="12.6" hidden="false" customHeight="true" outlineLevel="0" collapsed="false">
      <c r="B24" s="417"/>
      <c r="D24" s="438"/>
      <c r="E24" s="438"/>
      <c r="F24" s="438"/>
      <c r="G24" s="438"/>
      <c r="H24" s="438"/>
      <c r="I24" s="438"/>
      <c r="J24" s="438"/>
      <c r="K24" s="438"/>
      <c r="L24" s="438"/>
      <c r="M24" s="438"/>
      <c r="N24" s="438"/>
      <c r="O24" s="438"/>
      <c r="P24" s="438"/>
      <c r="Q24" s="438"/>
      <c r="R24" s="438"/>
      <c r="S24" s="438"/>
      <c r="T24" s="438"/>
      <c r="U24" s="438"/>
      <c r="V24" s="438"/>
      <c r="W24" s="438"/>
      <c r="X24" s="439"/>
      <c r="Y24" s="713"/>
      <c r="Z24" s="713"/>
      <c r="AA24" s="713"/>
      <c r="AB24" s="713"/>
    </row>
    <row r="25" customFormat="false" ht="12.6" hidden="false" customHeight="true" outlineLevel="0" collapsed="false">
      <c r="A25" s="450" t="n">
        <v>3</v>
      </c>
      <c r="B25" s="729" t="s">
        <v>490</v>
      </c>
      <c r="D25" s="438" t="n">
        <f aca="false">IF(D3&gt;ProjectLife+1,0,(Operations!C12+Operations!C22)*WaterMWh*((1+OM_Escal)^(D4-'Project Assumptions'!$N$6))/1000)</f>
        <v>45</v>
      </c>
      <c r="E25" s="438" t="n">
        <f aca="false">IF(E3&gt;ProjectLife+1,0,(Operations!D12+Operations!D22)*WaterMWh*((1+OM_Escal)^(E4-'Project Assumptions'!$N$6))/1000)</f>
        <v>47.2675622171946</v>
      </c>
      <c r="F25" s="438" t="n">
        <f aca="false">IF(F3&gt;ProjectLife+1,0,(Operations!E12+Operations!E22)*WaterMWh*((1+OM_Escal)^(F4-'Project Assumptions'!$N$6))/1000)</f>
        <v>49.3606527149321</v>
      </c>
      <c r="G25" s="438" t="n">
        <f aca="false">IF(G3&gt;ProjectLife+1,0,(Operations!F12+Operations!F22)*WaterMWh*((1+OM_Escal)^(G4-'Project Assumptions'!$N$6))/1000)</f>
        <v>50.8414722963801</v>
      </c>
      <c r="H25" s="438" t="n">
        <f aca="false">IF(H3&gt;ProjectLife+1,0,(Operations!G12+Operations!G22)*WaterMWh*((1+OM_Escal)^(H4-'Project Assumptions'!$N$6))/1000)</f>
        <v>55.0832650276077</v>
      </c>
      <c r="I25" s="438" t="n">
        <f aca="false">IF(I3&gt;ProjectLife+1,0,(Operations!H12+Operations!H22)*WaterMWh*((1+OM_Escal)^(I4-'Project Assumptions'!$N$6))/1000)</f>
        <v>58.2489585754544</v>
      </c>
      <c r="J25" s="438" t="n">
        <f aca="false">IF(J3&gt;ProjectLife+1,0,(Operations!I12+Operations!I22)*WaterMWh*((1+OM_Escal)^(J4-'Project Assumptions'!$N$6))/1000)</f>
        <v>59.9964273327181</v>
      </c>
      <c r="K25" s="438" t="n">
        <f aca="false">IF(K3&gt;ProjectLife+1,0,(Operations!J12+Operations!J22)*WaterMWh*((1+OM_Escal)^(K4-'Project Assumptions'!$N$6))/1000)</f>
        <v>61.7963201526996</v>
      </c>
      <c r="L25" s="438" t="n">
        <f aca="false">IF(L3&gt;ProjectLife+1,0,(Operations!K12+Operations!K22)*WaterMWh*((1+OM_Escal)^(L4-'Project Assumptions'!$N$6))/1000)</f>
        <v>63.6502097572806</v>
      </c>
      <c r="M25" s="438" t="n">
        <f aca="false">IF(M3&gt;ProjectLife+1,0,(Operations!L12+Operations!L22)*WaterMWh*((1+OM_Escal)^(M4-'Project Assumptions'!$N$6))/1000)</f>
        <v>65.559716049999</v>
      </c>
      <c r="N25" s="438" t="n">
        <f aca="false">IF(N3&gt;ProjectLife+1,0,(Operations!M12+Operations!M22)*WaterMWh*((1+OM_Escal)^(N4-'Project Assumptions'!$N$6))/1000)</f>
        <v>67.526507531499</v>
      </c>
      <c r="O25" s="438" t="n">
        <f aca="false">IF(O3&gt;ProjectLife+1,0,(Operations!N12+Operations!N22)*WaterMWh*((1+OM_Escal)^(O4-'Project Assumptions'!$N$6))/1000)</f>
        <v>69.552302757444</v>
      </c>
      <c r="P25" s="438" t="n">
        <f aca="false">IF(P3&gt;ProjectLife+1,0,(Operations!O12+Operations!O22)*WaterMWh*((1+OM_Escal)^(P4-'Project Assumptions'!$N$6))/1000)</f>
        <v>71.6388718401673</v>
      </c>
      <c r="Q25" s="438" t="n">
        <f aca="false">IF(Q3&gt;ProjectLife+1,0,(Operations!P12+Operations!P22)*WaterMWh*((1+OM_Escal)^(Q4-'Project Assumptions'!$N$6))/1000)</f>
        <v>73.7880379953723</v>
      </c>
      <c r="R25" s="438" t="n">
        <f aca="false">IF(R3&gt;ProjectLife+1,0,(Operations!Q12+Operations!Q22)*WaterMWh*((1+OM_Escal)^(R4-'Project Assumptions'!$N$6))/1000)</f>
        <v>76.0016791352335</v>
      </c>
      <c r="S25" s="438" t="n">
        <f aca="false">IF(S3&gt;ProjectLife+1,0,(Operations!R12+Operations!R22)*WaterMWh*((1+OM_Escal)^(S4-'Project Assumptions'!$N$6))/1000)</f>
        <v>78.2817295092905</v>
      </c>
      <c r="T25" s="438" t="n">
        <f aca="false">IF(T3&gt;ProjectLife+1,0,(Operations!S12+Operations!S22)*WaterMWh*((1+OM_Escal)^(T4-'Project Assumptions'!$N$6))/1000)</f>
        <v>80.6301813945692</v>
      </c>
      <c r="U25" s="438" t="n">
        <f aca="false">IF(U3&gt;ProjectLife+1,0,(Operations!T12+Operations!T22)*WaterMWh*((1+OM_Escal)^(U4-'Project Assumptions'!$N$6))/1000)</f>
        <v>83.0490868364063</v>
      </c>
      <c r="V25" s="438" t="n">
        <f aca="false">IF(V3&gt;ProjectLife+1,0,(Operations!U12+Operations!U22)*WaterMWh*((1+OM_Escal)^(V4-'Project Assumptions'!$N$6))/1000)</f>
        <v>85.5405594414985</v>
      </c>
      <c r="W25" s="438" t="n">
        <f aca="false">IF(W3&gt;ProjectLife+1,0,(Operations!V12+Operations!V22)*WaterMWh*((1+OM_Escal)^(W4-'Project Assumptions'!$N$6))/1000)</f>
        <v>88.1067762247435</v>
      </c>
      <c r="X25" s="439" t="n">
        <f aca="false">IF(X3&gt;ProjectLife+1,0,(Operations!W12+Operations!W22)*WaterMWh*((1+OM_Escal)^(X4-'Project Assumptions'!$N$6))/1000)</f>
        <v>90.7499795114858</v>
      </c>
      <c r="Y25" s="713"/>
      <c r="Z25" s="713"/>
      <c r="AA25" s="713"/>
      <c r="AB25" s="713"/>
    </row>
    <row r="26" customFormat="false" ht="12.6" hidden="false" customHeight="true" outlineLevel="0" collapsed="false">
      <c r="A26" s="450" t="n">
        <v>3</v>
      </c>
      <c r="B26" s="729" t="s">
        <v>491</v>
      </c>
      <c r="D26" s="438" t="n">
        <f aca="false">IF(D3&gt;ProjectLife+1,0,(Operations!C12+Operations!C22)*FercMWh*((1+OM_Escal)^(D4-'Project Assumptions'!$N$6))/1000)</f>
        <v>26.52</v>
      </c>
      <c r="E26" s="438" t="n">
        <f aca="false">IF(E3&gt;ProjectLife+1,0,(Operations!D12+Operations!D22)*FercMWh*((1+OM_Escal)^(E4-'Project Assumptions'!$N$6))/1000)</f>
        <v>27.85635</v>
      </c>
      <c r="F26" s="438" t="n">
        <f aca="false">IF(F3&gt;ProjectLife+1,0,(Operations!E12+Operations!E22)*FercMWh*((1+OM_Escal)^(F4-'Project Assumptions'!$N$6))/1000)</f>
        <v>29.089878</v>
      </c>
      <c r="G26" s="438" t="n">
        <f aca="false">IF(G3&gt;ProjectLife+1,0,(Operations!F12+Operations!F22)*FercMWh*((1+OM_Escal)^(G4-'Project Assumptions'!$N$6))/1000)</f>
        <v>29.96257434</v>
      </c>
      <c r="H26" s="438" t="n">
        <f aca="false">IF(H3&gt;ProjectLife+1,0,(Operations!G12+Operations!G22)*FercMWh*((1+OM_Escal)^(H4-'Project Assumptions'!$N$6))/1000)</f>
        <v>32.4624041896035</v>
      </c>
      <c r="I26" s="438" t="n">
        <f aca="false">IF(I3&gt;ProjectLife+1,0,(Operations!H12+Operations!H22)*FercMWh*((1+OM_Escal)^(I4-'Project Assumptions'!$N$6))/1000)</f>
        <v>34.3280529204678</v>
      </c>
      <c r="J26" s="438" t="n">
        <f aca="false">IF(J3&gt;ProjectLife+1,0,(Operations!I12+Operations!I22)*FercMWh*((1+OM_Escal)^(J4-'Project Assumptions'!$N$6))/1000)</f>
        <v>35.3578945080819</v>
      </c>
      <c r="K26" s="438" t="n">
        <f aca="false">IF(K3&gt;ProjectLife+1,0,(Operations!J12+Operations!J22)*FercMWh*((1+OM_Escal)^(K4-'Project Assumptions'!$N$6))/1000)</f>
        <v>36.4186313433243</v>
      </c>
      <c r="L26" s="438" t="n">
        <f aca="false">IF(L3&gt;ProjectLife+1,0,(Operations!K12+Operations!K22)*FercMWh*((1+OM_Escal)^(L4-'Project Assumptions'!$N$6))/1000)</f>
        <v>37.5111902836241</v>
      </c>
      <c r="M26" s="438" t="n">
        <f aca="false">IF(M3&gt;ProjectLife+1,0,(Operations!L12+Operations!L22)*FercMWh*((1+OM_Escal)^(M4-'Project Assumptions'!$N$6))/1000)</f>
        <v>38.6365259921328</v>
      </c>
      <c r="N26" s="438" t="n">
        <f aca="false">IF(N3&gt;ProjectLife+1,0,(Operations!M12+Operations!M22)*FercMWh*((1+OM_Escal)^(N4-'Project Assumptions'!$N$6))/1000)</f>
        <v>39.7956217718968</v>
      </c>
      <c r="O26" s="438" t="n">
        <f aca="false">IF(O3&gt;ProjectLife+1,0,(Operations!N12+Operations!N22)*FercMWh*((1+OM_Escal)^(O4-'Project Assumptions'!$N$6))/1000)</f>
        <v>40.9894904250537</v>
      </c>
      <c r="P26" s="438" t="n">
        <f aca="false">IF(P3&gt;ProjectLife+1,0,(Operations!O12+Operations!O22)*FercMWh*((1+OM_Escal)^(P4-'Project Assumptions'!$N$6))/1000)</f>
        <v>42.2191751378053</v>
      </c>
      <c r="Q26" s="438" t="n">
        <f aca="false">IF(Q3&gt;ProjectLife+1,0,(Operations!P12+Operations!P22)*FercMWh*((1+OM_Escal)^(Q4-'Project Assumptions'!$N$6))/1000)</f>
        <v>43.4857503919394</v>
      </c>
      <c r="R26" s="438" t="n">
        <f aca="false">IF(R3&gt;ProjectLife+1,0,(Operations!Q12+Operations!Q22)*FercMWh*((1+OM_Escal)^(R4-'Project Assumptions'!$N$6))/1000)</f>
        <v>44.7903229036976</v>
      </c>
      <c r="S26" s="438" t="n">
        <f aca="false">IF(S3&gt;ProjectLife+1,0,(Operations!R12+Operations!R22)*FercMWh*((1+OM_Escal)^(S4-'Project Assumptions'!$N$6))/1000)</f>
        <v>46.1340325908085</v>
      </c>
      <c r="T26" s="438" t="n">
        <f aca="false">IF(T3&gt;ProjectLife+1,0,(Operations!S12+Operations!S22)*FercMWh*((1+OM_Escal)^(T4-'Project Assumptions'!$N$6))/1000)</f>
        <v>47.5180535685328</v>
      </c>
      <c r="U26" s="438" t="n">
        <f aca="false">IF(U3&gt;ProjectLife+1,0,(Operations!T12+Operations!T22)*FercMWh*((1+OM_Escal)^(U4-'Project Assumptions'!$N$6))/1000)</f>
        <v>48.9435951755888</v>
      </c>
      <c r="V26" s="438" t="n">
        <f aca="false">IF(V3&gt;ProjectLife+1,0,(Operations!U12+Operations!U22)*FercMWh*((1+OM_Escal)^(V4-'Project Assumptions'!$N$6))/1000)</f>
        <v>50.4119030308565</v>
      </c>
      <c r="W26" s="438" t="n">
        <f aca="false">IF(W3&gt;ProjectLife+1,0,(Operations!V12+Operations!V22)*FercMWh*((1+OM_Escal)^(W4-'Project Assumptions'!$N$6))/1000)</f>
        <v>51.9242601217822</v>
      </c>
      <c r="X26" s="439" t="n">
        <f aca="false">IF(X3&gt;ProjectLife+1,0,(Operations!W12+Operations!W22)*FercMWh*((1+OM_Escal)^(X4-'Project Assumptions'!$N$6))/1000)</f>
        <v>53.4819879254356</v>
      </c>
      <c r="Y26" s="713"/>
      <c r="Z26" s="713"/>
      <c r="AA26" s="713"/>
      <c r="AB26" s="713"/>
    </row>
    <row r="27" customFormat="false" ht="12.6" hidden="false" customHeight="true" outlineLevel="0" collapsed="false">
      <c r="A27" s="450" t="n">
        <v>3</v>
      </c>
      <c r="B27" s="729" t="s">
        <v>492</v>
      </c>
      <c r="D27" s="443" t="n">
        <f aca="false">IF(D3&gt;ProjectLife+1,0,(Operations!C12+Operations!C22)*MainMWh*((1+OM_Escal)^(D4-'Project Assumptions'!$N$6))/1000)</f>
        <v>400.6</v>
      </c>
      <c r="E27" s="443" t="n">
        <f aca="false">IF(E3&gt;ProjectLife+1,0,(Operations!D12+Operations!D22)*MainMWh*((1+OM_Escal)^(E4-'Project Assumptions'!$N$6))/1000)</f>
        <v>420.786342760181</v>
      </c>
      <c r="F27" s="443" t="n">
        <f aca="false">IF(F3&gt;ProjectLife+1,0,(Operations!E12+Operations!E22)*MainMWh*((1+OM_Escal)^(F4-'Project Assumptions'!$N$6))/1000)</f>
        <v>439.419499502262</v>
      </c>
      <c r="G27" s="443" t="n">
        <f aca="false">IF(G3&gt;ProjectLife+1,0,(Operations!F12+Operations!F22)*MainMWh*((1+OM_Escal)^(G4-'Project Assumptions'!$N$6))/1000)</f>
        <v>452.60208448733</v>
      </c>
      <c r="H27" s="443" t="n">
        <f aca="false">IF(H3&gt;ProjectLife+1,0,(Operations!G12+Operations!G22)*MainMWh*((1+OM_Escal)^(H4-'Project Assumptions'!$N$6))/1000)</f>
        <v>490.363466001325</v>
      </c>
      <c r="I27" s="443" t="n">
        <f aca="false">IF(I3&gt;ProjectLife+1,0,(Operations!H12+Operations!H22)*MainMWh*((1+OM_Escal)^(I4-'Project Assumptions'!$N$6))/1000)</f>
        <v>518.545173451712</v>
      </c>
      <c r="J27" s="443" t="n">
        <f aca="false">IF(J3&gt;ProjectLife+1,0,(Operations!I12+Operations!I22)*MainMWh*((1+OM_Escal)^(J4-'Project Assumptions'!$N$6))/1000)</f>
        <v>534.101528655264</v>
      </c>
      <c r="K27" s="443" t="n">
        <f aca="false">IF(K3&gt;ProjectLife+1,0,(Operations!J12+Operations!J22)*MainMWh*((1+OM_Escal)^(K4-'Project Assumptions'!$N$6))/1000)</f>
        <v>550.124574514922</v>
      </c>
      <c r="L27" s="443" t="n">
        <f aca="false">IF(L3&gt;ProjectLife+1,0,(Operations!K12+Operations!K22)*MainMWh*((1+OM_Escal)^(L4-'Project Assumptions'!$N$6))/1000)</f>
        <v>566.628311750369</v>
      </c>
      <c r="M27" s="443" t="n">
        <f aca="false">IF(M3&gt;ProjectLife+1,0,(Operations!L12+Operations!L22)*MainMWh*((1+OM_Escal)^(M4-'Project Assumptions'!$N$6))/1000)</f>
        <v>583.627161102881</v>
      </c>
      <c r="N27" s="443" t="n">
        <f aca="false">IF(N3&gt;ProjectLife+1,0,(Operations!M12+Operations!M22)*MainMWh*((1+OM_Escal)^(N4-'Project Assumptions'!$N$6))/1000)</f>
        <v>601.135975935967</v>
      </c>
      <c r="O27" s="443" t="n">
        <f aca="false">IF(O3&gt;ProjectLife+1,0,(Operations!N12+Operations!N22)*MainMWh*((1+OM_Escal)^(O4-'Project Assumptions'!$N$6))/1000)</f>
        <v>619.170055214046</v>
      </c>
      <c r="P27" s="443" t="n">
        <f aca="false">IF(P3&gt;ProjectLife+1,0,(Operations!O12+Operations!O22)*MainMWh*((1+OM_Escal)^(P4-'Project Assumptions'!$N$6))/1000)</f>
        <v>637.745156870467</v>
      </c>
      <c r="Q27" s="443" t="n">
        <f aca="false">IF(Q3&gt;ProjectLife+1,0,(Operations!P12+Operations!P22)*MainMWh*((1+OM_Escal)^(Q4-'Project Assumptions'!$N$6))/1000)</f>
        <v>656.877511576581</v>
      </c>
      <c r="R27" s="443" t="n">
        <f aca="false">IF(R3&gt;ProjectLife+1,0,(Operations!Q12+Operations!Q22)*MainMWh*((1+OM_Escal)^(R4-'Project Assumptions'!$N$6))/1000)</f>
        <v>676.583836923879</v>
      </c>
      <c r="S27" s="443" t="n">
        <f aca="false">IF(S3&gt;ProjectLife+1,0,(Operations!R12+Operations!R22)*MainMWh*((1+OM_Escal)^(S4-'Project Assumptions'!$N$6))/1000)</f>
        <v>696.881352031595</v>
      </c>
      <c r="T27" s="443" t="n">
        <f aca="false">IF(T3&gt;ProjectLife+1,0,(Operations!S12+Operations!S22)*MainMWh*((1+OM_Escal)^(T4-'Project Assumptions'!$N$6))/1000)</f>
        <v>717.787792592543</v>
      </c>
      <c r="U27" s="443" t="n">
        <f aca="false">IF(U3&gt;ProjectLife+1,0,(Operations!T12+Operations!T22)*MainMWh*((1+OM_Escal)^(U4-'Project Assumptions'!$N$6))/1000)</f>
        <v>739.321426370319</v>
      </c>
      <c r="V27" s="443" t="n">
        <f aca="false">IF(V3&gt;ProjectLife+1,0,(Operations!U12+Operations!U22)*MainMWh*((1+OM_Escal)^(V4-'Project Assumptions'!$N$6))/1000)</f>
        <v>761.501069161429</v>
      </c>
      <c r="W27" s="443" t="n">
        <f aca="false">IF(W3&gt;ProjectLife+1,0,(Operations!V12+Operations!V22)*MainMWh*((1+OM_Escal)^(W4-'Project Assumptions'!$N$6))/1000)</f>
        <v>784.346101236272</v>
      </c>
      <c r="X27" s="444" t="n">
        <f aca="false">IF(X3&gt;ProjectLife+1,0,(Operations!W12+Operations!W22)*MainMWh*((1+OM_Escal)^(X4-'Project Assumptions'!$N$6))/1000)</f>
        <v>807.87648427336</v>
      </c>
      <c r="Y27" s="713"/>
      <c r="Z27" s="713"/>
      <c r="AA27" s="713"/>
      <c r="AB27" s="713"/>
    </row>
    <row r="28" customFormat="false" ht="12.6" hidden="false" customHeight="true" outlineLevel="0" collapsed="false">
      <c r="B28" s="417" t="s">
        <v>493</v>
      </c>
      <c r="C28" s="450" t="n">
        <f aca="false">AVERAGE(D28:W28)</f>
        <v>698.171222181252</v>
      </c>
      <c r="D28" s="730" t="n">
        <f aca="false">SUM(D25:D27)</f>
        <v>472.12</v>
      </c>
      <c r="E28" s="730" t="n">
        <f aca="false">SUM(E25:E27)</f>
        <v>495.910254977376</v>
      </c>
      <c r="F28" s="730" t="n">
        <f aca="false">SUM(F25:F27)</f>
        <v>517.870030217195</v>
      </c>
      <c r="G28" s="730" t="n">
        <f aca="false">SUM(G25:G27)</f>
        <v>533.406131123711</v>
      </c>
      <c r="H28" s="730" t="n">
        <f aca="false">SUM(H25:H27)</f>
        <v>577.909135218536</v>
      </c>
      <c r="I28" s="730" t="n">
        <f aca="false">SUM(I25:I27)</f>
        <v>611.122184947635</v>
      </c>
      <c r="J28" s="730" t="n">
        <f aca="false">SUM(J25:J27)</f>
        <v>629.455850496064</v>
      </c>
      <c r="K28" s="730" t="n">
        <f aca="false">SUM(K25:K27)</f>
        <v>648.339526010946</v>
      </c>
      <c r="L28" s="730" t="n">
        <f aca="false">SUM(L25:L27)</f>
        <v>667.789711791274</v>
      </c>
      <c r="M28" s="730" t="n">
        <f aca="false">SUM(M25:M27)</f>
        <v>687.823403145012</v>
      </c>
      <c r="N28" s="730" t="n">
        <f aca="false">SUM(N25:N27)</f>
        <v>708.458105239363</v>
      </c>
      <c r="O28" s="730" t="n">
        <f aca="false">SUM(O25:O27)</f>
        <v>729.711848396544</v>
      </c>
      <c r="P28" s="730" t="n">
        <f aca="false">SUM(P25:P27)</f>
        <v>751.60320384844</v>
      </c>
      <c r="Q28" s="730" t="n">
        <f aca="false">SUM(Q25:Q27)</f>
        <v>774.151299963893</v>
      </c>
      <c r="R28" s="730" t="n">
        <f aca="false">SUM(R25:R27)</f>
        <v>797.37583896281</v>
      </c>
      <c r="S28" s="730" t="n">
        <f aca="false">SUM(S25:S27)</f>
        <v>821.297114131694</v>
      </c>
      <c r="T28" s="730" t="n">
        <f aca="false">SUM(T25:T27)</f>
        <v>845.936027555645</v>
      </c>
      <c r="U28" s="730" t="n">
        <f aca="false">SUM(U25:U27)</f>
        <v>871.314108382314</v>
      </c>
      <c r="V28" s="730" t="n">
        <f aca="false">SUM(V25:V27)</f>
        <v>897.453531633784</v>
      </c>
      <c r="W28" s="730" t="n">
        <f aca="false">SUM(W25:W27)</f>
        <v>924.377137582798</v>
      </c>
      <c r="X28" s="731" t="n">
        <f aca="false">SUM(X25:X27)</f>
        <v>952.108451710282</v>
      </c>
      <c r="Y28" s="713"/>
      <c r="Z28" s="713"/>
      <c r="AA28" s="713"/>
      <c r="AB28" s="713"/>
    </row>
    <row r="29" customFormat="false" ht="12.6" hidden="false" customHeight="true" outlineLevel="0" collapsed="false">
      <c r="B29" s="728" t="s">
        <v>494</v>
      </c>
      <c r="D29" s="732" t="n">
        <f aca="false">D23+D28</f>
        <v>16708.93696</v>
      </c>
      <c r="E29" s="732" t="n">
        <f aca="false">E28+E23</f>
        <v>17054.1574149774</v>
      </c>
      <c r="F29" s="732" t="n">
        <f aca="false">F28+F23</f>
        <v>17305.7101902172</v>
      </c>
      <c r="G29" s="732" t="n">
        <f aca="false">G28+G23</f>
        <v>17321.2462911237</v>
      </c>
      <c r="H29" s="732" t="n">
        <f aca="false">H28+H23</f>
        <v>18236.6265647839</v>
      </c>
      <c r="I29" s="732" t="n">
        <f aca="false">I28+I23</f>
        <v>18740.8140415876</v>
      </c>
      <c r="J29" s="732" t="n">
        <f aca="false">J28+J23</f>
        <v>18759.1477071361</v>
      </c>
      <c r="K29" s="732" t="n">
        <f aca="false">K28+K23</f>
        <v>18778.0313826509</v>
      </c>
      <c r="L29" s="732" t="n">
        <f aca="false">L28+L23</f>
        <v>18797.4815684313</v>
      </c>
      <c r="M29" s="732" t="n">
        <f aca="false">M28+M23</f>
        <v>18817.515259785</v>
      </c>
      <c r="N29" s="732" t="n">
        <f aca="false">N28+N23</f>
        <v>18838.1499618794</v>
      </c>
      <c r="O29" s="732" t="n">
        <f aca="false">O28+O23</f>
        <v>18859.4037050365</v>
      </c>
      <c r="P29" s="732" t="n">
        <f aca="false">P28+P23</f>
        <v>18881.2950604884</v>
      </c>
      <c r="Q29" s="732" t="n">
        <f aca="false">Q28+Q23</f>
        <v>18903.8431566039</v>
      </c>
      <c r="R29" s="732" t="n">
        <f aca="false">R28+R23</f>
        <v>18927.0676956028</v>
      </c>
      <c r="S29" s="732" t="n">
        <f aca="false">S28+S23</f>
        <v>18950.9889707717</v>
      </c>
      <c r="T29" s="732" t="n">
        <f aca="false">T28+T23</f>
        <v>18975.6278841956</v>
      </c>
      <c r="U29" s="732" t="n">
        <f aca="false">U28+U23</f>
        <v>19001.0059650223</v>
      </c>
      <c r="V29" s="732" t="n">
        <f aca="false">V28+V23</f>
        <v>19027.1453882738</v>
      </c>
      <c r="W29" s="732" t="n">
        <f aca="false">W28+W23</f>
        <v>19054.0689942228</v>
      </c>
      <c r="X29" s="733" t="n">
        <f aca="false">X28+X23</f>
        <v>19081.8003083503</v>
      </c>
      <c r="Y29" s="713"/>
      <c r="Z29" s="713"/>
      <c r="AA29" s="713"/>
      <c r="AB29" s="713"/>
    </row>
    <row r="30" customFormat="false" ht="12.6" hidden="false" customHeight="true" outlineLevel="0" collapsed="false">
      <c r="B30" s="728"/>
      <c r="D30" s="438"/>
      <c r="E30" s="438"/>
      <c r="F30" s="438"/>
      <c r="G30" s="438"/>
      <c r="H30" s="438"/>
      <c r="I30" s="438"/>
      <c r="J30" s="438"/>
      <c r="K30" s="438"/>
      <c r="L30" s="438"/>
      <c r="M30" s="438"/>
      <c r="N30" s="438"/>
      <c r="O30" s="438"/>
      <c r="P30" s="438"/>
      <c r="Q30" s="438"/>
      <c r="R30" s="438"/>
      <c r="S30" s="438"/>
      <c r="T30" s="438"/>
      <c r="U30" s="438"/>
      <c r="V30" s="438"/>
      <c r="W30" s="438"/>
      <c r="X30" s="439"/>
      <c r="Y30" s="713"/>
      <c r="Z30" s="713"/>
      <c r="AA30" s="713"/>
      <c r="AB30" s="713"/>
    </row>
    <row r="31" customFormat="false" ht="12.6" hidden="false" customHeight="true" outlineLevel="0" collapsed="false">
      <c r="B31" s="728" t="s">
        <v>495</v>
      </c>
      <c r="D31" s="438"/>
      <c r="E31" s="438"/>
      <c r="F31" s="438"/>
      <c r="G31" s="438"/>
      <c r="H31" s="438"/>
      <c r="I31" s="438"/>
      <c r="J31" s="438"/>
      <c r="K31" s="438"/>
      <c r="L31" s="438"/>
      <c r="M31" s="438"/>
      <c r="N31" s="438"/>
      <c r="O31" s="438"/>
      <c r="P31" s="438"/>
      <c r="Q31" s="438"/>
      <c r="R31" s="438"/>
      <c r="S31" s="438"/>
      <c r="T31" s="438"/>
      <c r="U31" s="438"/>
      <c r="V31" s="438"/>
      <c r="W31" s="438"/>
      <c r="X31" s="439"/>
      <c r="Y31" s="713"/>
      <c r="Z31" s="713"/>
      <c r="AA31" s="713"/>
      <c r="AB31" s="713"/>
    </row>
    <row r="32" customFormat="false" ht="12.6" hidden="false" customHeight="true" outlineLevel="0" collapsed="false">
      <c r="A32" s="450" t="n">
        <v>5</v>
      </c>
      <c r="B32" s="417" t="s">
        <v>496</v>
      </c>
      <c r="C32" s="450" t="n">
        <f aca="false">AVERAGE(D32:W32)</f>
        <v>1812.78294452458</v>
      </c>
      <c r="D32" s="441" t="n">
        <f aca="false">IF(D3&gt;ProjectLife+1,0,Main_Start*'Project Assumptions'!$L$15*(1+Main_Escal)^(D4-'Project Assumptions'!$N$6)/1000)</f>
        <v>1349.28</v>
      </c>
      <c r="E32" s="441" t="n">
        <f aca="false">IF(E3&gt;ProjectLife+1,0,Main_Start*'Project Assumptions'!$L$15*(1+Main_Escal)^(E4-'Project Assumptions'!$N$6)/1000)</f>
        <v>1389.7584</v>
      </c>
      <c r="F32" s="441" t="n">
        <f aca="false">IF(F3&gt;ProjectLife+1,0,Main_Start*'Project Assumptions'!$L$15*(1+Main_Escal)^(F4-'Project Assumptions'!$N$6)/1000)</f>
        <v>1431.451152</v>
      </c>
      <c r="G32" s="441" t="n">
        <f aca="false">IF(G3&gt;ProjectLife+1,0,Main_Start*'Project Assumptions'!$L$15*(1+Main_Escal)^(G4-'Project Assumptions'!$N$6)/1000)</f>
        <v>1474.39468656</v>
      </c>
      <c r="H32" s="441" t="n">
        <f aca="false">IF(H3&gt;ProjectLife+1,0,Main_Start*'Project Assumptions'!$L$15*(1+Main_Escal)^(H4-'Project Assumptions'!$N$6)/1000)</f>
        <v>1518.6265271568</v>
      </c>
      <c r="I32" s="441" t="n">
        <f aca="false">IF(I3&gt;ProjectLife+1,0,Main_Start*'Project Assumptions'!$L$15*(1+Main_Escal)^(I4-'Project Assumptions'!$N$6)/1000)</f>
        <v>1564.1853229715</v>
      </c>
      <c r="J32" s="441" t="n">
        <f aca="false">IF(J3&gt;ProjectLife+1,0,Main_Start*'Project Assumptions'!$L$15*(1+Main_Escal)^(J4-'Project Assumptions'!$N$6)/1000)</f>
        <v>1611.11088266065</v>
      </c>
      <c r="K32" s="441" t="n">
        <f aca="false">IF(K3&gt;ProjectLife+1,0,Main_Start*'Project Assumptions'!$L$15*(1+Main_Escal)^(K4-'Project Assumptions'!$N$6)/1000)</f>
        <v>1659.44420914047</v>
      </c>
      <c r="L32" s="441" t="n">
        <f aca="false">IF(L3&gt;ProjectLife+1,0,Main_Start*'Project Assumptions'!$L$15*(1+Main_Escal)^(L4-'Project Assumptions'!$N$6)/1000)</f>
        <v>1709.22753541468</v>
      </c>
      <c r="M32" s="441" t="n">
        <f aca="false">IF(M3&gt;ProjectLife+1,0,Main_Start*'Project Assumptions'!$L$15*(1+Main_Escal)^(M4-'Project Assumptions'!$N$6)/1000)</f>
        <v>1760.50436147712</v>
      </c>
      <c r="N32" s="441" t="n">
        <f aca="false">IF(N3&gt;ProjectLife+1,0,Main_Start*'Project Assumptions'!$L$15*(1+Main_Escal)^(N4-'Project Assumptions'!$N$6)/1000)</f>
        <v>1813.31949232144</v>
      </c>
      <c r="O32" s="441" t="n">
        <f aca="false">IF(O3&gt;ProjectLife+1,0,Main_Start*'Project Assumptions'!$L$15*(1+Main_Escal)^(O4-'Project Assumptions'!$N$6)/1000)</f>
        <v>1867.71907709108</v>
      </c>
      <c r="P32" s="441" t="n">
        <f aca="false">IF(P3&gt;ProjectLife+1,0,Main_Start*'Project Assumptions'!$L$15*(1+Main_Escal)^(P4-'Project Assumptions'!$N$6)/1000)</f>
        <v>1923.75064940381</v>
      </c>
      <c r="Q32" s="441" t="n">
        <f aca="false">IF(Q3&gt;ProjectLife+1,0,Main_Start*'Project Assumptions'!$L$15*(1+Main_Escal)^(Q4-'Project Assumptions'!$N$6)/1000)</f>
        <v>1981.46316888593</v>
      </c>
      <c r="R32" s="441" t="n">
        <f aca="false">IF(R3&gt;ProjectLife+1,0,Main_Start*'Project Assumptions'!$L$15*(1+Main_Escal)^(R4-'Project Assumptions'!$N$6)/1000)</f>
        <v>2040.90706395251</v>
      </c>
      <c r="S32" s="441" t="n">
        <f aca="false">IF(S3&gt;ProjectLife+1,0,Main_Start*'Project Assumptions'!$L$15*(1+Main_Escal)^(S4-'Project Assumptions'!$N$6)/1000)</f>
        <v>2102.13427587108</v>
      </c>
      <c r="T32" s="441" t="n">
        <f aca="false">IF(T3&gt;ProjectLife+1,0,Main_Start*'Project Assumptions'!$L$15*(1+Main_Escal)^(T4-'Project Assumptions'!$N$6)/1000)</f>
        <v>2165.19830414721</v>
      </c>
      <c r="U32" s="441" t="n">
        <f aca="false">IF(U3&gt;ProjectLife+1,0,Main_Start*'Project Assumptions'!$L$15*(1+Main_Escal)^(U4-'Project Assumptions'!$N$6)/1000)</f>
        <v>2230.15425327163</v>
      </c>
      <c r="V32" s="441" t="n">
        <f aca="false">IF(V3&gt;ProjectLife+1,0,Main_Start*'Project Assumptions'!$L$15*(1+Main_Escal)^(V4-'Project Assumptions'!$N$6)/1000)</f>
        <v>2297.05888086978</v>
      </c>
      <c r="W32" s="441" t="n">
        <f aca="false">IF(W3&gt;ProjectLife+1,0,Main_Start*'Project Assumptions'!$L$15*(1+Main_Escal)^(W4-'Project Assumptions'!$N$6)/1000)</f>
        <v>2365.97064729587</v>
      </c>
      <c r="X32" s="447" t="n">
        <f aca="false">IF(X3&gt;ProjectLife+1,0,Main_Start*'Project Assumptions'!$L$15*(1+Main_Escal)^(X4-'Project Assumptions'!$N$6)/1000)</f>
        <v>2436.94976671475</v>
      </c>
      <c r="Y32" s="716"/>
      <c r="Z32" s="716"/>
      <c r="AA32" s="716"/>
      <c r="AB32" s="716"/>
    </row>
    <row r="33" customFormat="false" ht="12.6" hidden="false" customHeight="true" outlineLevel="0" collapsed="false">
      <c r="A33" s="450" t="n">
        <v>4</v>
      </c>
      <c r="B33" s="729" t="s">
        <v>497</v>
      </c>
      <c r="D33" s="443" t="n">
        <f aca="false">IF(D3&gt;ProjectLife+1,0,Fuel_Start*'Project Assumptions'!$L$16)/1000</f>
        <v>0</v>
      </c>
      <c r="E33" s="443" t="n">
        <f aca="false">IF(E3&gt;ProjectLife+1,0,Fuel_Start*'Project Assumptions'!$L$16)/1000</f>
        <v>0</v>
      </c>
      <c r="F33" s="443" t="n">
        <f aca="false">IF(F3&gt;ProjectLife+1,0,Fuel_Start*'Project Assumptions'!$L$16)/1000</f>
        <v>0</v>
      </c>
      <c r="G33" s="443" t="n">
        <f aca="false">IF(G3&gt;ProjectLife+1,0,Fuel_Start*'Project Assumptions'!$L$16)/1000</f>
        <v>0</v>
      </c>
      <c r="H33" s="443" t="n">
        <f aca="false">IF(H3&gt;ProjectLife+1,0,Fuel_Start*'Project Assumptions'!$L$16)/1000</f>
        <v>0</v>
      </c>
      <c r="I33" s="443" t="n">
        <f aca="false">IF(I3&gt;ProjectLife+1,0,Fuel_Start*'Project Assumptions'!$L$16)/1000</f>
        <v>0</v>
      </c>
      <c r="J33" s="443" t="n">
        <f aca="false">IF(J3&gt;ProjectLife+1,0,Fuel_Start*'Project Assumptions'!$L$16)/1000</f>
        <v>0</v>
      </c>
      <c r="K33" s="443" t="n">
        <f aca="false">IF(K3&gt;ProjectLife+1,0,Fuel_Start*'Project Assumptions'!$L$16)/1000</f>
        <v>0</v>
      </c>
      <c r="L33" s="443" t="n">
        <f aca="false">IF(L3&gt;ProjectLife+1,0,Fuel_Start*'Project Assumptions'!$L$16)/1000</f>
        <v>0</v>
      </c>
      <c r="M33" s="443" t="n">
        <f aca="false">IF(M3&gt;ProjectLife+1,0,Fuel_Start*'Project Assumptions'!$L$16)/1000</f>
        <v>0</v>
      </c>
      <c r="N33" s="443" t="n">
        <f aca="false">IF(N3&gt;ProjectLife+1,0,Fuel_Start*'Project Assumptions'!$L$16)/1000</f>
        <v>0</v>
      </c>
      <c r="O33" s="443" t="n">
        <f aca="false">IF(O3&gt;ProjectLife+1,0,Fuel_Start*'Project Assumptions'!$L$16)/1000</f>
        <v>0</v>
      </c>
      <c r="P33" s="443" t="n">
        <f aca="false">IF(P3&gt;ProjectLife+1,0,Fuel_Start*'Project Assumptions'!$L$16)/1000</f>
        <v>0</v>
      </c>
      <c r="Q33" s="443" t="n">
        <f aca="false">IF(Q3&gt;ProjectLife+1,0,Fuel_Start*'Project Assumptions'!$L$16)/1000</f>
        <v>0</v>
      </c>
      <c r="R33" s="443" t="n">
        <f aca="false">IF(R3&gt;ProjectLife+1,0,Fuel_Start*'Project Assumptions'!$L$16)/1000</f>
        <v>0</v>
      </c>
      <c r="S33" s="443" t="n">
        <f aca="false">IF(S3&gt;ProjectLife+1,0,Fuel_Start*'Project Assumptions'!$L$16)/1000</f>
        <v>0</v>
      </c>
      <c r="T33" s="443" t="n">
        <f aca="false">IF(T3&gt;ProjectLife+1,0,Fuel_Start*'Project Assumptions'!$L$16)/1000</f>
        <v>0</v>
      </c>
      <c r="U33" s="443" t="n">
        <f aca="false">IF(U3&gt;ProjectLife+1,0,Fuel_Start*'Project Assumptions'!$L$16)/1000</f>
        <v>0</v>
      </c>
      <c r="V33" s="443" t="n">
        <f aca="false">IF(V3&gt;ProjectLife+1,0,Fuel_Start*'Project Assumptions'!$L$16)/1000</f>
        <v>0</v>
      </c>
      <c r="W33" s="443" t="n">
        <f aca="false">IF(W3&gt;ProjectLife+1,0,Fuel_Start*'Project Assumptions'!$L$16)/1000</f>
        <v>0</v>
      </c>
      <c r="X33" s="444" t="n">
        <f aca="false">IF(X3&gt;ProjectLife+1,0,Fuel_Start*'Project Assumptions'!$L$16)/1000</f>
        <v>0</v>
      </c>
      <c r="Y33" s="713"/>
      <c r="Z33" s="713"/>
      <c r="AA33" s="713"/>
      <c r="AB33" s="713"/>
    </row>
    <row r="34" customFormat="false" ht="12.6" hidden="false" customHeight="true" outlineLevel="0" collapsed="false">
      <c r="B34" s="728" t="s">
        <v>498</v>
      </c>
      <c r="D34" s="732" t="n">
        <f aca="false">SUM(D32:D33)</f>
        <v>1349.28</v>
      </c>
      <c r="E34" s="732" t="n">
        <f aca="false">SUM(E32:E33)</f>
        <v>1389.7584</v>
      </c>
      <c r="F34" s="732" t="n">
        <f aca="false">SUM(F32:F33)</f>
        <v>1431.451152</v>
      </c>
      <c r="G34" s="732" t="n">
        <f aca="false">SUM(G32:G33)</f>
        <v>1474.39468656</v>
      </c>
      <c r="H34" s="732" t="n">
        <f aca="false">SUM(H32:H33)</f>
        <v>1518.6265271568</v>
      </c>
      <c r="I34" s="732" t="n">
        <f aca="false">SUM(I32:I33)</f>
        <v>1564.1853229715</v>
      </c>
      <c r="J34" s="732" t="n">
        <f aca="false">SUM(J32:J33)</f>
        <v>1611.11088266065</v>
      </c>
      <c r="K34" s="732" t="n">
        <f aca="false">SUM(K32:K33)</f>
        <v>1659.44420914047</v>
      </c>
      <c r="L34" s="732" t="n">
        <f aca="false">SUM(L32:L33)</f>
        <v>1709.22753541468</v>
      </c>
      <c r="M34" s="732" t="n">
        <f aca="false">SUM(M32:M33)</f>
        <v>1760.50436147712</v>
      </c>
      <c r="N34" s="732" t="n">
        <f aca="false">SUM(N32:N33)</f>
        <v>1813.31949232144</v>
      </c>
      <c r="O34" s="732" t="n">
        <f aca="false">SUM(O32:O33)</f>
        <v>1867.71907709108</v>
      </c>
      <c r="P34" s="732" t="n">
        <f aca="false">SUM(P32:P33)</f>
        <v>1923.75064940381</v>
      </c>
      <c r="Q34" s="732" t="n">
        <f aca="false">SUM(Q32:Q33)</f>
        <v>1981.46316888593</v>
      </c>
      <c r="R34" s="732" t="n">
        <f aca="false">SUM(R32:R33)</f>
        <v>2040.90706395251</v>
      </c>
      <c r="S34" s="732" t="n">
        <f aca="false">SUM(S32:S33)</f>
        <v>2102.13427587108</v>
      </c>
      <c r="T34" s="732" t="n">
        <f aca="false">SUM(T32:T33)</f>
        <v>2165.19830414721</v>
      </c>
      <c r="U34" s="732" t="n">
        <f aca="false">SUM(U32:U33)</f>
        <v>2230.15425327163</v>
      </c>
      <c r="V34" s="732" t="n">
        <f aca="false">SUM(V32:V33)</f>
        <v>2297.05888086978</v>
      </c>
      <c r="W34" s="732" t="n">
        <f aca="false">SUM(W32:W33)</f>
        <v>2365.97064729587</v>
      </c>
      <c r="X34" s="733" t="n">
        <f aca="false">SUM(X32:X33)</f>
        <v>2436.94976671475</v>
      </c>
      <c r="Y34" s="713"/>
      <c r="Z34" s="713"/>
      <c r="AA34" s="713"/>
      <c r="AB34" s="713"/>
    </row>
    <row r="35" customFormat="false" ht="12.6" hidden="false" customHeight="true" outlineLevel="0" collapsed="false">
      <c r="B35" s="417"/>
      <c r="D35" s="438"/>
      <c r="E35" s="438"/>
      <c r="F35" s="438"/>
      <c r="G35" s="438"/>
      <c r="H35" s="438"/>
      <c r="I35" s="438"/>
      <c r="J35" s="438"/>
      <c r="K35" s="438"/>
      <c r="L35" s="438"/>
      <c r="M35" s="438"/>
      <c r="N35" s="438"/>
      <c r="O35" s="438"/>
      <c r="P35" s="438"/>
      <c r="Q35" s="438"/>
      <c r="R35" s="438"/>
      <c r="S35" s="438"/>
      <c r="T35" s="438"/>
      <c r="U35" s="438"/>
      <c r="V35" s="438"/>
      <c r="W35" s="438"/>
      <c r="X35" s="439"/>
      <c r="Y35" s="713"/>
      <c r="Z35" s="713"/>
      <c r="AA35" s="713"/>
      <c r="AB35" s="713"/>
    </row>
    <row r="36" customFormat="false" ht="12.6" hidden="false" customHeight="true" outlineLevel="0" collapsed="false">
      <c r="B36" s="728" t="s">
        <v>499</v>
      </c>
      <c r="D36" s="438"/>
      <c r="E36" s="438"/>
      <c r="F36" s="438"/>
      <c r="G36" s="438"/>
      <c r="H36" s="438"/>
      <c r="I36" s="438"/>
      <c r="J36" s="438"/>
      <c r="K36" s="438"/>
      <c r="L36" s="438"/>
      <c r="M36" s="438"/>
      <c r="N36" s="438"/>
      <c r="O36" s="438"/>
      <c r="P36" s="438"/>
      <c r="Q36" s="438"/>
      <c r="R36" s="438"/>
      <c r="S36" s="438"/>
      <c r="T36" s="438"/>
      <c r="U36" s="438"/>
      <c r="V36" s="438"/>
      <c r="W36" s="438"/>
      <c r="X36" s="439"/>
      <c r="Y36" s="713"/>
      <c r="Z36" s="713"/>
      <c r="AA36" s="713"/>
      <c r="AB36" s="713"/>
    </row>
    <row r="37" customFormat="false" ht="12.6" hidden="false" customHeight="true" outlineLevel="0" collapsed="false">
      <c r="A37" s="450" t="n">
        <v>2</v>
      </c>
      <c r="B37" s="417" t="s">
        <v>500</v>
      </c>
      <c r="C37" s="450" t="n">
        <f aca="false">AVERAGE(D37:W37)</f>
        <v>612.080609788666</v>
      </c>
      <c r="D37" s="441" t="n">
        <f aca="false">Labor*('Book Income Statement'!D6/12)</f>
        <v>194.0375</v>
      </c>
      <c r="E37" s="441" t="n">
        <f aca="false">IF(E3&gt;ProjectLife+1,0,Labor*((1+OM_Escal)^(E4-'Project Assumptions'!$N$6))*E5/12)</f>
        <v>479.6607</v>
      </c>
      <c r="F37" s="441" t="n">
        <f aca="false">IF(F3&gt;ProjectLife+1,0,Labor*((1+OM_Escal)^(F4-'Project Assumptions'!$N$6))*F5/12)</f>
        <v>494.050521</v>
      </c>
      <c r="G37" s="441" t="n">
        <f aca="false">IF(G3&gt;ProjectLife+1,0,Labor*((1+OM_Escal)^(G4-'Project Assumptions'!$N$6))*G5/12)</f>
        <v>508.87203663</v>
      </c>
      <c r="H37" s="441" t="n">
        <f aca="false">IF(H3&gt;ProjectLife+1,0,Labor*((1+OM_Escal)^(H4-'Project Assumptions'!$N$6))*H5/12)</f>
        <v>524.1381977289</v>
      </c>
      <c r="I37" s="441" t="n">
        <f aca="false">IF(I3&gt;ProjectLife+1,0,Labor*((1+OM_Escal)^(I4-'Project Assumptions'!$N$6))*I5/12)</f>
        <v>539.862343660767</v>
      </c>
      <c r="J37" s="441" t="n">
        <f aca="false">IF(J3&gt;ProjectLife+1,0,Labor*((1+OM_Escal)^(J4-'Project Assumptions'!$N$6))*J5/12)</f>
        <v>556.05821397059</v>
      </c>
      <c r="K37" s="441" t="n">
        <f aca="false">IF(K3&gt;ProjectLife+1,0,Labor*((1+OM_Escal)^(K4-'Project Assumptions'!$N$6))*K5/12)</f>
        <v>572.739960389708</v>
      </c>
      <c r="L37" s="441" t="n">
        <f aca="false">IF(L3&gt;ProjectLife+1,0,Labor*((1+OM_Escal)^(L4-'Project Assumptions'!$N$6))*L5/12)</f>
        <v>589.922159201399</v>
      </c>
      <c r="M37" s="441" t="n">
        <f aca="false">IF(M3&gt;ProjectLife+1,0,Labor*((1+OM_Escal)^(M4-'Project Assumptions'!$N$6))*M5/12)</f>
        <v>607.619823977441</v>
      </c>
      <c r="N37" s="441" t="n">
        <f aca="false">IF(N3&gt;ProjectLife+1,0,Labor*((1+OM_Escal)^(N4-'Project Assumptions'!$N$6))*N5/12)</f>
        <v>625.848418696764</v>
      </c>
      <c r="O37" s="441" t="n">
        <f aca="false">IF(O3&gt;ProjectLife+1,0,Labor*((1+OM_Escal)^(O4-'Project Assumptions'!$N$6))*O5/12)</f>
        <v>644.623871257667</v>
      </c>
      <c r="P37" s="441" t="n">
        <f aca="false">IF(P3&gt;ProjectLife+1,0,Labor*((1+OM_Escal)^(P4-'Project Assumptions'!$N$6))*P5/12)</f>
        <v>663.962587395397</v>
      </c>
      <c r="Q37" s="441" t="n">
        <f aca="false">IF(Q3&gt;ProjectLife+1,0,Labor*((1+OM_Escal)^(Q4-'Project Assumptions'!$N$6))*Q5/12)</f>
        <v>683.881465017259</v>
      </c>
      <c r="R37" s="441" t="n">
        <f aca="false">IF(R3&gt;ProjectLife+1,0,Labor*((1+OM_Escal)^(R4-'Project Assumptions'!$N$6))*R5/12)</f>
        <v>704.397908967777</v>
      </c>
      <c r="S37" s="441" t="n">
        <f aca="false">IF(S3&gt;ProjectLife+1,0,Labor*((1+OM_Escal)^(S4-'Project Assumptions'!$N$6))*S5/12)</f>
        <v>725.52984623681</v>
      </c>
      <c r="T37" s="441" t="n">
        <f aca="false">IF(T3&gt;ProjectLife+1,0,Labor*((1+OM_Escal)^(T4-'Project Assumptions'!$N$6))*T5/12)</f>
        <v>747.295741623915</v>
      </c>
      <c r="U37" s="441" t="n">
        <f aca="false">IF(U3&gt;ProjectLife+1,0,Labor*((1+OM_Escal)^(U4-'Project Assumptions'!$N$6))*U5/12)</f>
        <v>769.714613872632</v>
      </c>
      <c r="V37" s="441" t="n">
        <f aca="false">IF(V3&gt;ProjectLife+1,0,Labor*((1+OM_Escal)^(V4-'Project Assumptions'!$N$6))*V5/12)</f>
        <v>792.806052288811</v>
      </c>
      <c r="W37" s="441" t="n">
        <f aca="false">IF(W3&gt;ProjectLife+1,0,Labor*((1+OM_Escal)^(W4-'Project Assumptions'!$N$6))*W5/12)</f>
        <v>816.590233857476</v>
      </c>
      <c r="X37" s="447" t="n">
        <f aca="false">IF(X3&gt;ProjectLife+1,0,Labor*((1+OM_Escal)^(X4-'Project Assumptions'!$N$6))*X5/12)</f>
        <v>841.0879408732</v>
      </c>
      <c r="Y37" s="716"/>
      <c r="Z37" s="716"/>
      <c r="AA37" s="716"/>
      <c r="AB37" s="716"/>
    </row>
    <row r="38" customFormat="false" ht="12.6" hidden="false" customHeight="true" outlineLevel="0" collapsed="false">
      <c r="A38" s="450" t="n">
        <v>2</v>
      </c>
      <c r="B38" s="417" t="s">
        <v>501</v>
      </c>
      <c r="C38" s="450" t="n">
        <f aca="false">AVERAGE(D38:W38)</f>
        <v>309.871641142768</v>
      </c>
      <c r="D38" s="441" t="n">
        <f aca="false">Fixed*('Book Income Statement'!D6/12)</f>
        <v>98.2333333333333</v>
      </c>
      <c r="E38" s="441" t="n">
        <f aca="false">IF(E3&gt;ProjectLife+1,0,Fixed*((1+OM_Escal)^(E4-'Project Assumptions'!$N$6))*E5/12)</f>
        <v>242.8328</v>
      </c>
      <c r="F38" s="441" t="n">
        <f aca="false">IF(F3&gt;ProjectLife+1,0,Fixed*((1+OM_Escal)^(F4-'Project Assumptions'!$N$6))*F5/12)</f>
        <v>250.117784</v>
      </c>
      <c r="G38" s="441" t="n">
        <f aca="false">IF(G3&gt;ProjectLife+1,0,Fixed*((1+OM_Escal)^(G4-'Project Assumptions'!$N$6))*G5/12)</f>
        <v>257.62131752</v>
      </c>
      <c r="H38" s="441" t="n">
        <f aca="false">IF(H3&gt;ProjectLife+1,0,Fixed*((1+OM_Escal)^(H4-'Project Assumptions'!$N$6))*H5/12)</f>
        <v>265.3499570456</v>
      </c>
      <c r="I38" s="441" t="n">
        <f aca="false">IF(I3&gt;ProjectLife+1,0,Fixed*((1+OM_Escal)^(I4-'Project Assumptions'!$N$6))*I5/12)</f>
        <v>273.310455756968</v>
      </c>
      <c r="J38" s="441" t="n">
        <f aca="false">IF(J3&gt;ProjectLife+1,0,Fixed*((1+OM_Escal)^(J4-'Project Assumptions'!$N$6))*J5/12)</f>
        <v>281.509769429677</v>
      </c>
      <c r="K38" s="441" t="n">
        <f aca="false">IF(K3&gt;ProjectLife+1,0,Fixed*((1+OM_Escal)^(K4-'Project Assumptions'!$N$6))*K5/12)</f>
        <v>289.955062512567</v>
      </c>
      <c r="L38" s="441" t="n">
        <f aca="false">IF(L3&gt;ProjectLife+1,0,Fixed*((1+OM_Escal)^(L4-'Project Assumptions'!$N$6))*L5/12)</f>
        <v>298.653714387944</v>
      </c>
      <c r="M38" s="441" t="n">
        <f aca="false">IF(M3&gt;ProjectLife+1,0,Fixed*((1+OM_Escal)^(M4-'Project Assumptions'!$N$6))*M5/12)</f>
        <v>307.613325819583</v>
      </c>
      <c r="N38" s="441" t="n">
        <f aca="false">IF(N3&gt;ProjectLife+1,0,Fixed*((1+OM_Escal)^(N4-'Project Assumptions'!$N$6))*N5/12)</f>
        <v>316.84172559417</v>
      </c>
      <c r="O38" s="441" t="n">
        <f aca="false">IF(O3&gt;ProjectLife+1,0,Fixed*((1+OM_Escal)^(O4-'Project Assumptions'!$N$6))*O5/12)</f>
        <v>326.346977361995</v>
      </c>
      <c r="P38" s="441" t="n">
        <f aca="false">IF(P3&gt;ProjectLife+1,0,Fixed*((1+OM_Escal)^(P4-'Project Assumptions'!$N$6))*P5/12)</f>
        <v>336.137386682855</v>
      </c>
      <c r="Q38" s="441" t="n">
        <f aca="false">IF(Q3&gt;ProjectLife+1,0,Fixed*((1+OM_Escal)^(Q4-'Project Assumptions'!$N$6))*Q5/12)</f>
        <v>346.221508283341</v>
      </c>
      <c r="R38" s="441" t="n">
        <f aca="false">IF(R3&gt;ProjectLife+1,0,Fixed*((1+OM_Escal)^(R4-'Project Assumptions'!$N$6))*R5/12)</f>
        <v>356.608153531841</v>
      </c>
      <c r="S38" s="441" t="n">
        <f aca="false">IF(S3&gt;ProjectLife+1,0,Fixed*((1+OM_Escal)^(S4-'Project Assumptions'!$N$6))*S5/12)</f>
        <v>367.306398137796</v>
      </c>
      <c r="T38" s="441" t="n">
        <f aca="false">IF(T3&gt;ProjectLife+1,0,Fixed*((1+OM_Escal)^(T4-'Project Assumptions'!$N$6))*T5/12)</f>
        <v>378.32559008193</v>
      </c>
      <c r="U38" s="441" t="n">
        <f aca="false">IF(U3&gt;ProjectLife+1,0,Fixed*((1+OM_Escal)^(U4-'Project Assumptions'!$N$6))*U5/12)</f>
        <v>389.675357784388</v>
      </c>
      <c r="V38" s="441" t="n">
        <f aca="false">IF(V3&gt;ProjectLife+1,0,Fixed*((1+OM_Escal)^(V4-'Project Assumptions'!$N$6))*V5/12)</f>
        <v>401.36561851792</v>
      </c>
      <c r="W38" s="441" t="n">
        <f aca="false">IF(W3&gt;ProjectLife+1,0,Fixed*((1+OM_Escal)^(W4-'Project Assumptions'!$N$6))*W5/12)</f>
        <v>413.406587073457</v>
      </c>
      <c r="X38" s="447" t="n">
        <f aca="false">IF(X3&gt;ProjectLife+1,0,Fixed*((1+OM_Escal)^(X4-'Project Assumptions'!$N$6))*X5/12)</f>
        <v>425.808784685661</v>
      </c>
      <c r="Y38" s="716"/>
      <c r="Z38" s="716"/>
      <c r="AA38" s="716"/>
      <c r="AB38" s="716"/>
    </row>
    <row r="39" customFormat="false" ht="12.6" hidden="false" customHeight="true" outlineLevel="0" collapsed="false">
      <c r="A39" s="450" t="n">
        <v>12</v>
      </c>
      <c r="B39" s="417" t="s">
        <v>502</v>
      </c>
      <c r="C39" s="450" t="n">
        <f aca="false">AVERAGE(D39:W39)</f>
        <v>201.018550013772</v>
      </c>
      <c r="D39" s="441" t="n">
        <f aca="false">IF(D3&gt;ProjectLife+1,0,'Project Assumptions'!$N$22*((1+OM_Escal)^(D4-'Project Assumptions'!$N$6))*D5/12)</f>
        <v>63.7254901960785</v>
      </c>
      <c r="E39" s="441" t="n">
        <f aca="false">IF(E3&gt;ProjectLife+1,0,'Project Assumptions'!$N$22*((1+OM_Escal)^(E4-'Project Assumptions'!$N$6))*E5/12)</f>
        <v>157.529411764706</v>
      </c>
      <c r="F39" s="441" t="n">
        <f aca="false">IF(F3&gt;ProjectLife+1,0,'Project Assumptions'!$N$22*((1+OM_Escal)^(F4-'Project Assumptions'!$N$6))*F5/12)</f>
        <v>162.255294117647</v>
      </c>
      <c r="G39" s="441" t="n">
        <f aca="false">IF(G3&gt;ProjectLife+1,0,'Project Assumptions'!$N$22*((1+OM_Escal)^(G4-'Project Assumptions'!$N$6))*G5/12)</f>
        <v>167.122952941177</v>
      </c>
      <c r="H39" s="441" t="n">
        <f aca="false">IF(H3&gt;ProjectLife+1,0,'Project Assumptions'!$N$22*((1+OM_Escal)^(H4-'Project Assumptions'!$N$6))*H5/12)</f>
        <v>172.136641529412</v>
      </c>
      <c r="I39" s="441" t="n">
        <f aca="false">IF(I3&gt;ProjectLife+1,0,'Project Assumptions'!$N$22*((1+OM_Escal)^(I4-'Project Assumptions'!$N$6))*I5/12)</f>
        <v>177.300740775294</v>
      </c>
      <c r="J39" s="441" t="n">
        <f aca="false">IF(J3&gt;ProjectLife+1,0,'Project Assumptions'!$N$22*((1+OM_Escal)^(J4-'Project Assumptions'!$N$6))*J5/12)</f>
        <v>182.619762998553</v>
      </c>
      <c r="K39" s="441" t="n">
        <f aca="false">IF(K3&gt;ProjectLife+1,0,'Project Assumptions'!$N$22*((1+OM_Escal)^(K4-'Project Assumptions'!$N$6))*K5/12)</f>
        <v>188.09835588851</v>
      </c>
      <c r="L39" s="441" t="n">
        <f aca="false">IF(L3&gt;ProjectLife+1,0,'Project Assumptions'!$N$22*((1+OM_Escal)^(L4-'Project Assumptions'!$N$6))*L5/12)</f>
        <v>193.741306565165</v>
      </c>
      <c r="M39" s="441" t="n">
        <f aca="false">IF(M3&gt;ProjectLife+1,0,'Project Assumptions'!$N$22*((1+OM_Escal)^(M4-'Project Assumptions'!$N$6))*M5/12)</f>
        <v>199.55354576212</v>
      </c>
      <c r="N39" s="441" t="n">
        <f aca="false">IF(N3&gt;ProjectLife+1,0,'Project Assumptions'!$N$22*((1+OM_Escal)^(N4-'Project Assumptions'!$N$6))*N5/12)</f>
        <v>205.540152134983</v>
      </c>
      <c r="O39" s="441" t="n">
        <f aca="false">IF(O3&gt;ProjectLife+1,0,'Project Assumptions'!$N$22*((1+OM_Escal)^(O4-'Project Assumptions'!$N$6))*O5/12)</f>
        <v>211.706356699033</v>
      </c>
      <c r="P39" s="441" t="n">
        <f aca="false">IF(P3&gt;ProjectLife+1,0,'Project Assumptions'!$N$22*((1+OM_Escal)^(P4-'Project Assumptions'!$N$6))*P5/12)</f>
        <v>218.057547400004</v>
      </c>
      <c r="Q39" s="441" t="n">
        <f aca="false">IF(Q3&gt;ProjectLife+1,0,'Project Assumptions'!$N$22*((1+OM_Escal)^(Q4-'Project Assumptions'!$N$6))*Q5/12)</f>
        <v>224.599273822004</v>
      </c>
      <c r="R39" s="441" t="n">
        <f aca="false">IF(R3&gt;ProjectLife+1,0,'Project Assumptions'!$N$22*((1+OM_Escal)^(R4-'Project Assumptions'!$N$6))*R5/12)</f>
        <v>231.337252036664</v>
      </c>
      <c r="S39" s="441" t="n">
        <f aca="false">IF(S3&gt;ProjectLife+1,0,'Project Assumptions'!$N$22*((1+OM_Escal)^(S4-'Project Assumptions'!$N$6))*S5/12)</f>
        <v>238.277369597764</v>
      </c>
      <c r="T39" s="441" t="n">
        <f aca="false">IF(T3&gt;ProjectLife+1,0,'Project Assumptions'!$N$22*((1+OM_Escal)^(T4-'Project Assumptions'!$N$6))*T5/12)</f>
        <v>245.425690685697</v>
      </c>
      <c r="U39" s="441" t="n">
        <f aca="false">IF(U3&gt;ProjectLife+1,0,'Project Assumptions'!$N$22*((1+OM_Escal)^(U4-'Project Assumptions'!$N$6))*U5/12)</f>
        <v>252.788461406268</v>
      </c>
      <c r="V39" s="441" t="n">
        <f aca="false">IF(V3&gt;ProjectLife+1,0,'Project Assumptions'!$N$22*((1+OM_Escal)^(V4-'Project Assumptions'!$N$6))*V5/12)</f>
        <v>260.372115248456</v>
      </c>
      <c r="W39" s="441" t="n">
        <f aca="false">IF(W3&gt;ProjectLife+1,0,'Project Assumptions'!$N$22*((1+OM_Escal)^(W4-'Project Assumptions'!$N$6))*W5/12)</f>
        <v>268.18327870591</v>
      </c>
      <c r="X39" s="447" t="n">
        <f aca="false">IF(X3&gt;ProjectLife+1,0,'Project Assumptions'!$N$22*((1+OM_Escal)^(X4-'Project Assumptions'!$N$6))*X5/12)</f>
        <v>276.228777067087</v>
      </c>
      <c r="Y39" s="716"/>
      <c r="Z39" s="716"/>
      <c r="AA39" s="716"/>
      <c r="AB39" s="716"/>
    </row>
    <row r="40" customFormat="false" ht="12.6" hidden="false" customHeight="true" outlineLevel="0" collapsed="false">
      <c r="B40" s="417" t="s">
        <v>503</v>
      </c>
      <c r="C40" s="450" t="n">
        <f aca="false">AVERAGE(D40:W40)</f>
        <v>409.178643265765</v>
      </c>
      <c r="D40" s="441" t="n">
        <f aca="false">IF(D3&gt;ProjectLife+1,0,'Project Assumptions'!$N$23*((1+OM_Escal)^(D4-2003))*D7/12)</f>
        <v>0</v>
      </c>
      <c r="E40" s="441" t="n">
        <f aca="false">IF(E3&gt;ProjectLife+1,0,'Project Assumptions'!$N$23*((1+OM_Escal)^(E4-2003))*E7/12)</f>
        <v>0</v>
      </c>
      <c r="F40" s="441" t="n">
        <f aca="false">IF(F3&gt;ProjectLife+1,0,'Project Assumptions'!$N$23*((1+OM_Escal)^(F4-2003))*F7/12)</f>
        <v>0</v>
      </c>
      <c r="G40" s="441" t="n">
        <f aca="false">IF(G3&gt;ProjectLife+1,0,'Project Assumptions'!$N$23*((1+OM_Escal)^(G4-2003))*G7/12)</f>
        <v>0</v>
      </c>
      <c r="H40" s="441" t="n">
        <f aca="false">IF(H3&gt;ProjectLife+1,0,'Project Assumptions'!$N$23*((1+OM_Escal)^(H4-2003))*H7/12)</f>
        <v>241.82872</v>
      </c>
      <c r="I40" s="441" t="n">
        <f aca="false">IF(I3&gt;ProjectLife+1,0,'Project Assumptions'!$N$23*((1+OM_Escal)^(I4-2003))*I7/12)</f>
        <v>427.0004256</v>
      </c>
      <c r="J40" s="441" t="n">
        <f aca="false">IF(J3&gt;ProjectLife+1,0,'Project Assumptions'!$N$23*((1+OM_Escal)^(J4-2003))*J7/12)</f>
        <v>439.810438368</v>
      </c>
      <c r="K40" s="441" t="n">
        <f aca="false">IF(K3&gt;ProjectLife+1,0,'Project Assumptions'!$N$23*((1+OM_Escal)^(K4-2003))*K7/12)</f>
        <v>453.00475151904</v>
      </c>
      <c r="L40" s="441" t="n">
        <f aca="false">IF(L3&gt;ProjectLife+1,0,'Project Assumptions'!$N$23*((1+OM_Escal)^(L4-2003))*L7/12)</f>
        <v>466.594894064611</v>
      </c>
      <c r="M40" s="441" t="n">
        <f aca="false">IF(M3&gt;ProjectLife+1,0,'Project Assumptions'!$N$23*((1+OM_Escal)^(M4-2003))*M7/12)</f>
        <v>480.59274088655</v>
      </c>
      <c r="N40" s="441" t="n">
        <f aca="false">IF(N3&gt;ProjectLife+1,0,'Project Assumptions'!$N$23*((1+OM_Escal)^(N4-2003))*N7/12)</f>
        <v>495.010523113146</v>
      </c>
      <c r="O40" s="441" t="n">
        <f aca="false">IF(O3&gt;ProjectLife+1,0,'Project Assumptions'!$N$23*((1+OM_Escal)^(O4-2003))*O7/12)</f>
        <v>509.860838806541</v>
      </c>
      <c r="P40" s="441" t="n">
        <f aca="false">IF(P3&gt;ProjectLife+1,0,'Project Assumptions'!$N$23*((1+OM_Escal)^(P4-2003))*P7/12)</f>
        <v>525.156663970737</v>
      </c>
      <c r="Q40" s="441" t="n">
        <f aca="false">IF(Q3&gt;ProjectLife+1,0,'Project Assumptions'!$N$23*((1+OM_Escal)^(Q4-2003))*Q7/12)</f>
        <v>540.911363889859</v>
      </c>
      <c r="R40" s="441" t="n">
        <f aca="false">IF(R3&gt;ProjectLife+1,0,'Project Assumptions'!$N$23*((1+OM_Escal)^(R4-2003))*R7/12)</f>
        <v>557.138704806555</v>
      </c>
      <c r="S40" s="441" t="n">
        <f aca="false">IF(S3&gt;ProjectLife+1,0,'Project Assumptions'!$N$23*((1+OM_Escal)^(S4-2003))*S7/12)</f>
        <v>573.852865950751</v>
      </c>
      <c r="T40" s="441" t="n">
        <f aca="false">IF(T3&gt;ProjectLife+1,0,'Project Assumptions'!$N$23*((1+OM_Escal)^(T4-2003))*T7/12)</f>
        <v>591.068451929274</v>
      </c>
      <c r="U40" s="441" t="n">
        <f aca="false">IF(U3&gt;ProjectLife+1,0,'Project Assumptions'!$N$23*((1+OM_Escal)^(U4-2003))*U7/12)</f>
        <v>608.800505487152</v>
      </c>
      <c r="V40" s="441" t="n">
        <f aca="false">IF(V3&gt;ProjectLife+1,0,'Project Assumptions'!$N$23*((1+OM_Escal)^(V4-2003))*V7/12)</f>
        <v>627.064520651767</v>
      </c>
      <c r="W40" s="441" t="n">
        <f aca="false">IF(W3&gt;ProjectLife+1,0,'Project Assumptions'!$N$23*((1+OM_Escal)^(W4-2003))*W7/12)</f>
        <v>645.87645627132</v>
      </c>
      <c r="X40" s="447" t="n">
        <f aca="false">IF(X3&gt;ProjectLife+1,0,'Project Assumptions'!$N$23*((1+OM_Escal)^(X4-2003))*X7/12)</f>
        <v>665.252749959459</v>
      </c>
      <c r="Y40" s="716"/>
      <c r="Z40" s="716"/>
      <c r="AA40" s="716"/>
      <c r="AB40" s="716"/>
    </row>
    <row r="41" customFormat="false" ht="12.6" hidden="false" customHeight="true" outlineLevel="0" collapsed="false">
      <c r="A41" s="450" t="n">
        <v>9</v>
      </c>
      <c r="B41" s="417" t="s">
        <v>504</v>
      </c>
      <c r="C41" s="450" t="n">
        <f aca="false">AVERAGE(D41:W41)</f>
        <v>262.870411556471</v>
      </c>
      <c r="D41" s="734" t="n">
        <f aca="false">'Project Assumptions'!$N$24*D6/12</f>
        <v>83.3333333333333</v>
      </c>
      <c r="E41" s="445" t="n">
        <f aca="false">IF(E3&gt;ProjectLife+1,0,'Project Assumptions'!$N$24*((1+OM_Escal)^(E4-'Project Assumptions'!$N$6))*E5/12)</f>
        <v>206</v>
      </c>
      <c r="F41" s="445" t="n">
        <f aca="false">IF(F3&gt;ProjectLife+1,0,'Project Assumptions'!$N$24*((1+OM_Escal)^(F4-'Project Assumptions'!$N$6))*F5/12)</f>
        <v>212.18</v>
      </c>
      <c r="G41" s="445" t="n">
        <f aca="false">IF(G3&gt;ProjectLife+1,0,'Project Assumptions'!$N$24*((1+OM_Escal)^(G4-'Project Assumptions'!$N$6))*G5/12)</f>
        <v>218.5454</v>
      </c>
      <c r="H41" s="445" t="n">
        <f aca="false">IF(H3&gt;ProjectLife+1,0,'Project Assumptions'!$N$24*((1+OM_Escal)^(H4-'Project Assumptions'!$N$6))*H5/12)</f>
        <v>225.101762</v>
      </c>
      <c r="I41" s="445" t="n">
        <f aca="false">IF(I3&gt;ProjectLife+1,0,'Project Assumptions'!$N$24*((1+OM_Escal)^(I4-'Project Assumptions'!$N$6))*I5/12)</f>
        <v>231.85481486</v>
      </c>
      <c r="J41" s="445" t="n">
        <f aca="false">IF(J3&gt;ProjectLife+1,0,'Project Assumptions'!$N$24*((1+OM_Escal)^(J4-'Project Assumptions'!$N$6))*J5/12)</f>
        <v>238.8104593058</v>
      </c>
      <c r="K41" s="445" t="n">
        <f aca="false">IF(K3&gt;ProjectLife+1,0,'Project Assumptions'!$N$24*((1+OM_Escal)^(K4-'Project Assumptions'!$N$6))*K5/12)</f>
        <v>245.974773084974</v>
      </c>
      <c r="L41" s="445" t="n">
        <f aca="false">IF(L3&gt;ProjectLife+1,0,'Project Assumptions'!$N$24*((1+OM_Escal)^(L4-'Project Assumptions'!$N$6))*L5/12)</f>
        <v>253.354016277523</v>
      </c>
      <c r="M41" s="445" t="n">
        <f aca="false">IF(M3&gt;ProjectLife+1,0,'Project Assumptions'!$N$24*((1+OM_Escal)^(M4-'Project Assumptions'!$N$6))*M5/12)</f>
        <v>260.954636765849</v>
      </c>
      <c r="N41" s="445" t="n">
        <f aca="false">IF(N3&gt;ProjectLife+1,0,'Project Assumptions'!$N$24*((1+OM_Escal)^(N4-'Project Assumptions'!$N$6))*N5/12)</f>
        <v>268.783275868824</v>
      </c>
      <c r="O41" s="445" t="n">
        <f aca="false">IF(O3&gt;ProjectLife+1,0,'Project Assumptions'!$N$24*((1+OM_Escal)^(O4-'Project Assumptions'!$N$6))*O5/12)</f>
        <v>276.846774144889</v>
      </c>
      <c r="P41" s="445" t="n">
        <f aca="false">IF(P3&gt;ProjectLife+1,0,'Project Assumptions'!$N$24*((1+OM_Escal)^(P4-'Project Assumptions'!$N$6))*P5/12)</f>
        <v>285.152177369236</v>
      </c>
      <c r="Q41" s="445" t="n">
        <f aca="false">IF(Q3&gt;ProjectLife+1,0,'Project Assumptions'!$N$24*((1+OM_Escal)^(Q4-'Project Assumptions'!$N$6))*Q5/12)</f>
        <v>293.706742690313</v>
      </c>
      <c r="R41" s="445" t="n">
        <f aca="false">IF(R3&gt;ProjectLife+1,0,'Project Assumptions'!$N$24*((1+OM_Escal)^(R4-'Project Assumptions'!$N$6))*R5/12)</f>
        <v>302.517944971022</v>
      </c>
      <c r="S41" s="445" t="n">
        <f aca="false">IF(S3&gt;ProjectLife+1,0,'Project Assumptions'!$N$24*((1+OM_Escal)^(S4-'Project Assumptions'!$N$6))*S5/12)</f>
        <v>311.593483320153</v>
      </c>
      <c r="T41" s="445" t="n">
        <f aca="false">IF(T3&gt;ProjectLife+1,0,'Project Assumptions'!$N$24*((1+OM_Escal)^(T4-'Project Assumptions'!$N$6))*T5/12)</f>
        <v>320.941287819758</v>
      </c>
      <c r="U41" s="445" t="n">
        <f aca="false">IF(U3&gt;ProjectLife+1,0,'Project Assumptions'!$N$24*((1+OM_Escal)^(U4-'Project Assumptions'!$N$6))*U5/12)</f>
        <v>330.56952645435</v>
      </c>
      <c r="V41" s="445" t="n">
        <f aca="false">IF(V3&gt;ProjectLife+1,0,'Project Assumptions'!$N$24*((1+OM_Escal)^(V4-'Project Assumptions'!$N$6))*V5/12)</f>
        <v>340.486612247981</v>
      </c>
      <c r="W41" s="445" t="n">
        <f aca="false">IF(W3&gt;ProjectLife+1,0,'Project Assumptions'!$N$24*((1+OM_Escal)^(W4-'Project Assumptions'!$N$6))*W5/12)</f>
        <v>350.70121061542</v>
      </c>
      <c r="X41" s="510" t="n">
        <f aca="false">IF(X3&gt;ProjectLife+1,0,'Project Assumptions'!$N$24*((1+OM_Escal)^(X4-'Project Assumptions'!$N$6))*X5/12)</f>
        <v>361.222246933883</v>
      </c>
      <c r="Y41" s="716"/>
      <c r="Z41" s="716"/>
      <c r="AA41" s="716"/>
      <c r="AB41" s="716"/>
    </row>
    <row r="42" customFormat="false" ht="12.6" hidden="false" customHeight="true" outlineLevel="0" collapsed="false">
      <c r="B42" s="728" t="s">
        <v>505</v>
      </c>
      <c r="D42" s="732" t="n">
        <f aca="false">SUM(D37:D41)</f>
        <v>439.329656862745</v>
      </c>
      <c r="E42" s="732" t="n">
        <f aca="false">SUM(E37:E41)</f>
        <v>1086.02291176471</v>
      </c>
      <c r="F42" s="732" t="n">
        <f aca="false">SUM(F37:F41)</f>
        <v>1118.60359911765</v>
      </c>
      <c r="G42" s="732" t="n">
        <f aca="false">SUM(G37:G41)</f>
        <v>1152.16170709118</v>
      </c>
      <c r="H42" s="732" t="n">
        <f aca="false">SUM(H37:H41)</f>
        <v>1428.55527830391</v>
      </c>
      <c r="I42" s="732" t="n">
        <f aca="false">SUM(I37:I41)</f>
        <v>1649.32878065303</v>
      </c>
      <c r="J42" s="732" t="n">
        <f aca="false">SUM(J37:J41)</f>
        <v>1698.80864407262</v>
      </c>
      <c r="K42" s="732" t="n">
        <f aca="false">SUM(K37:K41)</f>
        <v>1749.7729033948</v>
      </c>
      <c r="L42" s="732" t="n">
        <f aca="false">SUM(L37:L41)</f>
        <v>1802.26609049664</v>
      </c>
      <c r="M42" s="732" t="n">
        <f aca="false">SUM(M37:M41)</f>
        <v>1856.33407321154</v>
      </c>
      <c r="N42" s="732" t="n">
        <f aca="false">SUM(N37:N41)</f>
        <v>1912.02409540789</v>
      </c>
      <c r="O42" s="732" t="n">
        <f aca="false">SUM(O37:O41)</f>
        <v>1969.38481827013</v>
      </c>
      <c r="P42" s="732" t="n">
        <f aca="false">SUM(P37:P41)</f>
        <v>2028.46636281823</v>
      </c>
      <c r="Q42" s="732" t="n">
        <f aca="false">SUM(Q37:Q41)</f>
        <v>2089.32035370278</v>
      </c>
      <c r="R42" s="732" t="n">
        <f aca="false">SUM(R37:R41)</f>
        <v>2151.99996431386</v>
      </c>
      <c r="S42" s="732" t="n">
        <f aca="false">SUM(S37:S41)</f>
        <v>2216.55996324328</v>
      </c>
      <c r="T42" s="732" t="n">
        <f aca="false">SUM(T37:T41)</f>
        <v>2283.05676214057</v>
      </c>
      <c r="U42" s="732" t="n">
        <f aca="false">SUM(U37:U41)</f>
        <v>2351.54846500479</v>
      </c>
      <c r="V42" s="732" t="n">
        <f aca="false">SUM(V37:V41)</f>
        <v>2422.09491895493</v>
      </c>
      <c r="W42" s="732" t="n">
        <f aca="false">SUM(W37:W41)</f>
        <v>2494.75776652358</v>
      </c>
      <c r="X42" s="733" t="n">
        <f aca="false">SUM(X37:X41)</f>
        <v>2569.60049951929</v>
      </c>
      <c r="Y42" s="713"/>
      <c r="Z42" s="713"/>
      <c r="AA42" s="713"/>
      <c r="AB42" s="713"/>
    </row>
    <row r="43" customFormat="false" ht="12.6" hidden="false" customHeight="true" outlineLevel="0" collapsed="false">
      <c r="B43" s="417"/>
      <c r="D43" s="453"/>
      <c r="E43" s="453"/>
      <c r="F43" s="453"/>
      <c r="G43" s="453"/>
      <c r="H43" s="453"/>
      <c r="I43" s="453"/>
      <c r="J43" s="453"/>
      <c r="K43" s="453"/>
      <c r="L43" s="453"/>
      <c r="M43" s="453"/>
      <c r="N43" s="453"/>
      <c r="O43" s="453"/>
      <c r="P43" s="453"/>
      <c r="Q43" s="453"/>
      <c r="R43" s="453"/>
      <c r="S43" s="453"/>
      <c r="T43" s="453"/>
      <c r="U43" s="453"/>
      <c r="V43" s="453"/>
      <c r="W43" s="453"/>
      <c r="X43" s="454"/>
      <c r="Y43" s="735"/>
      <c r="Z43" s="735"/>
      <c r="AA43" s="735"/>
      <c r="AB43" s="735"/>
    </row>
    <row r="44" customFormat="false" ht="12.6" hidden="false" customHeight="true" outlineLevel="0" collapsed="false">
      <c r="B44" s="728" t="s">
        <v>506</v>
      </c>
      <c r="D44" s="453"/>
      <c r="E44" s="453"/>
      <c r="F44" s="453"/>
      <c r="G44" s="453"/>
      <c r="H44" s="453"/>
      <c r="I44" s="453"/>
      <c r="J44" s="453"/>
      <c r="K44" s="453"/>
      <c r="L44" s="453"/>
      <c r="M44" s="453"/>
      <c r="N44" s="453"/>
      <c r="O44" s="453"/>
      <c r="P44" s="453"/>
      <c r="Q44" s="453"/>
      <c r="R44" s="453"/>
      <c r="S44" s="453"/>
      <c r="T44" s="453"/>
      <c r="U44" s="453"/>
      <c r="V44" s="453"/>
      <c r="W44" s="453"/>
      <c r="X44" s="454"/>
      <c r="Y44" s="735"/>
      <c r="Z44" s="735"/>
      <c r="AA44" s="735"/>
      <c r="AB44" s="735"/>
    </row>
    <row r="45" customFormat="false" ht="12.6" hidden="false" customHeight="true" outlineLevel="0" collapsed="false">
      <c r="A45" s="450" t="n">
        <v>6</v>
      </c>
      <c r="B45" s="417" t="s">
        <v>507</v>
      </c>
      <c r="C45" s="450" t="n">
        <f aca="false">AVERAGE(D45:W45)</f>
        <v>336.158682298416</v>
      </c>
      <c r="D45" s="441" t="n">
        <f aca="false">IF(D3&gt;ProjectLife+1,0,'Project Assumptions'!$N$32*((1+OM_Escal)^(D4-'Project Assumptions'!$N$6))*D5/12)</f>
        <v>106.566666666667</v>
      </c>
      <c r="E45" s="441" t="n">
        <f aca="false">IF(E3&gt;ProjectLife+1,0,'Project Assumptions'!$N$32*((1+OM_Escal)^(E4-'Project Assumptions'!$N$6))*E5/12)</f>
        <v>263.4328</v>
      </c>
      <c r="F45" s="441" t="n">
        <f aca="false">IF(F3&gt;ProjectLife+1,0,'Project Assumptions'!$N$32*((1+OM_Escal)^(F4-'Project Assumptions'!$N$6))*F5/12)</f>
        <v>271.335784</v>
      </c>
      <c r="G45" s="441" t="n">
        <f aca="false">IF(G3&gt;ProjectLife+1,0,'Project Assumptions'!$N$32*((1+OM_Escal)^(G4-'Project Assumptions'!$N$6))*G5/12)</f>
        <v>279.47585752</v>
      </c>
      <c r="H45" s="441" t="n">
        <f aca="false">IF(H3&gt;ProjectLife+1,0,'Project Assumptions'!$N$32*((1+OM_Escal)^(H4-'Project Assumptions'!$N$6))*H5/12)</f>
        <v>287.8601332456</v>
      </c>
      <c r="I45" s="441" t="n">
        <f aca="false">IF(I3&gt;ProjectLife+1,0,'Project Assumptions'!$N$32*((1+OM_Escal)^(I4-'Project Assumptions'!$N$6))*I5/12)</f>
        <v>296.495937242968</v>
      </c>
      <c r="J45" s="441" t="n">
        <f aca="false">IF(J3&gt;ProjectLife+1,0,'Project Assumptions'!$N$32*((1+OM_Escal)^(J4-'Project Assumptions'!$N$6))*J5/12)</f>
        <v>305.390815360257</v>
      </c>
      <c r="K45" s="441" t="n">
        <f aca="false">IF(K3&gt;ProjectLife+1,0,'Project Assumptions'!$N$32*((1+OM_Escal)^(K4-'Project Assumptions'!$N$6))*K5/12)</f>
        <v>314.552539821065</v>
      </c>
      <c r="L45" s="441" t="n">
        <f aca="false">IF(L3&gt;ProjectLife+1,0,'Project Assumptions'!$N$32*((1+OM_Escal)^(L4-'Project Assumptions'!$N$6))*L5/12)</f>
        <v>323.989116015697</v>
      </c>
      <c r="M45" s="441" t="n">
        <f aca="false">IF(M3&gt;ProjectLife+1,0,'Project Assumptions'!$N$32*((1+OM_Escal)^(M4-'Project Assumptions'!$N$6))*M5/12)</f>
        <v>333.708789496168</v>
      </c>
      <c r="N45" s="441" t="n">
        <f aca="false">IF(N3&gt;ProjectLife+1,0,'Project Assumptions'!$N$32*((1+OM_Escal)^(N4-'Project Assumptions'!$N$6))*N5/12)</f>
        <v>343.720053181053</v>
      </c>
      <c r="O45" s="441" t="n">
        <f aca="false">IF(O3&gt;ProjectLife+1,0,'Project Assumptions'!$N$32*((1+OM_Escal)^(O4-'Project Assumptions'!$N$6))*O5/12)</f>
        <v>354.031654776484</v>
      </c>
      <c r="P45" s="441" t="n">
        <f aca="false">IF(P3&gt;ProjectLife+1,0,'Project Assumptions'!$N$32*((1+OM_Escal)^(P4-'Project Assumptions'!$N$6))*P5/12)</f>
        <v>364.652604419779</v>
      </c>
      <c r="Q45" s="441" t="n">
        <f aca="false">IF(Q3&gt;ProjectLife+1,0,'Project Assumptions'!$N$32*((1+OM_Escal)^(Q4-'Project Assumptions'!$N$6))*Q5/12)</f>
        <v>375.592182552372</v>
      </c>
      <c r="R45" s="441" t="n">
        <f aca="false">IF(R3&gt;ProjectLife+1,0,'Project Assumptions'!$N$32*((1+OM_Escal)^(R4-'Project Assumptions'!$N$6))*R5/12)</f>
        <v>386.859948028943</v>
      </c>
      <c r="S45" s="441" t="n">
        <f aca="false">IF(S3&gt;ProjectLife+1,0,'Project Assumptions'!$N$32*((1+OM_Escal)^(S4-'Project Assumptions'!$N$6))*S5/12)</f>
        <v>398.465746469812</v>
      </c>
      <c r="T45" s="441" t="n">
        <f aca="false">IF(T3&gt;ProjectLife+1,0,'Project Assumptions'!$N$32*((1+OM_Escal)^(T4-'Project Assumptions'!$N$6))*T5/12)</f>
        <v>410.419718863906</v>
      </c>
      <c r="U45" s="441" t="n">
        <f aca="false">IF(U3&gt;ProjectLife+1,0,'Project Assumptions'!$N$32*((1+OM_Escal)^(U4-'Project Assumptions'!$N$6))*U5/12)</f>
        <v>422.732310429823</v>
      </c>
      <c r="V45" s="441" t="n">
        <f aca="false">IF(V3&gt;ProjectLife+1,0,'Project Assumptions'!$N$32*((1+OM_Escal)^(V4-'Project Assumptions'!$N$6))*V5/12)</f>
        <v>435.414279742718</v>
      </c>
      <c r="W45" s="441" t="n">
        <f aca="false">IF(W3&gt;ProjectLife+1,0,'Project Assumptions'!$N$32*((1+OM_Escal)^(W4-'Project Assumptions'!$N$6))*W5/12)</f>
        <v>448.476708134999</v>
      </c>
      <c r="X45" s="447" t="n">
        <f aca="false">IF(X3&gt;ProjectLife+1,0,'Project Assumptions'!$N$32*((1+OM_Escal)^(X4-'Project Assumptions'!$N$6))*X5/12)</f>
        <v>461.93100937905</v>
      </c>
      <c r="Y45" s="713"/>
      <c r="Z45" s="713"/>
      <c r="AA45" s="713"/>
      <c r="AB45" s="713"/>
    </row>
    <row r="46" customFormat="false" ht="12.6" hidden="false" customHeight="true" outlineLevel="0" collapsed="false">
      <c r="A46" s="450" t="n">
        <v>7</v>
      </c>
      <c r="B46" s="417" t="s">
        <v>508</v>
      </c>
      <c r="D46" s="441" t="n">
        <f aca="false">'Project Assumptions'!$N$33</f>
        <v>44.11203</v>
      </c>
      <c r="E46" s="441" t="n">
        <f aca="false">IF(E3&gt;ProjectLife+1,0,'Project Assumptions'!$N$33*((1+Opcostescalation)^(E4-'Project Assumptions'!$N$6)))</f>
        <v>45.4353909</v>
      </c>
      <c r="F46" s="441" t="n">
        <f aca="false">IF(F3&gt;ProjectLife+1,0,'Project Assumptions'!$N$33*((1+Opcostescalation)^(F4-'Project Assumptions'!$N$6)))</f>
        <v>46.798452627</v>
      </c>
      <c r="G46" s="441" t="n">
        <f aca="false">IF(G3&gt;ProjectLife+1,0,'Project Assumptions'!$N$33*((1+Opcostescalation)^(G4-'Project Assumptions'!$N$6)))</f>
        <v>48.20240620581</v>
      </c>
      <c r="H46" s="441" t="n">
        <f aca="false">IF(H3&gt;ProjectLife+1,0,'Project Assumptions'!$N$33*((1+Opcostescalation)^(H4-'Project Assumptions'!$N$6)))</f>
        <v>49.6484783919843</v>
      </c>
      <c r="I46" s="441" t="n">
        <f aca="false">IF(I3&gt;ProjectLife+1,0,'Project Assumptions'!$N$33*((1+Opcostescalation)^(I4-'Project Assumptions'!$N$6)))</f>
        <v>51.1379327437438</v>
      </c>
      <c r="J46" s="441" t="n">
        <f aca="false">IF(J3&gt;ProjectLife+1,0,'Project Assumptions'!$N$33*((1+Opcostescalation)^(J4-'Project Assumptions'!$N$6)))</f>
        <v>52.6720707260562</v>
      </c>
      <c r="K46" s="441" t="n">
        <f aca="false">IF(K3&gt;ProjectLife+1,0,'Project Assumptions'!$N$33*((1+Opcostescalation)^(K4-'Project Assumptions'!$N$6)))</f>
        <v>54.2522328478378</v>
      </c>
      <c r="L46" s="441" t="n">
        <f aca="false">IF(L3&gt;ProjectLife+1,0,'Project Assumptions'!$N$33*((1+Opcostescalation)^(L4-'Project Assumptions'!$N$6)))</f>
        <v>55.879799833273</v>
      </c>
      <c r="M46" s="441" t="n">
        <f aca="false">IF(M3&gt;ProjectLife+1,0,'Project Assumptions'!$N$33*((1+Opcostescalation)^(M4-'Project Assumptions'!$N$6)))</f>
        <v>57.5561938282712</v>
      </c>
      <c r="N46" s="441" t="n">
        <f aca="false">IF(N3&gt;ProjectLife+1,0,'Project Assumptions'!$N$33*((1+Opcostescalation)^(N4-'Project Assumptions'!$N$6)))</f>
        <v>59.2828796431193</v>
      </c>
      <c r="O46" s="441" t="n">
        <f aca="false">IF(O3&gt;ProjectLife+1,0,'Project Assumptions'!$N$33*((1+Opcostescalation)^(O4-'Project Assumptions'!$N$6)))</f>
        <v>61.0613660324129</v>
      </c>
      <c r="P46" s="441" t="n">
        <f aca="false">IF(P3&gt;ProjectLife+1,0,'Project Assumptions'!$N$33*((1+Opcostescalation)^(P4-'Project Assumptions'!$N$6)))</f>
        <v>62.8932070133853</v>
      </c>
      <c r="Q46" s="441" t="n">
        <f aca="false">IF(Q3&gt;ProjectLife+1,0,'Project Assumptions'!$N$33*((1+Opcostescalation)^(Q4-'Project Assumptions'!$N$6)))</f>
        <v>64.7800032237868</v>
      </c>
      <c r="R46" s="441" t="n">
        <f aca="false">IF(R3&gt;ProjectLife+1,0,'Project Assumptions'!$N$33*((1+Opcostescalation)^(R4-'Project Assumptions'!$N$6)))</f>
        <v>66.7234033205004</v>
      </c>
      <c r="S46" s="441" t="n">
        <f aca="false">IF(S3&gt;ProjectLife+1,0,'Project Assumptions'!$N$33*((1+Opcostescalation)^(S4-'Project Assumptions'!$N$6)))</f>
        <v>68.7251054201154</v>
      </c>
      <c r="T46" s="441" t="n">
        <f aca="false">IF(T3&gt;ProjectLife+1,0,'Project Assumptions'!$N$33*((1+Opcostescalation)^(T4-'Project Assumptions'!$N$6)))</f>
        <v>70.7868585827189</v>
      </c>
      <c r="U46" s="441" t="n">
        <f aca="false">IF(U3&gt;ProjectLife+1,0,'Project Assumptions'!$N$33*((1+Opcostescalation)^(U4-'Project Assumptions'!$N$6)))</f>
        <v>72.9104643402005</v>
      </c>
      <c r="V46" s="441" t="n">
        <f aca="false">IF(V3&gt;ProjectLife+1,0,'Project Assumptions'!$N$33*((1+Opcostescalation)^(V4-'Project Assumptions'!$N$6)))</f>
        <v>75.0977782704065</v>
      </c>
      <c r="W46" s="441" t="n">
        <f aca="false">IF(W3&gt;ProjectLife+1,0,'Project Assumptions'!$N$33*((1+Opcostescalation)^(W4-'Project Assumptions'!$N$6)))</f>
        <v>77.3507116185187</v>
      </c>
      <c r="X46" s="447" t="n">
        <f aca="false">IF(X3&gt;ProjectLife+1,0,'Project Assumptions'!$N$33*((1+Opcostescalation)^(X4-'Project Assumptions'!$N$6)))</f>
        <v>79.6712329670743</v>
      </c>
      <c r="Y46" s="716"/>
      <c r="Z46" s="716"/>
      <c r="AA46" s="716"/>
      <c r="AB46" s="716"/>
    </row>
    <row r="47" customFormat="false" ht="12.6" hidden="false" customHeight="true" outlineLevel="0" collapsed="false">
      <c r="A47" s="450" t="n">
        <v>7</v>
      </c>
      <c r="B47" s="417" t="s">
        <v>509</v>
      </c>
      <c r="D47" s="441" t="n">
        <f aca="false">'Project Assumptions'!$N$34*(D5/12)</f>
        <v>99.2584583333333</v>
      </c>
      <c r="E47" s="441" t="n">
        <f aca="false">IF(E3&gt;ProjectLife+1,0,'Project Assumptions'!$N$34*((1+Opcostescalation)^(E4-'Project Assumptions'!$N$6))*E5/12)</f>
        <v>245.366909</v>
      </c>
      <c r="F47" s="441" t="n">
        <f aca="false">IF(F3&gt;ProjectLife+1,0,'Project Assumptions'!$N$34*((1+Opcostescalation)^(F4-'Project Assumptions'!$N$6))*F5/12)</f>
        <v>252.72791627</v>
      </c>
      <c r="G47" s="441" t="n">
        <f aca="false">IF(G3&gt;ProjectLife+1,0,'Project Assumptions'!$N$34*((1+Opcostescalation)^(G4-'Project Assumptions'!$N$6))*G5/12)</f>
        <v>260.3097537581</v>
      </c>
      <c r="H47" s="441" t="n">
        <f aca="false">IF(H3&gt;ProjectLife+1,0,'Project Assumptions'!$N$34*((1+Opcostescalation)^(H4-'Project Assumptions'!$N$6))*H5/12)</f>
        <v>268.119046370843</v>
      </c>
      <c r="I47" s="441" t="n">
        <f aca="false">IF(I3&gt;ProjectLife+1,0,'Project Assumptions'!$N$34*((1+Opcostescalation)^(I4-'Project Assumptions'!$N$6))*I5/12)</f>
        <v>276.162617761968</v>
      </c>
      <c r="J47" s="441" t="n">
        <f aca="false">IF(J3&gt;ProjectLife+1,0,'Project Assumptions'!$N$34*((1+Opcostescalation)^(J4-'Project Assumptions'!$N$6))*J5/12)</f>
        <v>284.447496294827</v>
      </c>
      <c r="K47" s="441" t="n">
        <f aca="false">IF(K3&gt;ProjectLife+1,0,'Project Assumptions'!$N$34*((1+Opcostescalation)^(K4-'Project Assumptions'!$N$6))*K5/12)</f>
        <v>292.980921183672</v>
      </c>
      <c r="L47" s="441" t="n">
        <f aca="false">IF(L3&gt;ProjectLife+1,0,'Project Assumptions'!$N$34*((1+Opcostescalation)^(L4-'Project Assumptions'!$N$6))*L5/12)</f>
        <v>301.770348819182</v>
      </c>
      <c r="M47" s="441" t="n">
        <f aca="false">IF(M3&gt;ProjectLife+1,0,'Project Assumptions'!$N$34*((1+Opcostescalation)^(M4-'Project Assumptions'!$N$6))*M5/12)</f>
        <v>310.823459283758</v>
      </c>
      <c r="N47" s="441" t="n">
        <f aca="false">IF(N3&gt;ProjectLife+1,0,'Project Assumptions'!$N$34*((1+Opcostescalation)^(N4-'Project Assumptions'!$N$6))*N5/12)</f>
        <v>320.148163062271</v>
      </c>
      <c r="O47" s="441" t="n">
        <f aca="false">IF(O3&gt;ProjectLife+1,0,'Project Assumptions'!$N$34*((1+Opcostescalation)^(O4-'Project Assumptions'!$N$6))*O5/12)</f>
        <v>329.752607954139</v>
      </c>
      <c r="P47" s="441" t="n">
        <f aca="false">IF(P3&gt;ProjectLife+1,0,'Project Assumptions'!$N$34*((1+Opcostescalation)^(P4-'Project Assumptions'!$N$6))*P5/12)</f>
        <v>339.645186192763</v>
      </c>
      <c r="Q47" s="441" t="n">
        <f aca="false">IF(Q3&gt;ProjectLife+1,0,'Project Assumptions'!$N$34*((1+Opcostescalation)^(Q4-'Project Assumptions'!$N$6))*Q5/12)</f>
        <v>349.834541778546</v>
      </c>
      <c r="R47" s="441" t="n">
        <f aca="false">IF(R3&gt;ProjectLife+1,0,'Project Assumptions'!$N$34*((1+Opcostescalation)^(R4-'Project Assumptions'!$N$6))*R5/12)</f>
        <v>360.329578031902</v>
      </c>
      <c r="S47" s="441" t="n">
        <f aca="false">IF(S3&gt;ProjectLife+1,0,'Project Assumptions'!$N$34*((1+Opcostescalation)^(S4-'Project Assumptions'!$N$6))*S5/12)</f>
        <v>371.139465372859</v>
      </c>
      <c r="T47" s="441" t="n">
        <f aca="false">IF(T3&gt;ProjectLife+1,0,'Project Assumptions'!$N$34*((1+Opcostescalation)^(T4-'Project Assumptions'!$N$6))*T5/12)</f>
        <v>382.273649334045</v>
      </c>
      <c r="U47" s="441" t="n">
        <f aca="false">IF(U3&gt;ProjectLife+1,0,'Project Assumptions'!$N$34*((1+Opcostescalation)^(U4-'Project Assumptions'!$N$6))*U5/12)</f>
        <v>393.741858814066</v>
      </c>
      <c r="V47" s="441" t="n">
        <f aca="false">IF(V3&gt;ProjectLife+1,0,'Project Assumptions'!$N$34*((1+Opcostescalation)^(V4-'Project Assumptions'!$N$6))*V5/12)</f>
        <v>405.554114578488</v>
      </c>
      <c r="W47" s="441" t="n">
        <f aca="false">IF(W3&gt;ProjectLife+1,0,'Project Assumptions'!$N$34*((1+Opcostescalation)^(W4-'Project Assumptions'!$N$6))*W5/12)</f>
        <v>417.720738015843</v>
      </c>
      <c r="X47" s="447" t="n">
        <f aca="false">IF(X3&gt;ProjectLife+1,0,'Project Assumptions'!$N$34*((1+Opcostescalation)^(X4-'Project Assumptions'!$N$6))*X5/12)</f>
        <v>430.252360156318</v>
      </c>
      <c r="Y47" s="716"/>
      <c r="Z47" s="716"/>
      <c r="AA47" s="716"/>
      <c r="AB47" s="716"/>
    </row>
    <row r="48" customFormat="false" ht="12.6" hidden="false" customHeight="true" outlineLevel="0" collapsed="false">
      <c r="A48" s="450" t="n">
        <v>7</v>
      </c>
      <c r="B48" s="417" t="s">
        <v>510</v>
      </c>
      <c r="D48" s="441" t="n">
        <f aca="false">'Project Assumptions'!$N$35*(D6/12)</f>
        <v>41.6666666666667</v>
      </c>
      <c r="E48" s="441" t="n">
        <f aca="false">IF(E3&gt;ProjectLife+1,0,'Project Assumptions'!$N$35*((1+Opcostescalation)^(E4-'Project Assumptions'!$N$6))*E5/12)</f>
        <v>103</v>
      </c>
      <c r="F48" s="441" t="n">
        <f aca="false">IF(F3&gt;ProjectLife+1,0,'Project Assumptions'!$N$35*((1+Opcostescalation)^(F4-'Project Assumptions'!$N$6))*F5/12)</f>
        <v>106.09</v>
      </c>
      <c r="G48" s="441" t="n">
        <f aca="false">IF(G3&gt;ProjectLife+1,0,'Project Assumptions'!$N$35*((1+Opcostescalation)^(G4-'Project Assumptions'!$N$6))*G5/12)</f>
        <v>109.2727</v>
      </c>
      <c r="H48" s="441" t="n">
        <f aca="false">IF(H3&gt;ProjectLife+1,0,'Project Assumptions'!$N$35*((1+Opcostescalation)^(H4-'Project Assumptions'!$N$6))*H5/12)</f>
        <v>112.550881</v>
      </c>
      <c r="I48" s="441" t="n">
        <f aca="false">IF(I3&gt;ProjectLife+1,0,'Project Assumptions'!$N$35*((1+Opcostescalation)^(I4-'Project Assumptions'!$N$6))*I5/12)</f>
        <v>115.92740743</v>
      </c>
      <c r="J48" s="441" t="n">
        <f aca="false">IF(J3&gt;ProjectLife+1,0,'Project Assumptions'!$N$35*((1+Opcostescalation)^(J4-'Project Assumptions'!$N$6))*J5/12)</f>
        <v>119.4052296529</v>
      </c>
      <c r="K48" s="441" t="n">
        <f aca="false">IF(K3&gt;ProjectLife+1,0,'Project Assumptions'!$N$35*((1+Opcostescalation)^(K4-'Project Assumptions'!$N$6))*K5/12)</f>
        <v>122.987386542487</v>
      </c>
      <c r="L48" s="441" t="n">
        <f aca="false">IF(L3&gt;ProjectLife+1,0,'Project Assumptions'!$N$35*((1+Opcostescalation)^(L4-'Project Assumptions'!$N$6))*L5/12)</f>
        <v>126.677008138762</v>
      </c>
      <c r="M48" s="441" t="n">
        <f aca="false">IF(M3&gt;ProjectLife+1,0,'Project Assumptions'!$N$35*((1+Opcostescalation)^(M4-'Project Assumptions'!$N$6))*M5/12)</f>
        <v>130.477318382925</v>
      </c>
      <c r="N48" s="441" t="n">
        <f aca="false">IF(N3&gt;ProjectLife+1,0,'Project Assumptions'!$N$35*((1+Opcostescalation)^(N4-'Project Assumptions'!$N$6))*N5/12)</f>
        <v>134.391637934412</v>
      </c>
      <c r="O48" s="441" t="n">
        <f aca="false">IF(O3&gt;ProjectLife+1,0,'Project Assumptions'!$N$35*((1+Opcostescalation)^(O4-'Project Assumptions'!$N$6))*O5/12)</f>
        <v>138.423387072445</v>
      </c>
      <c r="P48" s="441" t="n">
        <f aca="false">IF(P3&gt;ProjectLife+1,0,'Project Assumptions'!$N$35*((1+Opcostescalation)^(P4-'Project Assumptions'!$N$6))*P5/12)</f>
        <v>142.576088684618</v>
      </c>
      <c r="Q48" s="441" t="n">
        <f aca="false">IF(Q3&gt;ProjectLife+1,0,'Project Assumptions'!$N$35*((1+Opcostescalation)^(Q4-'Project Assumptions'!$N$6))*Q5/12)</f>
        <v>146.853371345157</v>
      </c>
      <c r="R48" s="441" t="n">
        <f aca="false">IF(R3&gt;ProjectLife+1,0,'Project Assumptions'!$N$35*((1+Opcostescalation)^(R4-'Project Assumptions'!$N$6))*R5/12)</f>
        <v>151.258972485511</v>
      </c>
      <c r="S48" s="441" t="n">
        <f aca="false">IF(S3&gt;ProjectLife+1,0,'Project Assumptions'!$N$35*((1+Opcostescalation)^(S4-'Project Assumptions'!$N$6))*S5/12)</f>
        <v>155.796741660077</v>
      </c>
      <c r="T48" s="441" t="n">
        <f aca="false">IF(T3&gt;ProjectLife+1,0,'Project Assumptions'!$N$35*((1+Opcostescalation)^(T4-'Project Assumptions'!$N$6))*T5/12)</f>
        <v>160.470643909879</v>
      </c>
      <c r="U48" s="441" t="n">
        <f aca="false">IF(U3&gt;ProjectLife+1,0,'Project Assumptions'!$N$35*((1+Opcostescalation)^(U4-'Project Assumptions'!$N$6))*U5/12)</f>
        <v>165.284763227175</v>
      </c>
      <c r="V48" s="441" t="n">
        <f aca="false">IF(V3&gt;ProjectLife+1,0,'Project Assumptions'!$N$35*((1+Opcostescalation)^(V4-'Project Assumptions'!$N$6))*V5/12)</f>
        <v>170.24330612399</v>
      </c>
      <c r="W48" s="441" t="n">
        <f aca="false">IF(W3&gt;ProjectLife+1,0,'Project Assumptions'!$N$35*((1+Opcostescalation)^(W4-'Project Assumptions'!$N$6))*W5/12)</f>
        <v>175.35060530771</v>
      </c>
      <c r="X48" s="447" t="n">
        <f aca="false">IF(X3&gt;ProjectLife+1,0,'Project Assumptions'!$N$35*((1+Opcostescalation)^(X4-'Project Assumptions'!$N$6))*X5/12)</f>
        <v>180.611123466941</v>
      </c>
      <c r="Y48" s="716"/>
      <c r="Z48" s="716"/>
      <c r="AA48" s="716"/>
      <c r="AB48" s="716"/>
    </row>
    <row r="49" customFormat="false" ht="12.6" hidden="false" customHeight="true" outlineLevel="0" collapsed="false">
      <c r="A49" s="450" t="n">
        <v>7</v>
      </c>
      <c r="B49" s="417" t="s">
        <v>511</v>
      </c>
      <c r="D49" s="441" t="n">
        <f aca="false">'Project Assumptions'!$N$36*(D6/12)</f>
        <v>12.5</v>
      </c>
      <c r="E49" s="441" t="n">
        <f aca="false">IF(E3&gt;ProjectLife+1,0,'Project Assumptions'!$N$36*((1+Opcostescalation)^(E4-'Project Assumptions'!$N$6))*E5/12)</f>
        <v>30.9</v>
      </c>
      <c r="F49" s="441" t="n">
        <f aca="false">IF(F3&gt;ProjectLife+1,0,'Project Assumptions'!$N$36*((1+Opcostescalation)^(F4-'Project Assumptions'!$N$6))*F5/12)</f>
        <v>31.827</v>
      </c>
      <c r="G49" s="441" t="n">
        <f aca="false">IF(G3&gt;ProjectLife+1,0,'Project Assumptions'!$N$36*((1+Opcostescalation)^(G4-'Project Assumptions'!$N$6))*G5/12)</f>
        <v>32.78181</v>
      </c>
      <c r="H49" s="441" t="n">
        <f aca="false">IF(H3&gt;ProjectLife+1,0,'Project Assumptions'!$N$36*((1+Opcostescalation)^(H4-'Project Assumptions'!$N$6))*H5/12)</f>
        <v>33.7652643</v>
      </c>
      <c r="I49" s="441" t="n">
        <f aca="false">IF(I3&gt;ProjectLife+1,0,'Project Assumptions'!$N$36*((1+Opcostescalation)^(I4-'Project Assumptions'!$N$6))*I5/12)</f>
        <v>34.778222229</v>
      </c>
      <c r="J49" s="441" t="n">
        <f aca="false">IF(J3&gt;ProjectLife+1,0,'Project Assumptions'!$N$36*((1+Opcostescalation)^(J4-'Project Assumptions'!$N$6))*J5/12)</f>
        <v>35.82156889587</v>
      </c>
      <c r="K49" s="441" t="n">
        <f aca="false">IF(K3&gt;ProjectLife+1,0,'Project Assumptions'!$N$36*((1+Opcostescalation)^(K4-'Project Assumptions'!$N$6))*K5/12)</f>
        <v>36.8962159627461</v>
      </c>
      <c r="L49" s="441" t="n">
        <f aca="false">IF(L3&gt;ProjectLife+1,0,'Project Assumptions'!$N$36*((1+Opcostescalation)^(L4-'Project Assumptions'!$N$6))*L5/12)</f>
        <v>38.0031024416285</v>
      </c>
      <c r="M49" s="441" t="n">
        <f aca="false">IF(M3&gt;ProjectLife+1,0,'Project Assumptions'!$N$36*((1+Opcostescalation)^(M4-'Project Assumptions'!$N$6))*M5/12)</f>
        <v>39.1431955148774</v>
      </c>
      <c r="N49" s="441" t="n">
        <f aca="false">IF(N3&gt;ProjectLife+1,0,'Project Assumptions'!$N$36*((1+Opcostescalation)^(N4-'Project Assumptions'!$N$6))*N5/12)</f>
        <v>40.3174913803237</v>
      </c>
      <c r="O49" s="441" t="n">
        <f aca="false">IF(O3&gt;ProjectLife+1,0,'Project Assumptions'!$N$36*((1+Opcostescalation)^(O4-'Project Assumptions'!$N$6))*O5/12)</f>
        <v>41.5270161217334</v>
      </c>
      <c r="P49" s="441" t="n">
        <f aca="false">IF(P3&gt;ProjectLife+1,0,'Project Assumptions'!$N$36*((1+Opcostescalation)^(P4-'Project Assumptions'!$N$6))*P5/12)</f>
        <v>42.7728266053854</v>
      </c>
      <c r="Q49" s="441" t="n">
        <f aca="false">IF(Q3&gt;ProjectLife+1,0,'Project Assumptions'!$N$36*((1+Opcostescalation)^(Q4-'Project Assumptions'!$N$6))*Q5/12)</f>
        <v>44.0560114035469</v>
      </c>
      <c r="R49" s="441" t="n">
        <f aca="false">IF(R3&gt;ProjectLife+1,0,'Project Assumptions'!$N$36*((1+Opcostescalation)^(R4-'Project Assumptions'!$N$6))*R5/12)</f>
        <v>45.3776917456534</v>
      </c>
      <c r="S49" s="441" t="n">
        <f aca="false">IF(S3&gt;ProjectLife+1,0,'Project Assumptions'!$N$36*((1+Opcostescalation)^(S4-'Project Assumptions'!$N$6))*S5/12)</f>
        <v>46.739022498023</v>
      </c>
      <c r="T49" s="441" t="n">
        <f aca="false">IF(T3&gt;ProjectLife+1,0,'Project Assumptions'!$N$36*((1+Opcostescalation)^(T4-'Project Assumptions'!$N$6))*T5/12)</f>
        <v>48.1411931729636</v>
      </c>
      <c r="U49" s="441" t="n">
        <f aca="false">IF(U3&gt;ProjectLife+1,0,'Project Assumptions'!$N$36*((1+Opcostescalation)^(U4-'Project Assumptions'!$N$6))*U5/12)</f>
        <v>49.5854289681526</v>
      </c>
      <c r="V49" s="441" t="n">
        <f aca="false">IF(V3&gt;ProjectLife+1,0,'Project Assumptions'!$N$36*((1+Opcostescalation)^(V4-'Project Assumptions'!$N$6))*V5/12)</f>
        <v>51.0729918371971</v>
      </c>
      <c r="W49" s="441" t="n">
        <f aca="false">IF(W3&gt;ProjectLife+1,0,'Project Assumptions'!$N$36*((1+Opcostescalation)^(W4-'Project Assumptions'!$N$6))*W5/12)</f>
        <v>52.605181592313</v>
      </c>
      <c r="X49" s="447" t="n">
        <f aca="false">IF(X3&gt;ProjectLife+1,0,'Project Assumptions'!$N$36*((1+Opcostescalation)^(X4-'Project Assumptions'!$N$6))*X5/12)</f>
        <v>54.1833370400824</v>
      </c>
      <c r="Y49" s="716"/>
      <c r="Z49" s="716"/>
      <c r="AA49" s="716"/>
      <c r="AB49" s="716"/>
    </row>
    <row r="50" customFormat="false" ht="12.6" hidden="false" customHeight="true" outlineLevel="0" collapsed="false">
      <c r="A50" s="450" t="n">
        <v>7</v>
      </c>
      <c r="B50" s="417" t="s">
        <v>512</v>
      </c>
      <c r="D50" s="445" t="n">
        <f aca="false">'Project Assumptions'!$N$37*(D6/12)</f>
        <v>31.25</v>
      </c>
      <c r="E50" s="445" t="n">
        <f aca="false">IF(E3&gt;ProjectLife+1,0,'Project Assumptions'!$N$37*((1+Opcostescalation)^(E4-'Project Assumptions'!$N$6))*E5/12)</f>
        <v>77.25</v>
      </c>
      <c r="F50" s="445" t="n">
        <f aca="false">IF(F3&gt;ProjectLife+1,0,'Project Assumptions'!$N$37*((1+Opcostescalation)^(F4-'Project Assumptions'!$N$6))*F5/12)</f>
        <v>79.5675</v>
      </c>
      <c r="G50" s="445" t="n">
        <f aca="false">IF(G3&gt;ProjectLife+1,0,'Project Assumptions'!$N$37*((1+Opcostescalation)^(G4-'Project Assumptions'!$N$6))*G5/12)</f>
        <v>81.954525</v>
      </c>
      <c r="H50" s="445" t="n">
        <f aca="false">IF(H3&gt;ProjectLife+1,0,'Project Assumptions'!$N$37*((1+Opcostescalation)^(H4-'Project Assumptions'!$N$6))*H5/12)</f>
        <v>84.41316075</v>
      </c>
      <c r="I50" s="445" t="n">
        <f aca="false">IF(I3&gt;ProjectLife+1,0,'Project Assumptions'!$N$37*((1+Opcostescalation)^(I4-'Project Assumptions'!$N$6))*I5/12)</f>
        <v>86.9455555725</v>
      </c>
      <c r="J50" s="445" t="n">
        <f aca="false">IF(J3&gt;ProjectLife+1,0,'Project Assumptions'!$N$37*((1+Opcostescalation)^(J4-'Project Assumptions'!$N$6))*J5/12)</f>
        <v>89.553922239675</v>
      </c>
      <c r="K50" s="445" t="n">
        <f aca="false">IF(K3&gt;ProjectLife+1,0,'Project Assumptions'!$N$37*((1+Opcostescalation)^(K4-'Project Assumptions'!$N$6))*K5/12)</f>
        <v>92.2405399068653</v>
      </c>
      <c r="L50" s="445" t="n">
        <f aca="false">IF(L3&gt;ProjectLife+1,0,'Project Assumptions'!$N$37*((1+Opcostescalation)^(L4-'Project Assumptions'!$N$6))*L5/12)</f>
        <v>95.0077561040712</v>
      </c>
      <c r="M50" s="445" t="n">
        <f aca="false">IF(M3&gt;ProjectLife+1,0,'Project Assumptions'!$N$37*((1+Opcostescalation)^(M4-'Project Assumptions'!$N$6))*M5/12)</f>
        <v>97.8579887871934</v>
      </c>
      <c r="N50" s="445" t="n">
        <f aca="false">IF(N3&gt;ProjectLife+1,0,'Project Assumptions'!$N$37*((1+Opcostescalation)^(N4-'Project Assumptions'!$N$6))*N5/12)</f>
        <v>100.793728450809</v>
      </c>
      <c r="O50" s="445" t="n">
        <f aca="false">IF(O3&gt;ProjectLife+1,0,'Project Assumptions'!$N$37*((1+Opcostescalation)^(O4-'Project Assumptions'!$N$6))*O5/12)</f>
        <v>103.817540304333</v>
      </c>
      <c r="P50" s="445" t="n">
        <f aca="false">IF(P3&gt;ProjectLife+1,0,'Project Assumptions'!$N$37*((1+Opcostescalation)^(P4-'Project Assumptions'!$N$6))*P5/12)</f>
        <v>106.932066513463</v>
      </c>
      <c r="Q50" s="445" t="n">
        <f aca="false">IF(Q3&gt;ProjectLife+1,0,'Project Assumptions'!$N$37*((1+Opcostescalation)^(Q4-'Project Assumptions'!$N$6))*Q5/12)</f>
        <v>110.140028508867</v>
      </c>
      <c r="R50" s="445" t="n">
        <f aca="false">IF(R3&gt;ProjectLife+1,0,'Project Assumptions'!$N$37*((1+Opcostescalation)^(R4-'Project Assumptions'!$N$6))*R5/12)</f>
        <v>113.444229364133</v>
      </c>
      <c r="S50" s="445" t="n">
        <f aca="false">IF(S3&gt;ProjectLife+1,0,'Project Assumptions'!$N$37*((1+Opcostescalation)^(S4-'Project Assumptions'!$N$6))*S5/12)</f>
        <v>116.847556245057</v>
      </c>
      <c r="T50" s="445" t="n">
        <f aca="false">IF(T3&gt;ProjectLife+1,0,'Project Assumptions'!$N$37*((1+Opcostescalation)^(T4-'Project Assumptions'!$N$6))*T5/12)</f>
        <v>120.352982932409</v>
      </c>
      <c r="U50" s="445" t="n">
        <f aca="false">IF(U3&gt;ProjectLife+1,0,'Project Assumptions'!$N$37*((1+Opcostescalation)^(U4-'Project Assumptions'!$N$6))*U5/12)</f>
        <v>123.963572420381</v>
      </c>
      <c r="V50" s="445" t="n">
        <f aca="false">IF(V3&gt;ProjectLife+1,0,'Project Assumptions'!$N$37*((1+Opcostescalation)^(V4-'Project Assumptions'!$N$6))*V5/12)</f>
        <v>127.682479592993</v>
      </c>
      <c r="W50" s="445" t="n">
        <f aca="false">IF(W3&gt;ProjectLife+1,0,'Project Assumptions'!$N$37*((1+Opcostescalation)^(W4-'Project Assumptions'!$N$6))*W5/12)</f>
        <v>131.512953980783</v>
      </c>
      <c r="X50" s="510" t="n">
        <f aca="false">IF(X3&gt;ProjectLife+1,0,'Project Assumptions'!$N$37*((1+Opcostescalation)^(X4-'Project Assumptions'!$N$6))*X5/12)</f>
        <v>135.458342600206</v>
      </c>
      <c r="Y50" s="736"/>
      <c r="Z50" s="736"/>
      <c r="AA50" s="736"/>
      <c r="AB50" s="736"/>
    </row>
    <row r="51" customFormat="false" ht="12.6" hidden="false" customHeight="true" outlineLevel="0" collapsed="false">
      <c r="B51" s="728" t="s">
        <v>513</v>
      </c>
      <c r="C51" s="566"/>
      <c r="D51" s="737" t="n">
        <f aca="false">D45+SUM(D46:D50)</f>
        <v>335.353821666667</v>
      </c>
      <c r="E51" s="737" t="n">
        <f aca="false">E45+SUM(E46:E50)</f>
        <v>765.3850999</v>
      </c>
      <c r="F51" s="737" t="n">
        <f aca="false">F45+SUM(F46:F50)</f>
        <v>788.346652897</v>
      </c>
      <c r="G51" s="737" t="n">
        <f aca="false">G45+SUM(G46:G50)</f>
        <v>811.99705248391</v>
      </c>
      <c r="H51" s="737" t="n">
        <f aca="false">H45+SUM(H46:H50)</f>
        <v>836.356964058427</v>
      </c>
      <c r="I51" s="737" t="n">
        <f aca="false">I45+SUM(I46:I50)</f>
        <v>861.44767298018</v>
      </c>
      <c r="J51" s="737" t="n">
        <f aca="false">J45+SUM(J46:J50)</f>
        <v>887.291103169586</v>
      </c>
      <c r="K51" s="737" t="n">
        <f aca="false">K45+SUM(K46:K50)</f>
        <v>913.909836264673</v>
      </c>
      <c r="L51" s="737" t="n">
        <f aca="false">L45+SUM(L46:L50)</f>
        <v>941.327131352613</v>
      </c>
      <c r="M51" s="737" t="n">
        <f aca="false">M45+SUM(M46:M50)</f>
        <v>969.566945293192</v>
      </c>
      <c r="N51" s="737" t="n">
        <f aca="false">N45+SUM(N46:N50)</f>
        <v>998.653953651988</v>
      </c>
      <c r="O51" s="737" t="n">
        <f aca="false">O45+SUM(O46:O50)</f>
        <v>1028.61357226155</v>
      </c>
      <c r="P51" s="737" t="n">
        <f aca="false">P45+SUM(P46:P50)</f>
        <v>1059.47197942939</v>
      </c>
      <c r="Q51" s="737" t="n">
        <f aca="false">Q45+SUM(Q46:Q50)</f>
        <v>1091.25613881228</v>
      </c>
      <c r="R51" s="737" t="n">
        <f aca="false">R45+SUM(R46:R50)</f>
        <v>1123.99382297664</v>
      </c>
      <c r="S51" s="737" t="n">
        <f aca="false">S45+SUM(S46:S50)</f>
        <v>1157.71363766594</v>
      </c>
      <c r="T51" s="737" t="n">
        <f aca="false">T45+SUM(T46:T50)</f>
        <v>1192.44504679592</v>
      </c>
      <c r="U51" s="737" t="n">
        <f aca="false">U45+SUM(U46:U50)</f>
        <v>1228.2183981998</v>
      </c>
      <c r="V51" s="737" t="n">
        <f aca="false">V45+SUM(V46:V50)</f>
        <v>1265.06495014579</v>
      </c>
      <c r="W51" s="737" t="n">
        <f aca="false">W45+SUM(W46:W50)</f>
        <v>1303.01689865017</v>
      </c>
      <c r="X51" s="738" t="n">
        <f aca="false">X45+SUM(X46:X50)</f>
        <v>1342.10740560967</v>
      </c>
      <c r="Y51" s="736"/>
      <c r="Z51" s="736"/>
      <c r="AA51" s="736"/>
      <c r="AB51" s="736"/>
    </row>
    <row r="52" customFormat="false" ht="12.6" hidden="false" customHeight="true" outlineLevel="0" collapsed="false">
      <c r="B52" s="417"/>
      <c r="D52" s="445"/>
      <c r="E52" s="445"/>
      <c r="F52" s="445"/>
      <c r="G52" s="445"/>
      <c r="H52" s="445"/>
      <c r="I52" s="445"/>
      <c r="J52" s="445"/>
      <c r="K52" s="445"/>
      <c r="L52" s="445"/>
      <c r="M52" s="445"/>
      <c r="N52" s="445"/>
      <c r="O52" s="445"/>
      <c r="P52" s="445"/>
      <c r="Q52" s="445"/>
      <c r="R52" s="445"/>
      <c r="S52" s="445"/>
      <c r="T52" s="445"/>
      <c r="U52" s="445"/>
      <c r="V52" s="445"/>
      <c r="W52" s="445"/>
      <c r="X52" s="510"/>
      <c r="Y52" s="736"/>
      <c r="Z52" s="736"/>
      <c r="AA52" s="736"/>
      <c r="AB52" s="736"/>
    </row>
    <row r="53" customFormat="false" ht="12.6" hidden="false" customHeight="true" outlineLevel="0" collapsed="false">
      <c r="A53" s="450" t="n">
        <v>8</v>
      </c>
      <c r="B53" s="728" t="s">
        <v>514</v>
      </c>
      <c r="C53" s="450" t="n">
        <f aca="false">AVERAGE(D53:W53)</f>
        <v>596.036761518168</v>
      </c>
      <c r="D53" s="732" t="n">
        <v>0</v>
      </c>
      <c r="E53" s="732" t="n">
        <f aca="false">IF(E3&gt;ProjectLife+1,0,Depreciation!E57)</f>
        <v>549.163698374115</v>
      </c>
      <c r="F53" s="732" t="n">
        <f aca="false">IF(F3&gt;ProjectLife+1,0,Depreciation!F57)</f>
        <v>538.069482245345</v>
      </c>
      <c r="G53" s="732" t="n">
        <f aca="false">IF(G3&gt;ProjectLife+1,0,Depreciation!G57)</f>
        <v>526.975266116575</v>
      </c>
      <c r="H53" s="732" t="n">
        <f aca="false">IF(H3&gt;ProjectLife+1,0,Depreciation!H57)</f>
        <v>515.881049987805</v>
      </c>
      <c r="I53" s="732" t="n">
        <f aca="false">IF(I3&gt;ProjectLife+1,0,Depreciation!I57)</f>
        <v>504.786833859035</v>
      </c>
      <c r="J53" s="732" t="n">
        <f aca="false">IF(J3&gt;ProjectLife+1,0,Depreciation!J57)</f>
        <v>493.692617730265</v>
      </c>
      <c r="K53" s="732" t="n">
        <f aca="false">IF(K3&gt;ProjectLife+1,0,Depreciation!K57)</f>
        <v>477.05129353711</v>
      </c>
      <c r="L53" s="732" t="n">
        <f aca="false">IF(L3&gt;ProjectLife+1,0,Depreciation!L57)</f>
        <v>460.409969343955</v>
      </c>
      <c r="M53" s="732" t="n">
        <f aca="false">IF(M3&gt;ProjectLife+1,0,Depreciation!M57)</f>
        <v>443.7686451508</v>
      </c>
      <c r="N53" s="732" t="n">
        <f aca="false">IF(N3&gt;ProjectLife+1,0,Depreciation!N57)</f>
        <v>421.58021289326</v>
      </c>
      <c r="O53" s="732" t="n">
        <f aca="false">IF(O3&gt;ProjectLife+1,0,Depreciation!O57)</f>
        <v>1198.17534190716</v>
      </c>
      <c r="P53" s="732" t="n">
        <f aca="false">IF(P3&gt;ProjectLife+1,0,Depreciation!P57)</f>
        <v>1114.96872094139</v>
      </c>
      <c r="Q53" s="732" t="n">
        <f aca="false">IF(Q3&gt;ProjectLife+1,0,Depreciation!Q57)</f>
        <v>1015.12077578246</v>
      </c>
      <c r="R53" s="732" t="n">
        <f aca="false">IF(R3&gt;ProjectLife+1,0,Depreciation!R57)</f>
        <v>915.272830623525</v>
      </c>
      <c r="S53" s="732" t="n">
        <f aca="false">IF(S3&gt;ProjectLife+1,0,Depreciation!S57)</f>
        <v>815.424885464595</v>
      </c>
      <c r="T53" s="732" t="n">
        <f aca="false">IF(T3&gt;ProjectLife+1,0,Depreciation!T57)</f>
        <v>682.294291919355</v>
      </c>
      <c r="U53" s="732" t="n">
        <f aca="false">IF(U3&gt;ProjectLife+1,0,Depreciation!U57)</f>
        <v>532.52237418096</v>
      </c>
      <c r="V53" s="732" t="n">
        <f aca="false">IF(V3&gt;ProjectLife+1,0,Depreciation!V57)</f>
        <v>382.750456442565</v>
      </c>
      <c r="W53" s="732" t="n">
        <f aca="false">IF(W3&gt;ProjectLife+1,0,Depreciation!W57)</f>
        <v>332.8264838631</v>
      </c>
      <c r="X53" s="733" t="n">
        <f aca="false">IF(X3&gt;ProjectLife+1,0,Depreciation!X57)</f>
        <v>332.8264838631</v>
      </c>
      <c r="Y53" s="713"/>
      <c r="Z53" s="713"/>
      <c r="AA53" s="713"/>
      <c r="AB53" s="713"/>
    </row>
    <row r="54" customFormat="false" ht="12.6" hidden="false" customHeight="true" outlineLevel="0" collapsed="false">
      <c r="B54" s="728"/>
      <c r="D54" s="443"/>
      <c r="E54" s="443"/>
      <c r="F54" s="443"/>
      <c r="G54" s="443"/>
      <c r="H54" s="443"/>
      <c r="I54" s="443"/>
      <c r="J54" s="443"/>
      <c r="K54" s="443"/>
      <c r="L54" s="443"/>
      <c r="M54" s="443"/>
      <c r="N54" s="443"/>
      <c r="O54" s="443"/>
      <c r="P54" s="443"/>
      <c r="Q54" s="443"/>
      <c r="R54" s="443"/>
      <c r="S54" s="443"/>
      <c r="T54" s="443"/>
      <c r="U54" s="443"/>
      <c r="V54" s="443"/>
      <c r="W54" s="443"/>
      <c r="X54" s="444"/>
      <c r="Y54" s="739"/>
      <c r="Z54" s="739"/>
      <c r="AA54" s="739"/>
      <c r="AB54" s="739"/>
    </row>
    <row r="55" customFormat="false" ht="12.6" hidden="false" customHeight="true" outlineLevel="0" collapsed="false">
      <c r="B55" s="728" t="s">
        <v>515</v>
      </c>
      <c r="D55" s="443"/>
      <c r="E55" s="443"/>
      <c r="F55" s="443"/>
      <c r="G55" s="443"/>
      <c r="H55" s="443"/>
      <c r="I55" s="443"/>
      <c r="J55" s="443"/>
      <c r="K55" s="443"/>
      <c r="L55" s="443"/>
      <c r="M55" s="443"/>
      <c r="N55" s="443"/>
      <c r="O55" s="443"/>
      <c r="P55" s="443"/>
      <c r="Q55" s="443"/>
      <c r="R55" s="443"/>
      <c r="S55" s="443"/>
      <c r="T55" s="443"/>
      <c r="U55" s="443"/>
      <c r="V55" s="443"/>
      <c r="W55" s="443"/>
      <c r="X55" s="444"/>
      <c r="Y55" s="739"/>
      <c r="Z55" s="739"/>
      <c r="AA55" s="739"/>
      <c r="AB55" s="739"/>
    </row>
    <row r="56" customFormat="false" ht="12.6" hidden="false" customHeight="true" outlineLevel="0" collapsed="false">
      <c r="A56" s="450" t="n">
        <v>8</v>
      </c>
      <c r="B56" s="417" t="s">
        <v>516</v>
      </c>
      <c r="D56" s="732" t="n">
        <f aca="false">'Tax Calculations'!D8*'Tax Calculations'!D9</f>
        <v>0</v>
      </c>
      <c r="E56" s="732" t="n">
        <f aca="false">'Tax Calculations'!E8*'Tax Calculations'!E9</f>
        <v>0</v>
      </c>
      <c r="F56" s="732" t="n">
        <f aca="false">'Tax Calculations'!F8*'Tax Calculations'!F9</f>
        <v>0</v>
      </c>
      <c r="G56" s="732" t="n">
        <f aca="false">'Tax Calculations'!G8*'Tax Calculations'!G9</f>
        <v>0</v>
      </c>
      <c r="H56" s="732" t="n">
        <f aca="false">'Tax Calculations'!H8*'Tax Calculations'!H9</f>
        <v>0</v>
      </c>
      <c r="I56" s="732" t="n">
        <f aca="false">'Tax Calculations'!I8*'Tax Calculations'!I9</f>
        <v>0</v>
      </c>
      <c r="J56" s="732" t="n">
        <f aca="false">'Tax Calculations'!J8*'Tax Calculations'!J9</f>
        <v>0</v>
      </c>
      <c r="K56" s="732" t="n">
        <f aca="false">'Tax Calculations'!K8*'Tax Calculations'!K9</f>
        <v>0</v>
      </c>
      <c r="L56" s="732" t="n">
        <f aca="false">'Tax Calculations'!L8*'Tax Calculations'!L9</f>
        <v>0</v>
      </c>
      <c r="M56" s="732" t="n">
        <f aca="false">'Tax Calculations'!M8*'Tax Calculations'!M9</f>
        <v>0</v>
      </c>
      <c r="N56" s="732" t="n">
        <f aca="false">'Tax Calculations'!N8*'Tax Calculations'!N9</f>
        <v>0</v>
      </c>
      <c r="O56" s="732" t="n">
        <f aca="false">'Tax Calculations'!O8*'Tax Calculations'!O9</f>
        <v>0</v>
      </c>
      <c r="P56" s="732" t="n">
        <f aca="false">'Tax Calculations'!P8*'Tax Calculations'!P9</f>
        <v>0</v>
      </c>
      <c r="Q56" s="732" t="n">
        <f aca="false">'Tax Calculations'!Q8*'Tax Calculations'!Q9</f>
        <v>0</v>
      </c>
      <c r="R56" s="732" t="n">
        <f aca="false">'Tax Calculations'!R8*'Tax Calculations'!R9</f>
        <v>0</v>
      </c>
      <c r="S56" s="732" t="n">
        <f aca="false">'Tax Calculations'!S8*'Tax Calculations'!S9</f>
        <v>0</v>
      </c>
      <c r="T56" s="732" t="n">
        <f aca="false">'Tax Calculations'!T8*'Tax Calculations'!T9</f>
        <v>0</v>
      </c>
      <c r="U56" s="732" t="n">
        <f aca="false">'Tax Calculations'!U8*'Tax Calculations'!U9</f>
        <v>0</v>
      </c>
      <c r="V56" s="732" t="n">
        <f aca="false">'Tax Calculations'!V8*'Tax Calculations'!V9</f>
        <v>0</v>
      </c>
      <c r="W56" s="732" t="n">
        <f aca="false">'Tax Calculations'!W8*'Tax Calculations'!W9</f>
        <v>0</v>
      </c>
      <c r="X56" s="733" t="n">
        <f aca="false">'Tax Calculations'!X8*'Tax Calculations'!X9</f>
        <v>0</v>
      </c>
      <c r="Y56" s="739"/>
      <c r="Z56" s="739"/>
      <c r="AA56" s="739"/>
      <c r="AB56" s="739"/>
    </row>
    <row r="57" customFormat="false" ht="12.6" hidden="false" customHeight="true" outlineLevel="0" collapsed="false">
      <c r="B57" s="728"/>
      <c r="D57" s="443"/>
      <c r="E57" s="443"/>
      <c r="F57" s="443"/>
      <c r="G57" s="443"/>
      <c r="H57" s="443"/>
      <c r="I57" s="443"/>
      <c r="J57" s="443"/>
      <c r="K57" s="443"/>
      <c r="L57" s="443"/>
      <c r="M57" s="443"/>
      <c r="N57" s="443"/>
      <c r="O57" s="443"/>
      <c r="P57" s="443"/>
      <c r="Q57" s="443"/>
      <c r="R57" s="443"/>
      <c r="S57" s="443"/>
      <c r="T57" s="443"/>
      <c r="U57" s="443"/>
      <c r="V57" s="443"/>
      <c r="W57" s="443"/>
      <c r="X57" s="444"/>
      <c r="Y57" s="739"/>
      <c r="Z57" s="739"/>
      <c r="AA57" s="739"/>
      <c r="AB57" s="739"/>
    </row>
    <row r="58" customFormat="false" ht="12.6" hidden="false" customHeight="true" outlineLevel="0" collapsed="false">
      <c r="B58" s="719" t="s">
        <v>517</v>
      </c>
      <c r="C58" s="512"/>
      <c r="D58" s="740" t="n">
        <f aca="false">D29+D34+D42+D51+D53+D56</f>
        <v>18832.9004385294</v>
      </c>
      <c r="E58" s="740" t="n">
        <f aca="false">E29+E34+E42+E51+E53+E56</f>
        <v>20844.4875250162</v>
      </c>
      <c r="F58" s="740" t="n">
        <f aca="false">F29+F34+F42+F51+F53+F56</f>
        <v>21182.1810764772</v>
      </c>
      <c r="G58" s="740" t="n">
        <f aca="false">G29+G34+G42+G51+G53+G56</f>
        <v>21286.7750033754</v>
      </c>
      <c r="H58" s="740" t="n">
        <f aca="false">H29+H34+H42+H51+H53+H56</f>
        <v>22536.0463842908</v>
      </c>
      <c r="I58" s="740" t="n">
        <f aca="false">I29+I34+I42+I51+I53+I56</f>
        <v>23320.5626520514</v>
      </c>
      <c r="J58" s="740" t="n">
        <f aca="false">J29+J34+J42+J51+J53+J56</f>
        <v>23450.0509547692</v>
      </c>
      <c r="K58" s="740" t="n">
        <f aca="false">K29+K34+K42+K51+K53+K56</f>
        <v>23578.209624988</v>
      </c>
      <c r="L58" s="740" t="n">
        <f aca="false">L29+L34+L42+L51+L53+L56</f>
        <v>23710.7122950392</v>
      </c>
      <c r="M58" s="740" t="n">
        <f aca="false">M29+M34+M42+M51+M53+M56</f>
        <v>23847.6892849177</v>
      </c>
      <c r="N58" s="740" t="n">
        <f aca="false">N29+N34+N42+N51+N53+N56</f>
        <v>23983.7277161539</v>
      </c>
      <c r="O58" s="740" t="n">
        <f aca="false">O29+O34+O42+O51+O53+O56</f>
        <v>24923.2965145665</v>
      </c>
      <c r="P58" s="740" t="n">
        <f aca="false">P29+P34+P42+P51+P53+P56</f>
        <v>25007.9527730813</v>
      </c>
      <c r="Q58" s="740" t="n">
        <f aca="false">Q29+Q34+Q42+Q51+Q53+Q56</f>
        <v>25081.0035937873</v>
      </c>
      <c r="R58" s="740" t="n">
        <f aca="false">R29+R34+R42+R51+R53+R56</f>
        <v>25159.2413774693</v>
      </c>
      <c r="S58" s="740" t="n">
        <f aca="false">S29+S34+S42+S51+S53+S56</f>
        <v>25242.8217330166</v>
      </c>
      <c r="T58" s="740" t="n">
        <f aca="false">T29+T34+T42+T51+T53+T56</f>
        <v>25298.6222891987</v>
      </c>
      <c r="U58" s="740" t="n">
        <f aca="false">U29+U34+U42+U51+U53+U56</f>
        <v>25343.4494556795</v>
      </c>
      <c r="V58" s="740" t="n">
        <f aca="false">V29+V34+V42+V51+V53+V56</f>
        <v>25394.1145946869</v>
      </c>
      <c r="W58" s="740" t="n">
        <f aca="false">W29+W34+W42+W51+W53+W56</f>
        <v>25550.6407905555</v>
      </c>
      <c r="X58" s="741" t="n">
        <f aca="false">X29+X34+X42+X51+X53+X56</f>
        <v>25763.2844640571</v>
      </c>
      <c r="Y58" s="739"/>
      <c r="Z58" s="739"/>
      <c r="AA58" s="739"/>
      <c r="AB58" s="739"/>
    </row>
    <row r="59" customFormat="false" ht="12.6" hidden="false" customHeight="true" outlineLevel="0" collapsed="false">
      <c r="B59" s="722"/>
      <c r="C59" s="723"/>
      <c r="D59" s="742"/>
      <c r="E59" s="742"/>
      <c r="F59" s="742"/>
      <c r="G59" s="742"/>
      <c r="H59" s="742"/>
      <c r="I59" s="742"/>
      <c r="J59" s="742"/>
      <c r="K59" s="742"/>
      <c r="L59" s="742"/>
      <c r="M59" s="742"/>
      <c r="N59" s="742"/>
      <c r="O59" s="742"/>
      <c r="P59" s="742"/>
      <c r="Q59" s="742"/>
      <c r="R59" s="742"/>
      <c r="S59" s="742"/>
      <c r="T59" s="742"/>
      <c r="U59" s="742"/>
      <c r="V59" s="742"/>
      <c r="W59" s="742"/>
      <c r="X59" s="742"/>
      <c r="Y59" s="739"/>
      <c r="Z59" s="739"/>
      <c r="AA59" s="739"/>
      <c r="AB59" s="739"/>
    </row>
    <row r="60" customFormat="false" ht="12.6" hidden="false" customHeight="true" outlineLevel="0" collapsed="false">
      <c r="B60" s="743"/>
      <c r="D60" s="443"/>
      <c r="E60" s="443"/>
      <c r="F60" s="443"/>
      <c r="G60" s="443"/>
      <c r="H60" s="443"/>
      <c r="I60" s="443"/>
      <c r="J60" s="443"/>
      <c r="K60" s="443"/>
      <c r="L60" s="443"/>
      <c r="M60" s="443"/>
      <c r="N60" s="443"/>
      <c r="O60" s="443"/>
      <c r="P60" s="443"/>
      <c r="Q60" s="443"/>
      <c r="R60" s="443"/>
      <c r="S60" s="443"/>
      <c r="T60" s="443"/>
      <c r="U60" s="443"/>
      <c r="V60" s="443"/>
      <c r="W60" s="443"/>
      <c r="X60" s="443"/>
      <c r="Y60" s="739"/>
      <c r="Z60" s="739"/>
      <c r="AA60" s="739"/>
      <c r="AB60" s="739"/>
    </row>
    <row r="61" customFormat="false" ht="12.6" hidden="false" customHeight="true" outlineLevel="0" collapsed="false">
      <c r="B61" s="708" t="s">
        <v>443</v>
      </c>
      <c r="C61" s="500"/>
      <c r="D61" s="518" t="n">
        <f aca="false">D17-D58</f>
        <v>8065.31652147059</v>
      </c>
      <c r="E61" s="518" t="n">
        <f aca="false">E17-E58</f>
        <v>19235.4282899612</v>
      </c>
      <c r="F61" s="518" t="n">
        <f aca="false">F17-F58</f>
        <v>19490.98026574</v>
      </c>
      <c r="G61" s="518" t="n">
        <f aca="false">G17-G58</f>
        <v>19444.8659743083</v>
      </c>
      <c r="H61" s="518" t="n">
        <f aca="false">H17-H58</f>
        <v>25069.7937299641</v>
      </c>
      <c r="I61" s="518" t="n">
        <f aca="false">I17-I58</f>
        <v>29449.203233183</v>
      </c>
      <c r="J61" s="518" t="n">
        <f aca="false">J17-J58</f>
        <v>29763.7241658887</v>
      </c>
      <c r="K61" s="518" t="n">
        <f aca="false">K17-K58</f>
        <v>30075.0498787979</v>
      </c>
      <c r="L61" s="518" t="n">
        <f aca="false">L17-L58</f>
        <v>31007.8988980011</v>
      </c>
      <c r="M61" s="518" t="n">
        <f aca="false">M17-M58</f>
        <v>31318.238992447</v>
      </c>
      <c r="N61" s="518" t="n">
        <f aca="false">N17-N58</f>
        <v>32292.9323136725</v>
      </c>
      <c r="O61" s="518" t="n">
        <f aca="false">O17-O58</f>
        <v>31807.8373597114</v>
      </c>
      <c r="P61" s="518" t="n">
        <f aca="false">P17-P58</f>
        <v>32880.8690215657</v>
      </c>
      <c r="Q61" s="518" t="n">
        <f aca="false">Q17-Q58</f>
        <v>33268.6614847461</v>
      </c>
      <c r="R61" s="518" t="n">
        <f aca="false">R17-R58</f>
        <v>33643.1450252444</v>
      </c>
      <c r="S61" s="518" t="n">
        <f aca="false">S17-S58</f>
        <v>34003.2619576333</v>
      </c>
      <c r="T61" s="518" t="n">
        <f aca="false">T17-T58</f>
        <v>34381.1857617769</v>
      </c>
      <c r="U61" s="518" t="n">
        <f aca="false">U17-U58</f>
        <v>34759.1123247955</v>
      </c>
      <c r="V61" s="518" t="n">
        <f aca="false">V17-V58</f>
        <v>35119.1816946874</v>
      </c>
      <c r="W61" s="518" t="n">
        <f aca="false">W17-W58</f>
        <v>35360.2691555253</v>
      </c>
      <c r="X61" s="519" t="n">
        <f aca="false">X17-X58</f>
        <v>35530.961374348</v>
      </c>
      <c r="Y61" s="713"/>
      <c r="Z61" s="713"/>
      <c r="AA61" s="713"/>
      <c r="AB61" s="713"/>
    </row>
    <row r="62" customFormat="false" ht="12.6" hidden="false" customHeight="true" outlineLevel="0" collapsed="false">
      <c r="B62" s="417"/>
      <c r="D62" s="418"/>
      <c r="E62" s="418"/>
      <c r="F62" s="418"/>
      <c r="G62" s="418"/>
      <c r="H62" s="418"/>
      <c r="I62" s="418"/>
      <c r="J62" s="418"/>
      <c r="K62" s="418"/>
      <c r="L62" s="418"/>
      <c r="M62" s="418"/>
      <c r="N62" s="418"/>
      <c r="O62" s="418"/>
      <c r="P62" s="418"/>
      <c r="Q62" s="418"/>
      <c r="R62" s="418"/>
      <c r="S62" s="418"/>
      <c r="T62" s="418"/>
      <c r="U62" s="418"/>
      <c r="V62" s="418"/>
      <c r="W62" s="418"/>
      <c r="X62" s="508"/>
      <c r="Y62" s="686"/>
      <c r="Z62" s="686"/>
      <c r="AA62" s="686"/>
      <c r="AB62" s="686"/>
    </row>
    <row r="63" customFormat="false" ht="12.6" hidden="false" customHeight="true" outlineLevel="0" collapsed="false">
      <c r="A63" s="450" t="n">
        <v>11</v>
      </c>
      <c r="B63" s="417" t="s">
        <v>518</v>
      </c>
      <c r="D63" s="443" t="n">
        <f aca="false">Depreciation!D43</f>
        <v>2151.86013333333</v>
      </c>
      <c r="E63" s="443" t="n">
        <f aca="false">IF(E3&gt;ProjectLife,0,Depreciation!E43)</f>
        <v>5201.96432</v>
      </c>
      <c r="F63" s="443" t="n">
        <f aca="false">IF(F3&gt;ProjectLife,0,Depreciation!F43)</f>
        <v>5254.46432</v>
      </c>
      <c r="G63" s="443" t="n">
        <f aca="false">IF(G3&gt;ProjectLife,0,Depreciation!G43)</f>
        <v>5254.46432</v>
      </c>
      <c r="H63" s="443" t="n">
        <f aca="false">IF(H3&gt;ProjectLife,0,Depreciation!H43)</f>
        <v>5254.46432</v>
      </c>
      <c r="I63" s="443" t="n">
        <f aca="false">IF(I3&gt;ProjectLife,0,Depreciation!I43)</f>
        <v>5002.78982</v>
      </c>
      <c r="J63" s="443" t="n">
        <f aca="false">IF(J3&gt;ProjectLife,0,Depreciation!J43)</f>
        <v>4650.44552</v>
      </c>
      <c r="K63" s="443" t="n">
        <f aca="false">IF(K3&gt;ProjectLife,0,Depreciation!K43)</f>
        <v>4650.44552</v>
      </c>
      <c r="L63" s="443" t="n">
        <f aca="false">IF(L3&gt;ProjectLife,0,Depreciation!L43)</f>
        <v>4650.44552</v>
      </c>
      <c r="M63" s="443" t="n">
        <f aca="false">IF(M3&gt;ProjectLife,0,Depreciation!M43)</f>
        <v>4650.44552</v>
      </c>
      <c r="N63" s="443" t="n">
        <f aca="false">IF(N3&gt;ProjectLife,0,Depreciation!N43)</f>
        <v>4650.44552</v>
      </c>
      <c r="O63" s="443" t="n">
        <f aca="false">IF(O3&gt;ProjectLife,0,Depreciation!O43)</f>
        <v>4650.44552</v>
      </c>
      <c r="P63" s="443" t="n">
        <f aca="false">IF(P3&gt;ProjectLife,0,Depreciation!P43)</f>
        <v>4650.44552</v>
      </c>
      <c r="Q63" s="443" t="n">
        <f aca="false">IF(Q3&gt;ProjectLife,0,Depreciation!Q43)</f>
        <v>4650.44552</v>
      </c>
      <c r="R63" s="443" t="n">
        <f aca="false">IF(R3&gt;ProjectLife,0,Depreciation!R43)</f>
        <v>4650.44552</v>
      </c>
      <c r="S63" s="443" t="n">
        <f aca="false">IF(S3&gt;ProjectLife,0,Depreciation!S43)</f>
        <v>4650.44552</v>
      </c>
      <c r="T63" s="443" t="n">
        <f aca="false">IF(T3&gt;ProjectLife,0,Depreciation!T43)</f>
        <v>4650.44552</v>
      </c>
      <c r="U63" s="443" t="n">
        <f aca="false">IF(U3&gt;ProjectLife,0,Depreciation!U43)</f>
        <v>4650.44552</v>
      </c>
      <c r="V63" s="443" t="n">
        <f aca="false">IF(V3&gt;ProjectLife,0,Depreciation!V43)</f>
        <v>4650.44552</v>
      </c>
      <c r="W63" s="443" t="n">
        <f aca="false">IF(W3&gt;ProjectLife,0,Depreciation!W43)</f>
        <v>4650.44552</v>
      </c>
      <c r="X63" s="444" t="n">
        <f aca="false">IF(X3&gt;ProjectLife+1,0,Depreciation!X43)</f>
        <v>4624.54968666667</v>
      </c>
      <c r="Y63" s="744"/>
      <c r="Z63" s="744"/>
      <c r="AA63" s="744"/>
      <c r="AB63" s="744"/>
    </row>
    <row r="64" customFormat="false" ht="12.6" hidden="false" customHeight="true" outlineLevel="0" collapsed="false">
      <c r="B64" s="728" t="s">
        <v>519</v>
      </c>
      <c r="D64" s="438" t="n">
        <f aca="false">D61-D63</f>
        <v>5913.45638813725</v>
      </c>
      <c r="E64" s="438" t="n">
        <f aca="false">IF(E3&gt;ProjectLife,0,E61-E63)</f>
        <v>14033.4639699612</v>
      </c>
      <c r="F64" s="438" t="n">
        <f aca="false">IF(F3&gt;ProjectLife,0,F61-F63)</f>
        <v>14236.51594574</v>
      </c>
      <c r="G64" s="438" t="n">
        <f aca="false">IF(G3&gt;ProjectLife,0,G61-G63)</f>
        <v>14190.4016543083</v>
      </c>
      <c r="H64" s="438" t="n">
        <f aca="false">IF(H3&gt;ProjectLife,0,H61-H63)</f>
        <v>19815.3294099641</v>
      </c>
      <c r="I64" s="438" t="n">
        <f aca="false">IF(I3&gt;ProjectLife,0,I61-I63)</f>
        <v>24446.413413183</v>
      </c>
      <c r="J64" s="438" t="n">
        <f aca="false">IF(J3&gt;ProjectLife,0,J61-J63)</f>
        <v>25113.2786458887</v>
      </c>
      <c r="K64" s="438" t="n">
        <f aca="false">IF(K3&gt;ProjectLife,0,K61-K63)</f>
        <v>25424.6043587979</v>
      </c>
      <c r="L64" s="438" t="n">
        <f aca="false">IF(L3&gt;ProjectLife,0,L61-L63)</f>
        <v>26357.4533780011</v>
      </c>
      <c r="M64" s="438" t="n">
        <f aca="false">IF(M3&gt;ProjectLife,0,M61-M63)</f>
        <v>26667.793472447</v>
      </c>
      <c r="N64" s="438" t="n">
        <f aca="false">IF(N3&gt;ProjectLife,0,N61-N63)</f>
        <v>27642.4867936725</v>
      </c>
      <c r="O64" s="438" t="n">
        <f aca="false">IF(O3&gt;ProjectLife,0,O61-O63)</f>
        <v>27157.3918397114</v>
      </c>
      <c r="P64" s="438" t="n">
        <f aca="false">IF(P3&gt;ProjectLife,0,P61-P63)</f>
        <v>28230.4235015657</v>
      </c>
      <c r="Q64" s="438" t="n">
        <f aca="false">IF(Q3&gt;ProjectLife,0,Q61-Q63)</f>
        <v>28618.2159647461</v>
      </c>
      <c r="R64" s="438" t="n">
        <f aca="false">IF(R3&gt;ProjectLife,0,R61-R63)</f>
        <v>28992.6995052443</v>
      </c>
      <c r="S64" s="438" t="n">
        <f aca="false">IF(S3&gt;ProjectLife,0,S61-S63)</f>
        <v>29352.8164376333</v>
      </c>
      <c r="T64" s="438" t="n">
        <f aca="false">IF(T3&gt;ProjectLife,0,T61-T63)</f>
        <v>29730.7402417768</v>
      </c>
      <c r="U64" s="438" t="n">
        <f aca="false">IF(U3&gt;ProjectLife,0,U61-U63)</f>
        <v>30108.6668047955</v>
      </c>
      <c r="V64" s="438" t="n">
        <f aca="false">IF(V3&gt;ProjectLife,0,V61-V63)</f>
        <v>30468.7361746874</v>
      </c>
      <c r="W64" s="438" t="n">
        <f aca="false">IF(W3&gt;ProjectLife,0,W61-W63)</f>
        <v>30709.8236355253</v>
      </c>
      <c r="X64" s="439" t="n">
        <f aca="false">IF(X3&gt;ProjectLife+1,0,X61-X63)</f>
        <v>30906.4116876814</v>
      </c>
      <c r="Y64" s="713"/>
      <c r="Z64" s="713"/>
      <c r="AA64" s="713"/>
      <c r="AB64" s="713"/>
    </row>
    <row r="65" customFormat="false" ht="12.6" hidden="false" customHeight="true" outlineLevel="0" collapsed="false">
      <c r="B65" s="745"/>
      <c r="E65" s="418"/>
      <c r="X65" s="451"/>
    </row>
    <row r="66" customFormat="false" ht="12.6" hidden="false" customHeight="true" outlineLevel="0" collapsed="false">
      <c r="B66" s="417" t="s">
        <v>520</v>
      </c>
      <c r="D66" s="438" t="n">
        <f aca="false">'Debt Amortization'!E$52</f>
        <v>9138.4678</v>
      </c>
      <c r="E66" s="438" t="n">
        <f aca="false">'Debt Amortization'!F$52</f>
        <v>8819.062</v>
      </c>
      <c r="F66" s="438" t="n">
        <f aca="false">'Debt Amortization'!G$52</f>
        <v>8499.6562</v>
      </c>
      <c r="G66" s="438" t="n">
        <f aca="false">'Debt Amortization'!H$52</f>
        <v>8048.04792</v>
      </c>
      <c r="H66" s="438" t="n">
        <f aca="false">'Debt Amortization'!I$52</f>
        <v>7464.23716</v>
      </c>
      <c r="I66" s="438" t="n">
        <f aca="false">'Debt Amortization'!J$52</f>
        <v>7095.4963</v>
      </c>
      <c r="J66" s="438" t="n">
        <f aca="false">'Debt Amortization'!K$52</f>
        <v>6726.75544</v>
      </c>
      <c r="K66" s="438" t="n">
        <f aca="false">'Debt Amortization'!L$52</f>
        <v>6305.84663</v>
      </c>
      <c r="L66" s="438" t="n">
        <f aca="false">'Debt Amortization'!M$52</f>
        <v>5884.93782</v>
      </c>
      <c r="M66" s="438" t="n">
        <f aca="false">'Debt Amortization'!N$52</f>
        <v>5199.62405</v>
      </c>
      <c r="N66" s="438" t="n">
        <f aca="false">'Debt Amortization'!O$52</f>
        <v>4329.93985</v>
      </c>
      <c r="O66" s="438" t="n">
        <f aca="false">'Debt Amortization'!P$52</f>
        <v>4121.26805</v>
      </c>
      <c r="P66" s="438" t="n">
        <f aca="false">'Debt Amortization'!Q$52</f>
        <v>3860.4283</v>
      </c>
      <c r="Q66" s="438" t="n">
        <f aca="false">'Debt Amortization'!R$52</f>
        <v>3599.58855</v>
      </c>
      <c r="R66" s="438" t="n">
        <f aca="false">'Debt Amortization'!S$52</f>
        <v>3338.7488</v>
      </c>
      <c r="S66" s="438" t="n">
        <f aca="false">'Debt Amortization'!T$52</f>
        <v>3077.90905</v>
      </c>
      <c r="T66" s="438" t="n">
        <f aca="false">'Debt Amortization'!U$52</f>
        <v>2817.0693</v>
      </c>
      <c r="U66" s="438" t="n">
        <f aca="false">'Debt Amortization'!V$52</f>
        <v>2295.3898</v>
      </c>
      <c r="V66" s="438" t="n">
        <f aca="false">'Debt Amortization'!W$52</f>
        <v>1669.3744</v>
      </c>
      <c r="W66" s="438" t="n">
        <f aca="false">'Debt Amortization'!X$52</f>
        <v>886.85515</v>
      </c>
      <c r="X66" s="439" t="n">
        <f aca="false">'Debt Amortization'!Y$52</f>
        <v>0</v>
      </c>
      <c r="Y66" s="713"/>
      <c r="Z66" s="713"/>
      <c r="AA66" s="713"/>
      <c r="AB66" s="713"/>
      <c r="AC66" s="686"/>
    </row>
    <row r="67" customFormat="false" ht="12.6" hidden="false" customHeight="true" outlineLevel="0" collapsed="false">
      <c r="A67" s="450" t="n">
        <v>10</v>
      </c>
      <c r="B67" s="417" t="s">
        <v>521</v>
      </c>
      <c r="D67" s="441" t="n">
        <f aca="false">0.05*0.25*D61</f>
        <v>100.816456518382</v>
      </c>
      <c r="E67" s="441" t="n">
        <f aca="false">0.05*0.25*E61</f>
        <v>240.442853624515</v>
      </c>
      <c r="F67" s="441" t="n">
        <f aca="false">0.05*0.25*F61</f>
        <v>243.63725332175</v>
      </c>
      <c r="G67" s="441" t="n">
        <f aca="false">0.05*0.25*G61</f>
        <v>243.060824678854</v>
      </c>
      <c r="H67" s="441" t="n">
        <f aca="false">0.05*0.25*H61</f>
        <v>313.372421624551</v>
      </c>
      <c r="I67" s="441" t="n">
        <f aca="false">0.05*0.25*I61</f>
        <v>368.115040414787</v>
      </c>
      <c r="J67" s="441" t="n">
        <f aca="false">0.05*0.25*J61</f>
        <v>372.046552073609</v>
      </c>
      <c r="K67" s="441" t="n">
        <f aca="false">0.05*0.25*K61</f>
        <v>375.938123484974</v>
      </c>
      <c r="L67" s="441" t="n">
        <f aca="false">0.05*0.25*L61</f>
        <v>387.598736225014</v>
      </c>
      <c r="M67" s="441" t="n">
        <f aca="false">0.05*0.25*M61</f>
        <v>391.477987405587</v>
      </c>
      <c r="N67" s="441" t="n">
        <f aca="false">0.05*0.25*N61</f>
        <v>403.661653920906</v>
      </c>
      <c r="O67" s="441" t="n">
        <f aca="false">0.05*0.25*O61</f>
        <v>397.597966996392</v>
      </c>
      <c r="P67" s="441" t="n">
        <f aca="false">0.05*0.25*P61</f>
        <v>411.010862769571</v>
      </c>
      <c r="Q67" s="441" t="n">
        <f aca="false">0.05*0.25*Q61</f>
        <v>415.858268559326</v>
      </c>
      <c r="R67" s="441" t="n">
        <f aca="false">0.05*0.25*R61</f>
        <v>420.539312815554</v>
      </c>
      <c r="S67" s="441" t="n">
        <f aca="false">0.05*0.25*S61</f>
        <v>425.040774470416</v>
      </c>
      <c r="T67" s="441" t="n">
        <f aca="false">0.05*0.25*T61</f>
        <v>429.764822022211</v>
      </c>
      <c r="U67" s="441" t="n">
        <f aca="false">0.05*0.25*U61</f>
        <v>434.488904059944</v>
      </c>
      <c r="V67" s="441" t="n">
        <f aca="false">0.05*0.25*V61</f>
        <v>438.989771183592</v>
      </c>
      <c r="W67" s="441" t="n">
        <f aca="false">0.05*0.25*W61</f>
        <v>442.003364444066</v>
      </c>
      <c r="X67" s="447" t="n">
        <f aca="false">0.05*0.25*X61</f>
        <v>444.137017179351</v>
      </c>
      <c r="Y67" s="716"/>
      <c r="Z67" s="716"/>
      <c r="AA67" s="716"/>
      <c r="AB67" s="716"/>
    </row>
    <row r="68" customFormat="false" ht="12.6" hidden="false" customHeight="true" outlineLevel="0" collapsed="false">
      <c r="B68" s="417" t="s">
        <v>522</v>
      </c>
      <c r="D68" s="445" t="n">
        <f aca="false">D66-D67</f>
        <v>9037.65134348162</v>
      </c>
      <c r="E68" s="445" t="n">
        <f aca="false">E66-E67</f>
        <v>8578.61914637549</v>
      </c>
      <c r="F68" s="445" t="n">
        <f aca="false">F66-F67</f>
        <v>8256.01894667825</v>
      </c>
      <c r="G68" s="445" t="n">
        <f aca="false">G66-G67</f>
        <v>7804.98709532115</v>
      </c>
      <c r="H68" s="445" t="n">
        <f aca="false">H66-H67</f>
        <v>7150.86473837545</v>
      </c>
      <c r="I68" s="445" t="n">
        <f aca="false">I66-I67</f>
        <v>6727.38125958521</v>
      </c>
      <c r="J68" s="445" t="n">
        <f aca="false">J66-J67</f>
        <v>6354.70888792639</v>
      </c>
      <c r="K68" s="445" t="n">
        <f aca="false">K66-K67</f>
        <v>5929.90850651503</v>
      </c>
      <c r="L68" s="445" t="n">
        <f aca="false">L66-L67</f>
        <v>5497.33908377499</v>
      </c>
      <c r="M68" s="445" t="n">
        <f aca="false">M66-M67</f>
        <v>4808.14606259441</v>
      </c>
      <c r="N68" s="445" t="n">
        <f aca="false">N66-N67</f>
        <v>3926.27819607909</v>
      </c>
      <c r="O68" s="445" t="n">
        <f aca="false">O66-O67</f>
        <v>3723.67008300361</v>
      </c>
      <c r="P68" s="445" t="n">
        <f aca="false">P66-P67</f>
        <v>3449.41743723043</v>
      </c>
      <c r="Q68" s="445" t="n">
        <f aca="false">Q66-Q67</f>
        <v>3183.73028144067</v>
      </c>
      <c r="R68" s="445" t="n">
        <f aca="false">R66-R67</f>
        <v>2918.20948718445</v>
      </c>
      <c r="S68" s="445" t="n">
        <f aca="false">S66-S67</f>
        <v>2652.86827552958</v>
      </c>
      <c r="T68" s="445" t="n">
        <f aca="false">T66-T67</f>
        <v>2387.30447797779</v>
      </c>
      <c r="U68" s="445" t="n">
        <f aca="false">U66-U67</f>
        <v>1860.90089594006</v>
      </c>
      <c r="V68" s="445" t="n">
        <f aca="false">V66-V67</f>
        <v>1230.38462881641</v>
      </c>
      <c r="W68" s="445" t="n">
        <f aca="false">W66-W67</f>
        <v>444.851785555934</v>
      </c>
      <c r="X68" s="510" t="n">
        <f aca="false">X66-X67</f>
        <v>-444.137017179351</v>
      </c>
      <c r="Y68" s="736"/>
      <c r="Z68" s="736"/>
      <c r="AA68" s="736"/>
      <c r="AB68" s="736"/>
    </row>
    <row r="69" customFormat="false" ht="12.6" hidden="false" customHeight="true" outlineLevel="0" collapsed="false">
      <c r="B69" s="728" t="s">
        <v>523</v>
      </c>
      <c r="D69" s="438" t="n">
        <f aca="false">D64-D68</f>
        <v>-3124.19495534436</v>
      </c>
      <c r="E69" s="438" t="n">
        <f aca="false">IF(E3&gt;ProjectLife,0,E64-E68)</f>
        <v>5454.8448235857</v>
      </c>
      <c r="F69" s="438" t="n">
        <f aca="false">IF(F3&gt;ProjectLife,0,F64-F68)</f>
        <v>5980.49699906176</v>
      </c>
      <c r="G69" s="438" t="n">
        <f aca="false">IF(G3&gt;ProjectLife,0,G64-G68)</f>
        <v>6385.41455898719</v>
      </c>
      <c r="H69" s="438" t="n">
        <f aca="false">IF(H3&gt;ProjectLife,0,H64-H68)</f>
        <v>12664.4646715886</v>
      </c>
      <c r="I69" s="438" t="n">
        <f aca="false">IF(I3&gt;ProjectLife,0,I64-I68)</f>
        <v>17719.0321535978</v>
      </c>
      <c r="J69" s="438" t="n">
        <f aca="false">IF(J3&gt;ProjectLife,0,J64-J68)</f>
        <v>18758.5697579623</v>
      </c>
      <c r="K69" s="438" t="n">
        <f aca="false">IF(K3&gt;ProjectLife,0,K64-K68)</f>
        <v>19494.6958522829</v>
      </c>
      <c r="L69" s="438" t="n">
        <f aca="false">IF(L3&gt;ProjectLife,0,L64-L68)</f>
        <v>20860.1142942261</v>
      </c>
      <c r="M69" s="438" t="n">
        <f aca="false">IF(M3&gt;ProjectLife,0,M64-M68)</f>
        <v>21859.6474098526</v>
      </c>
      <c r="N69" s="438" t="n">
        <f aca="false">IF(N3&gt;ProjectLife,0,N64-N68)</f>
        <v>23716.2085975934</v>
      </c>
      <c r="O69" s="438" t="n">
        <f aca="false">IF(O3&gt;ProjectLife,0,O64-O68)</f>
        <v>23433.7217567078</v>
      </c>
      <c r="P69" s="438" t="n">
        <f aca="false">IF(P3&gt;ProjectLife,0,P64-P68)</f>
        <v>24781.0060643353</v>
      </c>
      <c r="Q69" s="438" t="n">
        <f aca="false">IF(Q3&gt;ProjectLife,0,Q64-Q68)</f>
        <v>25434.4856833054</v>
      </c>
      <c r="R69" s="438" t="n">
        <f aca="false">IF(R3&gt;ProjectLife,0,R64-R68)</f>
        <v>26074.4900180599</v>
      </c>
      <c r="S69" s="438" t="n">
        <f aca="false">IF(S3&gt;ProjectLife,0,S64-S68)</f>
        <v>26699.9481621037</v>
      </c>
      <c r="T69" s="438" t="n">
        <f aca="false">IF(T3&gt;ProjectLife,0,T64-T68)</f>
        <v>27343.4357637991</v>
      </c>
      <c r="U69" s="438" t="n">
        <f aca="false">IF(U3&gt;ProjectLife,0,U64-U68)</f>
        <v>28247.7659088554</v>
      </c>
      <c r="V69" s="438" t="n">
        <f aca="false">IF(V3&gt;ProjectLife,0,V64-V68)</f>
        <v>29238.351545871</v>
      </c>
      <c r="W69" s="438" t="n">
        <f aca="false">IF(W3&gt;ProjectLife,0,W64-W68)</f>
        <v>30264.9718499694</v>
      </c>
      <c r="X69" s="439" t="n">
        <f aca="false">IF(X3&gt;ProjectLife+1,0,X64-X68)</f>
        <v>31350.5487048607</v>
      </c>
      <c r="Y69" s="713"/>
      <c r="Z69" s="713"/>
      <c r="AA69" s="713"/>
      <c r="AB69" s="713"/>
    </row>
    <row r="70" customFormat="false" ht="12.6" hidden="false" customHeight="true" outlineLevel="0" collapsed="false">
      <c r="B70" s="417"/>
      <c r="D70" s="418"/>
      <c r="E70" s="418"/>
      <c r="F70" s="418"/>
      <c r="G70" s="418"/>
      <c r="H70" s="418"/>
      <c r="I70" s="418"/>
      <c r="J70" s="418"/>
      <c r="K70" s="418"/>
      <c r="L70" s="418"/>
      <c r="M70" s="418"/>
      <c r="N70" s="418"/>
      <c r="O70" s="418"/>
      <c r="P70" s="418"/>
      <c r="Q70" s="418"/>
      <c r="R70" s="418"/>
      <c r="S70" s="418"/>
      <c r="T70" s="418"/>
      <c r="U70" s="418"/>
      <c r="V70" s="418"/>
      <c r="W70" s="418"/>
      <c r="X70" s="508"/>
      <c r="Y70" s="686"/>
      <c r="Z70" s="686"/>
      <c r="AA70" s="686"/>
      <c r="AB70" s="686"/>
    </row>
    <row r="71" customFormat="false" ht="12.6" hidden="false" customHeight="true" outlineLevel="0" collapsed="false">
      <c r="B71" s="417" t="s">
        <v>524</v>
      </c>
      <c r="D71" s="445" t="n">
        <f aca="false">D69*'Project Assumptions'!$N$65</f>
        <v>-1195.00457041922</v>
      </c>
      <c r="E71" s="445" t="n">
        <f aca="false">IF(E3&gt;ProjectLife,0,E69*'Project Assumptions'!$N$65)</f>
        <v>2086.47814502153</v>
      </c>
      <c r="F71" s="445" t="n">
        <f aca="false">IF(F3&gt;ProjectLife,0,F69*'Project Assumptions'!$N$65)</f>
        <v>2287.54010214112</v>
      </c>
      <c r="G71" s="445" t="n">
        <f aca="false">IF(G3&gt;ProjectLife,0,G69*'Project Assumptions'!$N$65)</f>
        <v>2442.4210688126</v>
      </c>
      <c r="H71" s="445" t="n">
        <f aca="false">IF(H3&gt;ProjectLife,0,H69*'Project Assumptions'!$N$65)</f>
        <v>4844.15773688265</v>
      </c>
      <c r="I71" s="445" t="n">
        <f aca="false">IF(I3&gt;ProjectLife,0,I69*'Project Assumptions'!$N$65)</f>
        <v>6777.52979875114</v>
      </c>
      <c r="J71" s="445" t="n">
        <f aca="false">IF(J3&gt;ProjectLife,0,J69*'Project Assumptions'!$N$65)</f>
        <v>7175.15293242058</v>
      </c>
      <c r="K71" s="445" t="n">
        <f aca="false">IF(K3&gt;ProjectLife,0,K69*'Project Assumptions'!$N$65)</f>
        <v>7456.7211634982</v>
      </c>
      <c r="L71" s="445" t="n">
        <f aca="false">IF(L3&gt;ProjectLife,0,L69*'Project Assumptions'!$N$65)</f>
        <v>7978.99371754149</v>
      </c>
      <c r="M71" s="445" t="n">
        <f aca="false">IF(M3&gt;ProjectLife,0,M69*'Project Assumptions'!$N$65)</f>
        <v>8361.3151342686</v>
      </c>
      <c r="N71" s="445" t="n">
        <f aca="false">IF(N3&gt;ProjectLife,0,N69*'Project Assumptions'!$N$65)</f>
        <v>9071.44978857946</v>
      </c>
      <c r="O71" s="445" t="n">
        <f aca="false">IF(O3&gt;ProjectLife,0,O69*'Project Assumptions'!$N$65)</f>
        <v>8963.39857194072</v>
      </c>
      <c r="P71" s="445" t="n">
        <f aca="false">IF(P3&gt;ProjectLife,0,P69*'Project Assumptions'!$N$65)</f>
        <v>9478.73481960824</v>
      </c>
      <c r="Q71" s="445" t="n">
        <f aca="false">IF(Q3&gt;ProjectLife,0,Q69*'Project Assumptions'!$N$65)</f>
        <v>9728.69077386433</v>
      </c>
      <c r="R71" s="445" t="n">
        <f aca="false">IF(R3&gt;ProjectLife,0,R69*'Project Assumptions'!$N$65)</f>
        <v>9973.49243190791</v>
      </c>
      <c r="S71" s="445" t="n">
        <f aca="false">IF(S3&gt;ProjectLife,0,S69*'Project Assumptions'!$N$65)</f>
        <v>10212.7301720047</v>
      </c>
      <c r="T71" s="445" t="n">
        <f aca="false">IF(T3&gt;ProjectLife,0,T69*'Project Assumptions'!$N$65)</f>
        <v>10458.8641796531</v>
      </c>
      <c r="U71" s="445" t="n">
        <f aca="false">IF(U3&gt;ProjectLife,0,U69*'Project Assumptions'!$N$65)</f>
        <v>10804.7704601372</v>
      </c>
      <c r="V71" s="445" t="n">
        <f aca="false">IF(V3&gt;ProjectLife,0,V69*'Project Assumptions'!$N$65)</f>
        <v>11183.6694662956</v>
      </c>
      <c r="W71" s="445" t="n">
        <f aca="false">IF(W3&gt;ProjectLife,0,W69*'Project Assumptions'!$N$65)</f>
        <v>11576.3517326133</v>
      </c>
      <c r="X71" s="510" t="n">
        <f aca="false">IF(X3&gt;ProjectLife+1,0,X69*'Project Assumptions'!$N$65)</f>
        <v>11991.5848796092</v>
      </c>
      <c r="Y71" s="736"/>
      <c r="Z71" s="736"/>
      <c r="AA71" s="736"/>
      <c r="AB71" s="736"/>
    </row>
    <row r="72" customFormat="false" ht="12.6" hidden="false" customHeight="true" outlineLevel="0" collapsed="false">
      <c r="B72" s="719" t="s">
        <v>9</v>
      </c>
      <c r="C72" s="512"/>
      <c r="D72" s="746" t="n">
        <f aca="false">D69-D71</f>
        <v>-1929.19038492515</v>
      </c>
      <c r="E72" s="746" t="n">
        <f aca="false">IF(E3&gt;ProjectLife,0,E69-E71)</f>
        <v>3368.36667856417</v>
      </c>
      <c r="F72" s="746" t="n">
        <f aca="false">IF(F3&gt;ProjectLife,0,F69-F71)</f>
        <v>3692.95689692064</v>
      </c>
      <c r="G72" s="746" t="n">
        <f aca="false">IF(G3&gt;ProjectLife,0,G69-G71)</f>
        <v>3942.99349017459</v>
      </c>
      <c r="H72" s="746" t="n">
        <f aca="false">IF(H3&gt;ProjectLife,0,H69-H71)</f>
        <v>7820.30693470598</v>
      </c>
      <c r="I72" s="746" t="n">
        <f aca="false">IF(I3&gt;ProjectLife,0,I69-I71)</f>
        <v>10941.5023548466</v>
      </c>
      <c r="J72" s="746" t="n">
        <f aca="false">IF(J3&gt;ProjectLife,0,J69-J71)</f>
        <v>11583.4168255417</v>
      </c>
      <c r="K72" s="746" t="n">
        <f aca="false">IF(K3&gt;ProjectLife,0,K69-K71)</f>
        <v>12037.9746887847</v>
      </c>
      <c r="L72" s="746" t="n">
        <f aca="false">IF(L3&gt;ProjectLife,0,L69-L71)</f>
        <v>12881.1205766846</v>
      </c>
      <c r="M72" s="746" t="n">
        <f aca="false">IF(M3&gt;ProjectLife,0,M69-M71)</f>
        <v>13498.332275584</v>
      </c>
      <c r="N72" s="746" t="n">
        <f aca="false">IF(N3&gt;ProjectLife,0,N69-N71)</f>
        <v>14644.7588090139</v>
      </c>
      <c r="O72" s="746" t="n">
        <f aca="false">IF(O3&gt;ProjectLife,0,O69-O71)</f>
        <v>14470.323184767</v>
      </c>
      <c r="P72" s="746" t="n">
        <f aca="false">IF(P3&gt;ProjectLife,0,P69-P71)</f>
        <v>15302.271244727</v>
      </c>
      <c r="Q72" s="746" t="n">
        <f aca="false">IF(Q3&gt;ProjectLife,0,Q69-Q71)</f>
        <v>15705.7949094411</v>
      </c>
      <c r="R72" s="746" t="n">
        <f aca="false">IF(R3&gt;ProjectLife,0,R69-R71)</f>
        <v>16100.997586152</v>
      </c>
      <c r="S72" s="746" t="n">
        <f aca="false">IF(S3&gt;ProjectLife,0,S69-S71)</f>
        <v>16487.217990099</v>
      </c>
      <c r="T72" s="746" t="n">
        <f aca="false">IF(T3&gt;ProjectLife,0,T69-T71)</f>
        <v>16884.5715841459</v>
      </c>
      <c r="U72" s="746" t="n">
        <f aca="false">IF(U3&gt;ProjectLife,0,U69-U71)</f>
        <v>17442.9954487182</v>
      </c>
      <c r="V72" s="746" t="n">
        <f aca="false">IF(V3&gt;ProjectLife,0,V69-V71)</f>
        <v>18054.6820795753</v>
      </c>
      <c r="W72" s="746" t="n">
        <f aca="false">IF(W3&gt;ProjectLife,0,W69-W71)</f>
        <v>18688.6201173561</v>
      </c>
      <c r="X72" s="747" t="n">
        <f aca="false">IF(X3&gt;ProjectLife+1,0,X69-X71)</f>
        <v>19358.9638252515</v>
      </c>
      <c r="Y72" s="748"/>
      <c r="Z72" s="748"/>
      <c r="AA72" s="748"/>
      <c r="AB72" s="748"/>
    </row>
    <row r="73" customFormat="false" ht="12.6" hidden="false" customHeight="true" outlineLevel="0" collapsed="false">
      <c r="B73" s="566"/>
      <c r="C73" s="329"/>
      <c r="D73" s="418"/>
      <c r="E73" s="418"/>
      <c r="F73" s="418"/>
      <c r="G73" s="418"/>
      <c r="H73" s="418"/>
      <c r="I73" s="418"/>
      <c r="J73" s="418"/>
      <c r="K73" s="418"/>
      <c r="L73" s="418"/>
      <c r="M73" s="418"/>
      <c r="N73" s="418"/>
      <c r="O73" s="418"/>
      <c r="P73" s="418"/>
      <c r="Q73" s="418"/>
      <c r="R73" s="418"/>
      <c r="S73" s="418"/>
      <c r="T73" s="418"/>
      <c r="U73" s="418"/>
      <c r="V73" s="418"/>
      <c r="W73" s="418"/>
      <c r="X73" s="686"/>
      <c r="Y73" s="686"/>
      <c r="Z73" s="686"/>
      <c r="AA73" s="686"/>
      <c r="AB73" s="686"/>
    </row>
    <row r="74" customFormat="false" ht="12.6" hidden="false" customHeight="true" outlineLevel="0" collapsed="false">
      <c r="B74" s="566" t="s">
        <v>525</v>
      </c>
      <c r="C74" s="450" t="n">
        <f aca="false">NPV('Project Assumptions'!$I$59,'Book Income Statement'!D74:F74)</f>
        <v>7996.82355185587</v>
      </c>
      <c r="D74" s="441" t="n">
        <v>0</v>
      </c>
      <c r="E74" s="441" t="n">
        <v>0</v>
      </c>
      <c r="F74" s="441" t="n">
        <f aca="false">F69+F63</f>
        <v>11234.9613190618</v>
      </c>
      <c r="G74" s="453"/>
      <c r="H74" s="453"/>
      <c r="I74" s="453"/>
      <c r="J74" s="453"/>
      <c r="K74" s="453"/>
      <c r="L74" s="453"/>
      <c r="M74" s="453"/>
      <c r="N74" s="453"/>
      <c r="O74" s="453"/>
      <c r="P74" s="453"/>
      <c r="Q74" s="453"/>
      <c r="R74" s="453"/>
      <c r="S74" s="453"/>
      <c r="T74" s="453"/>
      <c r="U74" s="453"/>
      <c r="V74" s="453"/>
      <c r="W74" s="453"/>
      <c r="X74" s="735"/>
      <c r="Y74" s="735"/>
      <c r="Z74" s="735"/>
      <c r="AA74" s="735"/>
      <c r="AB74" s="735"/>
    </row>
    <row r="75" customFormat="false" ht="12.6" hidden="false" customHeight="true" outlineLevel="0" collapsed="false">
      <c r="B75" s="430" t="s">
        <v>526</v>
      </c>
      <c r="C75" s="450" t="n">
        <f aca="false">NPV('Project Assumptions'!$I$59,'Book Income Statement'!D75:F75)</f>
        <v>2628.57377525442</v>
      </c>
      <c r="D75" s="450" t="n">
        <v>0</v>
      </c>
      <c r="E75" s="450" t="n">
        <v>0</v>
      </c>
      <c r="F75" s="441" t="n">
        <f aca="false">F72</f>
        <v>3692.95689692064</v>
      </c>
      <c r="G75" s="441"/>
      <c r="H75" s="441"/>
      <c r="I75" s="441"/>
      <c r="J75" s="441"/>
      <c r="K75" s="441"/>
      <c r="L75" s="441"/>
      <c r="M75" s="441"/>
      <c r="N75" s="441"/>
      <c r="O75" s="441"/>
      <c r="P75" s="441"/>
      <c r="Q75" s="441"/>
      <c r="R75" s="441"/>
      <c r="S75" s="441"/>
      <c r="T75" s="441"/>
      <c r="U75" s="441"/>
      <c r="V75" s="441"/>
      <c r="W75" s="441"/>
      <c r="X75" s="716"/>
      <c r="Y75" s="716"/>
      <c r="Z75" s="716"/>
      <c r="AA75" s="716"/>
      <c r="AB75" s="716"/>
    </row>
    <row r="76" customFormat="false" ht="12.6" hidden="false" customHeight="true" outlineLevel="0" collapsed="false">
      <c r="B76" s="430"/>
      <c r="D76" s="749"/>
      <c r="E76" s="445"/>
      <c r="F76" s="445"/>
      <c r="G76" s="445"/>
      <c r="H76" s="445"/>
      <c r="I76" s="445"/>
      <c r="J76" s="445"/>
      <c r="K76" s="445"/>
      <c r="L76" s="445"/>
      <c r="M76" s="445"/>
      <c r="N76" s="445"/>
      <c r="O76" s="445"/>
      <c r="P76" s="445"/>
      <c r="Q76" s="445"/>
      <c r="R76" s="445"/>
      <c r="S76" s="445"/>
      <c r="T76" s="445"/>
      <c r="U76" s="445"/>
      <c r="V76" s="445"/>
      <c r="W76" s="445"/>
      <c r="X76" s="736"/>
      <c r="Y76" s="736"/>
      <c r="Z76" s="736"/>
      <c r="AA76" s="736"/>
      <c r="AB76" s="736"/>
    </row>
    <row r="77" customFormat="false" ht="12.6" hidden="false" customHeight="true" outlineLevel="0" collapsed="false">
      <c r="A77" s="5"/>
      <c r="G77" s="441"/>
      <c r="H77" s="5"/>
      <c r="I77" s="5"/>
      <c r="J77" s="5"/>
      <c r="K77" s="5"/>
      <c r="L77" s="5"/>
      <c r="M77" s="5"/>
      <c r="N77" s="5"/>
      <c r="O77" s="5"/>
      <c r="P77" s="5"/>
      <c r="Q77" s="5"/>
      <c r="R77" s="5"/>
      <c r="S77" s="5"/>
      <c r="T77" s="5"/>
      <c r="U77" s="5"/>
      <c r="V77" s="5"/>
      <c r="W77" s="5"/>
      <c r="X77" s="0"/>
      <c r="Y77" s="0"/>
      <c r="Z77" s="0"/>
      <c r="AA77" s="0"/>
      <c r="AB77" s="0"/>
      <c r="AC77" s="0"/>
      <c r="AD77" s="0"/>
      <c r="AF77" s="0"/>
      <c r="AG77" s="0"/>
      <c r="AH77" s="0"/>
      <c r="AI77" s="0"/>
      <c r="AJ77" s="0"/>
      <c r="AK77" s="0"/>
      <c r="AL77" s="0"/>
      <c r="AM77" s="0"/>
      <c r="AN77" s="0"/>
      <c r="AO77" s="0"/>
      <c r="AP77" s="0"/>
      <c r="AQ77" s="0"/>
      <c r="AR77" s="0"/>
      <c r="AS77" s="0"/>
      <c r="AT77" s="0"/>
      <c r="AU77" s="0"/>
      <c r="AV77" s="0"/>
      <c r="AW77" s="0"/>
      <c r="AX77" s="0"/>
      <c r="AY77" s="0"/>
      <c r="AZ77" s="0"/>
      <c r="BA77" s="0"/>
      <c r="BB77" s="0"/>
      <c r="BC77" s="0"/>
      <c r="BD77" s="0"/>
      <c r="BE77" s="0"/>
      <c r="BF77" s="0"/>
      <c r="BG77" s="0"/>
      <c r="BH77" s="0"/>
      <c r="BI77" s="0"/>
      <c r="BJ77" s="0"/>
      <c r="BK77" s="0"/>
      <c r="BL77" s="0"/>
      <c r="BM77" s="0"/>
      <c r="BN77" s="0"/>
      <c r="BO77" s="0"/>
      <c r="BP77" s="0"/>
      <c r="BQ77" s="0"/>
      <c r="BR77" s="0"/>
      <c r="BS77" s="0"/>
      <c r="BT77" s="0"/>
      <c r="BU77" s="0"/>
      <c r="BV77" s="0"/>
      <c r="BW77" s="0"/>
      <c r="BX77" s="0"/>
      <c r="BY77" s="0"/>
      <c r="BZ77" s="0"/>
      <c r="CA77" s="0"/>
      <c r="CB77" s="0"/>
      <c r="CC77" s="0"/>
      <c r="CD77" s="0"/>
      <c r="CE77" s="0"/>
      <c r="CF77" s="0"/>
      <c r="CG77" s="0"/>
      <c r="CH77" s="0"/>
      <c r="CI77" s="0"/>
      <c r="CJ77" s="0"/>
      <c r="CK77" s="0"/>
      <c r="CL77" s="0"/>
      <c r="CM77" s="0"/>
      <c r="CN77" s="0"/>
      <c r="CO77" s="0"/>
      <c r="CP77" s="0"/>
      <c r="CQ77" s="0"/>
      <c r="CR77" s="0"/>
      <c r="CS77" s="0"/>
      <c r="CT77" s="0"/>
      <c r="CU77" s="0"/>
      <c r="CV77" s="0"/>
      <c r="CW77" s="0"/>
      <c r="CX77" s="0"/>
      <c r="CY77" s="0"/>
      <c r="CZ77" s="0"/>
      <c r="DA77" s="0"/>
      <c r="DB77" s="0"/>
      <c r="DC77" s="0"/>
      <c r="DD77" s="0"/>
      <c r="DE77" s="0"/>
      <c r="DF77" s="0"/>
      <c r="DG77" s="0"/>
      <c r="DH77" s="0"/>
      <c r="DI77" s="0"/>
      <c r="DJ77" s="0"/>
      <c r="DK77" s="0"/>
      <c r="DL77" s="0"/>
      <c r="DM77" s="0"/>
      <c r="DN77" s="0"/>
      <c r="DO77" s="0"/>
      <c r="DP77" s="0"/>
      <c r="DQ77" s="0"/>
      <c r="DR77" s="0"/>
      <c r="DS77" s="0"/>
      <c r="DT77" s="0"/>
      <c r="DU77" s="0"/>
      <c r="DV77" s="0"/>
      <c r="DW77" s="0"/>
      <c r="DX77" s="0"/>
      <c r="DY77" s="0"/>
      <c r="DZ77" s="0"/>
      <c r="EA77" s="0"/>
      <c r="EB77" s="0"/>
      <c r="EC77" s="0"/>
      <c r="ED77" s="0"/>
      <c r="EE77" s="0"/>
      <c r="EF77" s="0"/>
      <c r="EG77" s="0"/>
      <c r="EH77" s="0"/>
      <c r="EI77" s="0"/>
      <c r="EJ77" s="0"/>
      <c r="EK77" s="0"/>
      <c r="EL77" s="0"/>
      <c r="EM77" s="0"/>
      <c r="EN77" s="0"/>
      <c r="EO77" s="0"/>
      <c r="EP77" s="0"/>
      <c r="EQ77" s="0"/>
      <c r="ER77" s="0"/>
      <c r="ES77" s="0"/>
      <c r="ET77" s="0"/>
      <c r="EU77" s="0"/>
      <c r="EV77" s="0"/>
      <c r="EW77" s="0"/>
      <c r="EX77" s="0"/>
      <c r="EY77" s="0"/>
      <c r="EZ77" s="0"/>
      <c r="FA77" s="0"/>
      <c r="FB77" s="0"/>
      <c r="FC77" s="0"/>
      <c r="FD77" s="0"/>
      <c r="FE77" s="0"/>
      <c r="FF77" s="0"/>
      <c r="FG77" s="0"/>
      <c r="FH77" s="0"/>
      <c r="FI77" s="0"/>
      <c r="FJ77" s="0"/>
      <c r="FK77" s="0"/>
      <c r="FL77" s="0"/>
      <c r="FM77" s="0"/>
      <c r="FN77" s="0"/>
      <c r="FO77" s="0"/>
      <c r="FP77" s="0"/>
      <c r="FQ77" s="0"/>
      <c r="FR77" s="0"/>
      <c r="FS77" s="0"/>
      <c r="FT77" s="0"/>
      <c r="FU77" s="0"/>
      <c r="FV77" s="0"/>
      <c r="FW77" s="0"/>
      <c r="FX77" s="0"/>
      <c r="FY77" s="0"/>
      <c r="FZ77" s="0"/>
      <c r="GA77" s="0"/>
      <c r="GB77" s="0"/>
      <c r="GC77" s="0"/>
      <c r="GD77" s="0"/>
      <c r="GE77" s="0"/>
      <c r="GF77" s="0"/>
      <c r="GG77" s="0"/>
      <c r="GH77" s="0"/>
      <c r="GI77" s="0"/>
      <c r="GJ77" s="0"/>
      <c r="GK77" s="0"/>
      <c r="GL77" s="0"/>
      <c r="GM77" s="0"/>
      <c r="GN77" s="0"/>
      <c r="GO77" s="0"/>
      <c r="GP77" s="0"/>
      <c r="GQ77" s="0"/>
      <c r="GR77" s="0"/>
      <c r="GS77" s="0"/>
      <c r="GT77" s="0"/>
      <c r="GU77" s="0"/>
      <c r="GV77" s="0"/>
      <c r="GW77" s="0"/>
      <c r="GX77" s="0"/>
      <c r="GY77" s="0"/>
      <c r="GZ77" s="0"/>
      <c r="HA77" s="0"/>
      <c r="HB77" s="0"/>
      <c r="HC77" s="0"/>
      <c r="HD77" s="0"/>
      <c r="HE77" s="0"/>
      <c r="HF77" s="0"/>
      <c r="HG77" s="0"/>
      <c r="HH77" s="0"/>
      <c r="HI77" s="0"/>
      <c r="HJ77" s="0"/>
      <c r="HK77" s="0"/>
      <c r="HL77" s="0"/>
      <c r="HM77" s="0"/>
      <c r="HN77" s="0"/>
      <c r="HO77" s="0"/>
      <c r="HP77" s="0"/>
      <c r="HQ77" s="0"/>
      <c r="HR77" s="0"/>
      <c r="HS77" s="0"/>
      <c r="HT77" s="0"/>
      <c r="HU77" s="0"/>
      <c r="HV77" s="0"/>
      <c r="HW77" s="0"/>
      <c r="HX77" s="0"/>
      <c r="HY77" s="0"/>
      <c r="HZ77" s="0"/>
      <c r="IA77" s="0"/>
      <c r="IB77" s="0"/>
      <c r="IC77" s="0"/>
      <c r="ID77" s="0"/>
      <c r="IE77" s="0"/>
      <c r="IF77" s="0"/>
      <c r="IG77" s="0"/>
      <c r="IH77" s="0"/>
      <c r="II77" s="0"/>
      <c r="IJ77" s="0"/>
      <c r="IK77" s="0"/>
      <c r="IL77" s="0"/>
      <c r="IM77" s="0"/>
      <c r="IN77" s="0"/>
      <c r="IO77" s="0"/>
      <c r="IP77" s="0"/>
      <c r="IQ77" s="0"/>
      <c r="IR77" s="0"/>
      <c r="IS77" s="0"/>
      <c r="IT77" s="0"/>
      <c r="IU77" s="0"/>
      <c r="IV77" s="0"/>
      <c r="IW77" s="0"/>
    </row>
    <row r="78" customFormat="false" ht="12.6" hidden="false" customHeight="true" outlineLevel="0" collapsed="false">
      <c r="A78" s="5"/>
      <c r="H78" s="5"/>
      <c r="I78" s="5"/>
      <c r="J78" s="5"/>
      <c r="K78" s="5"/>
      <c r="L78" s="5"/>
      <c r="M78" s="5"/>
      <c r="N78" s="5"/>
      <c r="O78" s="5"/>
      <c r="P78" s="5"/>
      <c r="Q78" s="5"/>
      <c r="R78" s="5"/>
      <c r="S78" s="5"/>
      <c r="T78" s="5"/>
      <c r="U78" s="5"/>
      <c r="V78" s="5"/>
      <c r="W78" s="5"/>
      <c r="X78" s="0"/>
      <c r="Y78" s="0"/>
      <c r="Z78" s="0"/>
      <c r="AA78" s="0"/>
      <c r="AB78" s="0"/>
      <c r="AC78" s="0"/>
      <c r="AD78" s="0"/>
      <c r="AF78" s="0"/>
      <c r="AG78" s="0"/>
      <c r="AH78" s="0"/>
      <c r="AI78" s="0"/>
      <c r="AJ78" s="0"/>
      <c r="AK78" s="0"/>
      <c r="AL78" s="0"/>
      <c r="AM78" s="0"/>
      <c r="AN78" s="0"/>
      <c r="AO78" s="0"/>
      <c r="AP78" s="0"/>
      <c r="AQ78" s="0"/>
      <c r="AR78" s="0"/>
      <c r="AS78" s="0"/>
      <c r="AT78" s="0"/>
      <c r="AU78" s="0"/>
      <c r="AV78" s="0"/>
      <c r="AW78" s="0"/>
      <c r="AX78" s="0"/>
      <c r="AY78" s="0"/>
      <c r="AZ78" s="0"/>
      <c r="BA78" s="0"/>
      <c r="BB78" s="0"/>
      <c r="BC78" s="0"/>
      <c r="BD78" s="0"/>
      <c r="BE78" s="0"/>
      <c r="BF78" s="0"/>
      <c r="BG78" s="0"/>
      <c r="BH78" s="0"/>
      <c r="BI78" s="0"/>
      <c r="BJ78" s="0"/>
      <c r="BK78" s="0"/>
      <c r="BL78" s="0"/>
      <c r="BM78" s="0"/>
      <c r="BN78" s="0"/>
      <c r="BO78" s="0"/>
      <c r="BP78" s="0"/>
      <c r="BQ78" s="0"/>
      <c r="BR78" s="0"/>
      <c r="BS78" s="0"/>
      <c r="BT78" s="0"/>
      <c r="BU78" s="0"/>
      <c r="BV78" s="0"/>
      <c r="BW78" s="0"/>
      <c r="BX78" s="0"/>
      <c r="BY78" s="0"/>
      <c r="BZ78" s="0"/>
      <c r="CA78" s="0"/>
      <c r="CB78" s="0"/>
      <c r="CC78" s="0"/>
      <c r="CD78" s="0"/>
      <c r="CE78" s="0"/>
      <c r="CF78" s="0"/>
      <c r="CG78" s="0"/>
      <c r="CH78" s="0"/>
      <c r="CI78" s="0"/>
      <c r="CJ78" s="0"/>
      <c r="CK78" s="0"/>
      <c r="CL78" s="0"/>
      <c r="CM78" s="0"/>
      <c r="CN78" s="0"/>
      <c r="CO78" s="0"/>
      <c r="CP78" s="0"/>
      <c r="CQ78" s="0"/>
      <c r="CR78" s="0"/>
      <c r="CS78" s="0"/>
      <c r="CT78" s="0"/>
      <c r="CU78" s="0"/>
      <c r="CV78" s="0"/>
      <c r="CW78" s="0"/>
      <c r="CX78" s="0"/>
      <c r="CY78" s="0"/>
      <c r="CZ78" s="0"/>
      <c r="DA78" s="0"/>
      <c r="DB78" s="0"/>
      <c r="DC78" s="0"/>
      <c r="DD78" s="0"/>
      <c r="DE78" s="0"/>
      <c r="DF78" s="0"/>
      <c r="DG78" s="0"/>
      <c r="DH78" s="0"/>
      <c r="DI78" s="0"/>
      <c r="DJ78" s="0"/>
      <c r="DK78" s="0"/>
      <c r="DL78" s="0"/>
      <c r="DM78" s="0"/>
      <c r="DN78" s="0"/>
      <c r="DO78" s="0"/>
      <c r="DP78" s="0"/>
      <c r="DQ78" s="0"/>
      <c r="DR78" s="0"/>
      <c r="DS78" s="0"/>
      <c r="DT78" s="0"/>
      <c r="DU78" s="0"/>
      <c r="DV78" s="0"/>
      <c r="DW78" s="0"/>
      <c r="DX78" s="0"/>
      <c r="DY78" s="0"/>
      <c r="DZ78" s="0"/>
      <c r="EA78" s="0"/>
      <c r="EB78" s="0"/>
      <c r="EC78" s="0"/>
      <c r="ED78" s="0"/>
      <c r="EE78" s="0"/>
      <c r="EF78" s="0"/>
      <c r="EG78" s="0"/>
      <c r="EH78" s="0"/>
      <c r="EI78" s="0"/>
      <c r="EJ78" s="0"/>
      <c r="EK78" s="0"/>
      <c r="EL78" s="0"/>
      <c r="EM78" s="0"/>
      <c r="EN78" s="0"/>
      <c r="EO78" s="0"/>
      <c r="EP78" s="0"/>
      <c r="EQ78" s="0"/>
      <c r="ER78" s="0"/>
      <c r="ES78" s="0"/>
      <c r="ET78" s="0"/>
      <c r="EU78" s="0"/>
      <c r="EV78" s="0"/>
      <c r="EW78" s="0"/>
      <c r="EX78" s="0"/>
      <c r="EY78" s="0"/>
      <c r="EZ78" s="0"/>
      <c r="FA78" s="0"/>
      <c r="FB78" s="0"/>
      <c r="FC78" s="0"/>
      <c r="FD78" s="0"/>
      <c r="FE78" s="0"/>
      <c r="FF78" s="0"/>
      <c r="FG78" s="0"/>
      <c r="FH78" s="0"/>
      <c r="FI78" s="0"/>
      <c r="FJ78" s="0"/>
      <c r="FK78" s="0"/>
      <c r="FL78" s="0"/>
      <c r="FM78" s="0"/>
      <c r="FN78" s="0"/>
      <c r="FO78" s="0"/>
      <c r="FP78" s="0"/>
      <c r="FQ78" s="0"/>
      <c r="FR78" s="0"/>
      <c r="FS78" s="0"/>
      <c r="FT78" s="0"/>
      <c r="FU78" s="0"/>
      <c r="FV78" s="0"/>
      <c r="FW78" s="0"/>
      <c r="FX78" s="0"/>
      <c r="FY78" s="0"/>
      <c r="FZ78" s="0"/>
      <c r="GA78" s="0"/>
      <c r="GB78" s="0"/>
      <c r="GC78" s="0"/>
      <c r="GD78" s="0"/>
      <c r="GE78" s="0"/>
      <c r="GF78" s="0"/>
      <c r="GG78" s="0"/>
      <c r="GH78" s="0"/>
      <c r="GI78" s="0"/>
      <c r="GJ78" s="0"/>
      <c r="GK78" s="0"/>
      <c r="GL78" s="0"/>
      <c r="GM78" s="0"/>
      <c r="GN78" s="0"/>
      <c r="GO78" s="0"/>
      <c r="GP78" s="0"/>
      <c r="GQ78" s="0"/>
      <c r="GR78" s="0"/>
      <c r="GS78" s="0"/>
      <c r="GT78" s="0"/>
      <c r="GU78" s="0"/>
      <c r="GV78" s="0"/>
      <c r="GW78" s="0"/>
      <c r="GX78" s="0"/>
      <c r="GY78" s="0"/>
      <c r="GZ78" s="0"/>
      <c r="HA78" s="0"/>
      <c r="HB78" s="0"/>
      <c r="HC78" s="0"/>
      <c r="HD78" s="0"/>
      <c r="HE78" s="0"/>
      <c r="HF78" s="0"/>
      <c r="HG78" s="0"/>
      <c r="HH78" s="0"/>
      <c r="HI78" s="0"/>
      <c r="HJ78" s="0"/>
      <c r="HK78" s="0"/>
      <c r="HL78" s="0"/>
      <c r="HM78" s="0"/>
      <c r="HN78" s="0"/>
      <c r="HO78" s="0"/>
      <c r="HP78" s="0"/>
      <c r="HQ78" s="0"/>
      <c r="HR78" s="0"/>
      <c r="HS78" s="0"/>
      <c r="HT78" s="0"/>
      <c r="HU78" s="0"/>
      <c r="HV78" s="0"/>
      <c r="HW78" s="0"/>
      <c r="HX78" s="0"/>
      <c r="HY78" s="0"/>
      <c r="HZ78" s="0"/>
      <c r="IA78" s="0"/>
      <c r="IB78" s="0"/>
      <c r="IC78" s="0"/>
      <c r="ID78" s="0"/>
      <c r="IE78" s="0"/>
      <c r="IF78" s="0"/>
      <c r="IG78" s="0"/>
      <c r="IH78" s="0"/>
      <c r="II78" s="0"/>
      <c r="IJ78" s="0"/>
      <c r="IK78" s="0"/>
      <c r="IL78" s="0"/>
      <c r="IM78" s="0"/>
      <c r="IN78" s="0"/>
      <c r="IO78" s="0"/>
      <c r="IP78" s="0"/>
      <c r="IQ78" s="0"/>
      <c r="IR78" s="0"/>
      <c r="IS78" s="0"/>
      <c r="IT78" s="0"/>
      <c r="IU78" s="0"/>
      <c r="IV78" s="0"/>
      <c r="IW78" s="0"/>
    </row>
    <row r="79" customFormat="false" ht="12.6" hidden="false" customHeight="true" outlineLevel="0" collapsed="false">
      <c r="A79" s="5"/>
      <c r="B79" s="5"/>
      <c r="C79" s="750"/>
      <c r="D79" s="5"/>
      <c r="E79" s="5"/>
      <c r="F79" s="5"/>
      <c r="G79" s="5"/>
      <c r="H79" s="5"/>
      <c r="I79" s="5"/>
      <c r="J79" s="5"/>
      <c r="K79" s="5"/>
      <c r="L79" s="5"/>
      <c r="M79" s="5"/>
      <c r="N79" s="5"/>
      <c r="O79" s="5"/>
      <c r="P79" s="5"/>
      <c r="Q79" s="5"/>
      <c r="R79" s="5"/>
      <c r="S79" s="5"/>
      <c r="T79" s="5"/>
      <c r="U79" s="5"/>
      <c r="V79" s="5"/>
      <c r="W79" s="5"/>
      <c r="X79" s="0"/>
      <c r="Y79" s="0"/>
      <c r="Z79" s="0"/>
      <c r="AA79" s="0"/>
      <c r="AB79" s="0"/>
      <c r="AC79" s="0"/>
      <c r="AD79" s="0"/>
      <c r="AF79" s="0"/>
      <c r="AG79" s="0"/>
      <c r="AH79" s="0"/>
      <c r="AI79" s="0"/>
      <c r="AJ79" s="0"/>
      <c r="AK79" s="0"/>
      <c r="AL79" s="0"/>
      <c r="AM79" s="0"/>
      <c r="AN79" s="0"/>
      <c r="AO79" s="0"/>
      <c r="AP79" s="0"/>
      <c r="AQ79" s="0"/>
      <c r="AR79" s="0"/>
      <c r="AS79" s="0"/>
      <c r="AT79" s="0"/>
      <c r="AU79" s="0"/>
      <c r="AV79" s="0"/>
      <c r="AW79" s="0"/>
      <c r="AX79" s="0"/>
      <c r="AY79" s="0"/>
      <c r="AZ79" s="0"/>
      <c r="BA79" s="0"/>
      <c r="BB79" s="0"/>
      <c r="BC79" s="0"/>
      <c r="BD79" s="0"/>
      <c r="BE79" s="0"/>
      <c r="BF79" s="0"/>
      <c r="BG79" s="0"/>
      <c r="BH79" s="0"/>
      <c r="BI79" s="0"/>
      <c r="BJ79" s="0"/>
      <c r="BK79" s="0"/>
      <c r="BL79" s="0"/>
      <c r="BM79" s="0"/>
      <c r="BN79" s="0"/>
      <c r="BO79" s="0"/>
      <c r="BP79" s="0"/>
      <c r="BQ79" s="0"/>
      <c r="BR79" s="0"/>
      <c r="BS79" s="0"/>
      <c r="BT79" s="0"/>
      <c r="BU79" s="0"/>
      <c r="BV79" s="0"/>
      <c r="BW79" s="0"/>
      <c r="BX79" s="0"/>
      <c r="BY79" s="0"/>
      <c r="BZ79" s="0"/>
      <c r="CA79" s="0"/>
      <c r="CB79" s="0"/>
      <c r="CC79" s="0"/>
      <c r="CD79" s="0"/>
      <c r="CE79" s="0"/>
      <c r="CF79" s="0"/>
      <c r="CG79" s="0"/>
      <c r="CH79" s="0"/>
      <c r="CI79" s="0"/>
      <c r="CJ79" s="0"/>
      <c r="CK79" s="0"/>
      <c r="CL79" s="0"/>
      <c r="CM79" s="0"/>
      <c r="CN79" s="0"/>
      <c r="CO79" s="0"/>
      <c r="CP79" s="0"/>
      <c r="CQ79" s="0"/>
      <c r="CR79" s="0"/>
      <c r="CS79" s="0"/>
      <c r="CT79" s="0"/>
      <c r="CU79" s="0"/>
      <c r="CV79" s="0"/>
      <c r="CW79" s="0"/>
      <c r="CX79" s="0"/>
      <c r="CY79" s="0"/>
      <c r="CZ79" s="0"/>
      <c r="DA79" s="0"/>
      <c r="DB79" s="0"/>
      <c r="DC79" s="0"/>
      <c r="DD79" s="0"/>
      <c r="DE79" s="0"/>
      <c r="DF79" s="0"/>
      <c r="DG79" s="0"/>
      <c r="DH79" s="0"/>
      <c r="DI79" s="0"/>
      <c r="DJ79" s="0"/>
      <c r="DK79" s="0"/>
      <c r="DL79" s="0"/>
      <c r="DM79" s="0"/>
      <c r="DN79" s="0"/>
      <c r="DO79" s="0"/>
      <c r="DP79" s="0"/>
      <c r="DQ79" s="0"/>
      <c r="DR79" s="0"/>
      <c r="DS79" s="0"/>
      <c r="DT79" s="0"/>
      <c r="DU79" s="0"/>
      <c r="DV79" s="0"/>
      <c r="DW79" s="0"/>
      <c r="DX79" s="0"/>
      <c r="DY79" s="0"/>
      <c r="DZ79" s="0"/>
      <c r="EA79" s="0"/>
      <c r="EB79" s="0"/>
      <c r="EC79" s="0"/>
      <c r="ED79" s="0"/>
      <c r="EE79" s="0"/>
      <c r="EF79" s="0"/>
      <c r="EG79" s="0"/>
      <c r="EH79" s="0"/>
      <c r="EI79" s="0"/>
      <c r="EJ79" s="0"/>
      <c r="EK79" s="0"/>
      <c r="EL79" s="0"/>
      <c r="EM79" s="0"/>
      <c r="EN79" s="0"/>
      <c r="EO79" s="0"/>
      <c r="EP79" s="0"/>
      <c r="EQ79" s="0"/>
      <c r="ER79" s="0"/>
      <c r="ES79" s="0"/>
      <c r="ET79" s="0"/>
      <c r="EU79" s="0"/>
      <c r="EV79" s="0"/>
      <c r="EW79" s="0"/>
      <c r="EX79" s="0"/>
      <c r="EY79" s="0"/>
      <c r="EZ79" s="0"/>
      <c r="FA79" s="0"/>
      <c r="FB79" s="0"/>
      <c r="FC79" s="0"/>
      <c r="FD79" s="0"/>
      <c r="FE79" s="0"/>
      <c r="FF79" s="0"/>
      <c r="FG79" s="0"/>
      <c r="FH79" s="0"/>
      <c r="FI79" s="0"/>
      <c r="FJ79" s="0"/>
      <c r="FK79" s="0"/>
      <c r="FL79" s="0"/>
      <c r="FM79" s="0"/>
      <c r="FN79" s="0"/>
      <c r="FO79" s="0"/>
      <c r="FP79" s="0"/>
      <c r="FQ79" s="0"/>
      <c r="FR79" s="0"/>
      <c r="FS79" s="0"/>
      <c r="FT79" s="0"/>
      <c r="FU79" s="0"/>
      <c r="FV79" s="0"/>
      <c r="FW79" s="0"/>
      <c r="FX79" s="0"/>
      <c r="FY79" s="0"/>
      <c r="FZ79" s="0"/>
      <c r="GA79" s="0"/>
      <c r="GB79" s="0"/>
      <c r="GC79" s="0"/>
      <c r="GD79" s="0"/>
      <c r="GE79" s="0"/>
      <c r="GF79" s="0"/>
      <c r="GG79" s="0"/>
      <c r="GH79" s="0"/>
      <c r="GI79" s="0"/>
      <c r="GJ79" s="0"/>
      <c r="GK79" s="0"/>
      <c r="GL79" s="0"/>
      <c r="GM79" s="0"/>
      <c r="GN79" s="0"/>
      <c r="GO79" s="0"/>
      <c r="GP79" s="0"/>
      <c r="GQ79" s="0"/>
      <c r="GR79" s="0"/>
      <c r="GS79" s="0"/>
      <c r="GT79" s="0"/>
      <c r="GU79" s="0"/>
      <c r="GV79" s="0"/>
      <c r="GW79" s="0"/>
      <c r="GX79" s="0"/>
      <c r="GY79" s="0"/>
      <c r="GZ79" s="0"/>
      <c r="HA79" s="0"/>
      <c r="HB79" s="0"/>
      <c r="HC79" s="0"/>
      <c r="HD79" s="0"/>
      <c r="HE79" s="0"/>
      <c r="HF79" s="0"/>
      <c r="HG79" s="0"/>
      <c r="HH79" s="0"/>
      <c r="HI79" s="0"/>
      <c r="HJ79" s="0"/>
      <c r="HK79" s="0"/>
      <c r="HL79" s="0"/>
      <c r="HM79" s="0"/>
      <c r="HN79" s="0"/>
      <c r="HO79" s="0"/>
      <c r="HP79" s="0"/>
      <c r="HQ79" s="0"/>
      <c r="HR79" s="0"/>
      <c r="HS79" s="0"/>
      <c r="HT79" s="0"/>
      <c r="HU79" s="0"/>
      <c r="HV79" s="0"/>
      <c r="HW79" s="0"/>
      <c r="HX79" s="0"/>
      <c r="HY79" s="0"/>
      <c r="HZ79" s="0"/>
      <c r="IA79" s="0"/>
      <c r="IB79" s="0"/>
      <c r="IC79" s="0"/>
      <c r="ID79" s="0"/>
      <c r="IE79" s="0"/>
      <c r="IF79" s="0"/>
      <c r="IG79" s="0"/>
      <c r="IH79" s="0"/>
      <c r="II79" s="0"/>
      <c r="IJ79" s="0"/>
      <c r="IK79" s="0"/>
      <c r="IL79" s="0"/>
      <c r="IM79" s="0"/>
      <c r="IN79" s="0"/>
      <c r="IO79" s="0"/>
      <c r="IP79" s="0"/>
      <c r="IQ79" s="0"/>
      <c r="IR79" s="0"/>
      <c r="IS79" s="0"/>
      <c r="IT79" s="0"/>
      <c r="IU79" s="0"/>
      <c r="IV79" s="0"/>
      <c r="IW79" s="0"/>
    </row>
    <row r="80" customFormat="false" ht="12.6" hidden="false" customHeight="true" outlineLevel="0" collapsed="false">
      <c r="A80" s="5"/>
      <c r="B80" s="750"/>
      <c r="D80" s="750"/>
      <c r="E80" s="750"/>
      <c r="F80" s="750"/>
      <c r="G80" s="750"/>
      <c r="H80" s="750"/>
      <c r="I80" s="750"/>
      <c r="J80" s="750"/>
      <c r="K80" s="750"/>
      <c r="L80" s="750"/>
      <c r="M80" s="750"/>
      <c r="N80" s="750"/>
      <c r="O80" s="750"/>
      <c r="P80" s="750"/>
      <c r="Q80" s="750"/>
      <c r="R80" s="750"/>
      <c r="S80" s="750"/>
      <c r="T80" s="750"/>
      <c r="U80" s="750"/>
      <c r="V80" s="750"/>
      <c r="W80" s="750"/>
      <c r="X80" s="0"/>
      <c r="Y80" s="0"/>
      <c r="Z80" s="0"/>
      <c r="AA80" s="0"/>
      <c r="AB80" s="0"/>
      <c r="AC80" s="0"/>
      <c r="AD80" s="0"/>
      <c r="AF80" s="0"/>
      <c r="AG80" s="0"/>
      <c r="AH80" s="0"/>
      <c r="AI80" s="0"/>
      <c r="AJ80" s="0"/>
      <c r="AK80" s="0"/>
      <c r="AL80" s="0"/>
      <c r="AM80" s="0"/>
      <c r="AN80" s="0"/>
      <c r="AO80" s="0"/>
      <c r="AP80" s="0"/>
      <c r="AQ80" s="0"/>
      <c r="AR80" s="0"/>
      <c r="AS80" s="0"/>
      <c r="AT80" s="0"/>
      <c r="AU80" s="0"/>
      <c r="AV80" s="0"/>
      <c r="AW80" s="0"/>
      <c r="AX80" s="0"/>
      <c r="AY80" s="0"/>
      <c r="AZ80" s="0"/>
      <c r="BA80" s="0"/>
      <c r="BB80" s="0"/>
      <c r="BC80" s="0"/>
      <c r="BD80" s="0"/>
      <c r="BE80" s="0"/>
      <c r="BF80" s="0"/>
      <c r="BG80" s="0"/>
      <c r="BH80" s="0"/>
      <c r="BI80" s="0"/>
      <c r="BJ80" s="0"/>
      <c r="BK80" s="0"/>
      <c r="BL80" s="0"/>
      <c r="BM80" s="0"/>
      <c r="BN80" s="0"/>
      <c r="BO80" s="0"/>
      <c r="BP80" s="0"/>
      <c r="BQ80" s="0"/>
      <c r="BR80" s="0"/>
      <c r="BS80" s="0"/>
      <c r="BT80" s="0"/>
      <c r="BU80" s="0"/>
      <c r="BV80" s="0"/>
      <c r="BW80" s="0"/>
      <c r="BX80" s="0"/>
      <c r="BY80" s="0"/>
      <c r="BZ80" s="0"/>
      <c r="CA80" s="0"/>
      <c r="CB80" s="0"/>
      <c r="CC80" s="0"/>
      <c r="CD80" s="0"/>
      <c r="CE80" s="0"/>
      <c r="CF80" s="0"/>
      <c r="CG80" s="0"/>
      <c r="CH80" s="0"/>
      <c r="CI80" s="0"/>
      <c r="CJ80" s="0"/>
      <c r="CK80" s="0"/>
      <c r="CL80" s="0"/>
      <c r="CM80" s="0"/>
      <c r="CN80" s="0"/>
      <c r="CO80" s="0"/>
      <c r="CP80" s="0"/>
      <c r="CQ80" s="0"/>
      <c r="CR80" s="0"/>
      <c r="CS80" s="0"/>
      <c r="CT80" s="0"/>
      <c r="CU80" s="0"/>
      <c r="CV80" s="0"/>
      <c r="CW80" s="0"/>
      <c r="CX80" s="0"/>
      <c r="CY80" s="0"/>
      <c r="CZ80" s="0"/>
      <c r="DA80" s="0"/>
      <c r="DB80" s="0"/>
      <c r="DC80" s="0"/>
      <c r="DD80" s="0"/>
      <c r="DE80" s="0"/>
      <c r="DF80" s="0"/>
      <c r="DG80" s="0"/>
      <c r="DH80" s="0"/>
      <c r="DI80" s="0"/>
      <c r="DJ80" s="0"/>
      <c r="DK80" s="0"/>
      <c r="DL80" s="0"/>
      <c r="DM80" s="0"/>
      <c r="DN80" s="0"/>
      <c r="DO80" s="0"/>
      <c r="DP80" s="0"/>
      <c r="DQ80" s="0"/>
      <c r="DR80" s="0"/>
      <c r="DS80" s="0"/>
      <c r="DT80" s="0"/>
      <c r="DU80" s="0"/>
      <c r="DV80" s="0"/>
      <c r="DW80" s="0"/>
      <c r="DX80" s="0"/>
      <c r="DY80" s="0"/>
      <c r="DZ80" s="0"/>
      <c r="EA80" s="0"/>
      <c r="EB80" s="0"/>
      <c r="EC80" s="0"/>
      <c r="ED80" s="0"/>
      <c r="EE80" s="0"/>
      <c r="EF80" s="0"/>
      <c r="EG80" s="0"/>
      <c r="EH80" s="0"/>
      <c r="EI80" s="0"/>
      <c r="EJ80" s="0"/>
      <c r="EK80" s="0"/>
      <c r="EL80" s="0"/>
      <c r="EM80" s="0"/>
      <c r="EN80" s="0"/>
      <c r="EO80" s="0"/>
      <c r="EP80" s="0"/>
      <c r="EQ80" s="0"/>
      <c r="ER80" s="0"/>
      <c r="ES80" s="0"/>
      <c r="ET80" s="0"/>
      <c r="EU80" s="0"/>
      <c r="EV80" s="0"/>
      <c r="EW80" s="0"/>
      <c r="EX80" s="0"/>
      <c r="EY80" s="0"/>
      <c r="EZ80" s="0"/>
      <c r="FA80" s="0"/>
      <c r="FB80" s="0"/>
      <c r="FC80" s="0"/>
      <c r="FD80" s="0"/>
      <c r="FE80" s="0"/>
      <c r="FF80" s="0"/>
      <c r="FG80" s="0"/>
      <c r="FH80" s="0"/>
      <c r="FI80" s="0"/>
      <c r="FJ80" s="0"/>
      <c r="FK80" s="0"/>
      <c r="FL80" s="0"/>
      <c r="FM80" s="0"/>
      <c r="FN80" s="0"/>
      <c r="FO80" s="0"/>
      <c r="FP80" s="0"/>
      <c r="FQ80" s="0"/>
      <c r="FR80" s="0"/>
      <c r="FS80" s="0"/>
      <c r="FT80" s="0"/>
      <c r="FU80" s="0"/>
      <c r="FV80" s="0"/>
      <c r="FW80" s="0"/>
      <c r="FX80" s="0"/>
      <c r="FY80" s="0"/>
      <c r="FZ80" s="0"/>
      <c r="GA80" s="0"/>
      <c r="GB80" s="0"/>
      <c r="GC80" s="0"/>
      <c r="GD80" s="0"/>
      <c r="GE80" s="0"/>
      <c r="GF80" s="0"/>
      <c r="GG80" s="0"/>
      <c r="GH80" s="0"/>
      <c r="GI80" s="0"/>
      <c r="GJ80" s="0"/>
      <c r="GK80" s="0"/>
      <c r="GL80" s="0"/>
      <c r="GM80" s="0"/>
      <c r="GN80" s="0"/>
      <c r="GO80" s="0"/>
      <c r="GP80" s="0"/>
      <c r="GQ80" s="0"/>
      <c r="GR80" s="0"/>
      <c r="GS80" s="0"/>
      <c r="GT80" s="0"/>
      <c r="GU80" s="0"/>
      <c r="GV80" s="0"/>
      <c r="GW80" s="0"/>
      <c r="GX80" s="0"/>
      <c r="GY80" s="0"/>
      <c r="GZ80" s="0"/>
      <c r="HA80" s="0"/>
      <c r="HB80" s="0"/>
      <c r="HC80" s="0"/>
      <c r="HD80" s="0"/>
      <c r="HE80" s="0"/>
      <c r="HF80" s="0"/>
      <c r="HG80" s="0"/>
      <c r="HH80" s="0"/>
      <c r="HI80" s="0"/>
      <c r="HJ80" s="0"/>
      <c r="HK80" s="0"/>
      <c r="HL80" s="0"/>
      <c r="HM80" s="0"/>
      <c r="HN80" s="0"/>
      <c r="HO80" s="0"/>
      <c r="HP80" s="0"/>
      <c r="HQ80" s="0"/>
      <c r="HR80" s="0"/>
      <c r="HS80" s="0"/>
      <c r="HT80" s="0"/>
      <c r="HU80" s="0"/>
      <c r="HV80" s="0"/>
      <c r="HW80" s="0"/>
      <c r="HX80" s="0"/>
      <c r="HY80" s="0"/>
      <c r="HZ80" s="0"/>
      <c r="IA80" s="0"/>
      <c r="IB80" s="0"/>
      <c r="IC80" s="0"/>
      <c r="ID80" s="0"/>
      <c r="IE80" s="0"/>
      <c r="IF80" s="0"/>
      <c r="IG80" s="0"/>
      <c r="IH80" s="0"/>
      <c r="II80" s="0"/>
      <c r="IJ80" s="0"/>
      <c r="IK80" s="0"/>
      <c r="IL80" s="0"/>
      <c r="IM80" s="0"/>
      <c r="IN80" s="0"/>
      <c r="IO80" s="0"/>
      <c r="IP80" s="0"/>
      <c r="IQ80" s="0"/>
      <c r="IR80" s="0"/>
      <c r="IS80" s="0"/>
      <c r="IT80" s="0"/>
      <c r="IU80" s="0"/>
      <c r="IV80" s="0"/>
      <c r="IW80" s="0"/>
    </row>
    <row r="81" customFormat="false" ht="12.6" hidden="false" customHeight="true" outlineLevel="0" collapsed="false">
      <c r="A81" s="5"/>
      <c r="B81" s="750"/>
      <c r="C81" s="750"/>
      <c r="D81" s="750"/>
      <c r="E81" s="750"/>
      <c r="F81" s="750"/>
      <c r="G81" s="750"/>
      <c r="H81" s="750"/>
      <c r="I81" s="750"/>
      <c r="J81" s="750"/>
      <c r="K81" s="750"/>
      <c r="L81" s="750"/>
      <c r="M81" s="750"/>
      <c r="N81" s="750"/>
      <c r="O81" s="750"/>
      <c r="P81" s="750"/>
      <c r="Q81" s="750"/>
      <c r="R81" s="750"/>
      <c r="S81" s="750"/>
      <c r="T81" s="750"/>
      <c r="U81" s="750"/>
      <c r="V81" s="750"/>
      <c r="W81" s="750"/>
      <c r="X81" s="0"/>
      <c r="Y81" s="0"/>
      <c r="Z81" s="0"/>
      <c r="AA81" s="0"/>
      <c r="AB81" s="0"/>
      <c r="AC81" s="0"/>
      <c r="AD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c r="IW81" s="0"/>
    </row>
    <row r="82" customFormat="false" ht="12.6" hidden="false" customHeight="true" outlineLevel="0" collapsed="false">
      <c r="B82" s="751"/>
      <c r="C82" s="557"/>
      <c r="D82" s="750"/>
      <c r="E82" s="750"/>
      <c r="F82" s="750"/>
      <c r="G82" s="750"/>
      <c r="H82" s="750"/>
      <c r="I82" s="750"/>
      <c r="J82" s="750"/>
      <c r="K82" s="750"/>
      <c r="L82" s="750"/>
      <c r="M82" s="750"/>
      <c r="N82" s="750"/>
      <c r="O82" s="750"/>
      <c r="P82" s="750"/>
      <c r="Q82" s="750"/>
      <c r="R82" s="750"/>
      <c r="S82" s="750"/>
      <c r="T82" s="750"/>
      <c r="U82" s="750"/>
      <c r="V82" s="750"/>
      <c r="W82" s="750"/>
      <c r="X82" s="752"/>
      <c r="Y82" s="752"/>
      <c r="Z82" s="752"/>
      <c r="AA82" s="752"/>
      <c r="AB82" s="752"/>
    </row>
    <row r="83" customFormat="false" ht="12.6" hidden="false" customHeight="true" outlineLevel="0" collapsed="false">
      <c r="A83" s="5"/>
      <c r="B83" s="751"/>
      <c r="C83" s="557"/>
      <c r="D83" s="750"/>
      <c r="E83" s="750"/>
      <c r="F83" s="750"/>
      <c r="G83" s="750"/>
      <c r="H83" s="750"/>
      <c r="I83" s="750"/>
      <c r="J83" s="750"/>
      <c r="K83" s="750"/>
      <c r="L83" s="750"/>
      <c r="M83" s="750"/>
      <c r="N83" s="750"/>
      <c r="O83" s="750"/>
      <c r="P83" s="750"/>
      <c r="Q83" s="750"/>
      <c r="R83" s="750"/>
      <c r="S83" s="750"/>
      <c r="T83" s="750"/>
      <c r="U83" s="750"/>
      <c r="V83" s="750"/>
      <c r="W83" s="750"/>
      <c r="X83" s="0"/>
      <c r="Y83" s="0"/>
      <c r="Z83" s="0"/>
      <c r="AA83" s="0"/>
      <c r="AB83" s="0"/>
      <c r="AC83" s="0"/>
      <c r="AD83" s="0"/>
      <c r="AF83" s="0"/>
      <c r="AG83" s="0"/>
      <c r="AH83" s="0"/>
      <c r="AI83" s="0"/>
      <c r="AJ83" s="0"/>
      <c r="AK83" s="0"/>
      <c r="AL83" s="0"/>
      <c r="AM83" s="0"/>
      <c r="AN83" s="0"/>
      <c r="AO83" s="0"/>
      <c r="AP83" s="0"/>
      <c r="AQ83" s="0"/>
      <c r="AR83" s="0"/>
      <c r="AS83" s="0"/>
      <c r="AT83" s="0"/>
      <c r="AU83" s="0"/>
      <c r="AV83" s="0"/>
      <c r="AW83" s="0"/>
      <c r="AX83" s="0"/>
      <c r="AY83" s="0"/>
      <c r="AZ83" s="0"/>
      <c r="BA83" s="0"/>
      <c r="BB83" s="0"/>
      <c r="BC83" s="0"/>
      <c r="BD83" s="0"/>
      <c r="BE83" s="0"/>
      <c r="BF83" s="0"/>
      <c r="BG83" s="0"/>
      <c r="BH83" s="0"/>
      <c r="BI83" s="0"/>
      <c r="BJ83" s="0"/>
      <c r="BK83" s="0"/>
      <c r="BL83" s="0"/>
      <c r="BM83" s="0"/>
      <c r="BN83" s="0"/>
      <c r="BO83" s="0"/>
      <c r="BP83" s="0"/>
      <c r="BQ83" s="0"/>
      <c r="BR83" s="0"/>
      <c r="BS83" s="0"/>
      <c r="BT83" s="0"/>
      <c r="BU83" s="0"/>
      <c r="BV83" s="0"/>
      <c r="BW83" s="0"/>
      <c r="BX83" s="0"/>
      <c r="BY83" s="0"/>
      <c r="BZ83" s="0"/>
      <c r="CA83" s="0"/>
      <c r="CB83" s="0"/>
      <c r="CC83" s="0"/>
      <c r="CD83" s="0"/>
      <c r="CE83" s="0"/>
      <c r="CF83" s="0"/>
      <c r="CG83" s="0"/>
      <c r="CH83" s="0"/>
      <c r="CI83" s="0"/>
      <c r="CJ83" s="0"/>
      <c r="CK83" s="0"/>
      <c r="CL83" s="0"/>
      <c r="CM83" s="0"/>
      <c r="CN83" s="0"/>
      <c r="CO83" s="0"/>
      <c r="CP83" s="0"/>
      <c r="CQ83" s="0"/>
      <c r="CR83" s="0"/>
      <c r="CS83" s="0"/>
      <c r="CT83" s="0"/>
      <c r="CU83" s="0"/>
      <c r="CV83" s="0"/>
      <c r="CW83" s="0"/>
      <c r="CX83" s="0"/>
      <c r="CY83" s="0"/>
      <c r="CZ83" s="0"/>
      <c r="DA83" s="0"/>
      <c r="DB83" s="0"/>
      <c r="DC83" s="0"/>
      <c r="DD83" s="0"/>
      <c r="DE83" s="0"/>
      <c r="DF83" s="0"/>
      <c r="DG83" s="0"/>
      <c r="DH83" s="0"/>
      <c r="DI83" s="0"/>
      <c r="DJ83" s="0"/>
      <c r="DK83" s="0"/>
      <c r="DL83" s="0"/>
      <c r="DM83" s="0"/>
      <c r="DN83" s="0"/>
      <c r="DO83" s="0"/>
      <c r="DP83" s="0"/>
      <c r="DQ83" s="0"/>
      <c r="DR83" s="0"/>
      <c r="DS83" s="0"/>
      <c r="DT83" s="0"/>
      <c r="DU83" s="0"/>
      <c r="DV83" s="0"/>
      <c r="DW83" s="0"/>
      <c r="DX83" s="0"/>
      <c r="DY83" s="0"/>
      <c r="DZ83" s="0"/>
      <c r="EA83" s="0"/>
      <c r="EB83" s="0"/>
      <c r="EC83" s="0"/>
      <c r="ED83" s="0"/>
      <c r="EE83" s="0"/>
      <c r="EF83" s="0"/>
      <c r="EG83" s="0"/>
      <c r="EH83" s="0"/>
      <c r="EI83" s="0"/>
      <c r="EJ83" s="0"/>
      <c r="EK83" s="0"/>
      <c r="EL83" s="0"/>
      <c r="EM83" s="0"/>
      <c r="EN83" s="0"/>
      <c r="EO83" s="0"/>
      <c r="EP83" s="0"/>
      <c r="EQ83" s="0"/>
      <c r="ER83" s="0"/>
      <c r="ES83" s="0"/>
      <c r="ET83" s="0"/>
      <c r="EU83" s="0"/>
      <c r="EV83" s="0"/>
      <c r="EW83" s="0"/>
      <c r="EX83" s="0"/>
      <c r="EY83" s="0"/>
      <c r="EZ83" s="0"/>
      <c r="FA83" s="0"/>
      <c r="FB83" s="0"/>
      <c r="FC83" s="0"/>
      <c r="FD83" s="0"/>
      <c r="FE83" s="0"/>
      <c r="FF83" s="0"/>
      <c r="FG83" s="0"/>
      <c r="FH83" s="0"/>
      <c r="FI83" s="0"/>
      <c r="FJ83" s="0"/>
      <c r="FK83" s="0"/>
      <c r="FL83" s="0"/>
      <c r="FM83" s="0"/>
      <c r="FN83" s="0"/>
      <c r="FO83" s="0"/>
      <c r="FP83" s="0"/>
      <c r="FQ83" s="0"/>
      <c r="FR83" s="0"/>
      <c r="FS83" s="0"/>
      <c r="FT83" s="0"/>
      <c r="FU83" s="0"/>
      <c r="FV83" s="0"/>
      <c r="FW83" s="0"/>
      <c r="FX83" s="0"/>
      <c r="FY83" s="0"/>
      <c r="FZ83" s="0"/>
      <c r="GA83" s="0"/>
      <c r="GB83" s="0"/>
      <c r="GC83" s="0"/>
      <c r="GD83" s="0"/>
      <c r="GE83" s="0"/>
      <c r="GF83" s="0"/>
      <c r="GG83" s="0"/>
      <c r="GH83" s="0"/>
      <c r="GI83" s="0"/>
      <c r="GJ83" s="0"/>
      <c r="GK83" s="0"/>
      <c r="GL83" s="0"/>
      <c r="GM83" s="0"/>
      <c r="GN83" s="0"/>
      <c r="GO83" s="0"/>
      <c r="GP83" s="0"/>
      <c r="GQ83" s="0"/>
      <c r="GR83" s="0"/>
      <c r="GS83" s="0"/>
      <c r="GT83" s="0"/>
      <c r="GU83" s="0"/>
      <c r="GV83" s="0"/>
      <c r="GW83" s="0"/>
      <c r="GX83" s="0"/>
      <c r="GY83" s="0"/>
      <c r="GZ83" s="0"/>
      <c r="HA83" s="0"/>
      <c r="HB83" s="0"/>
      <c r="HC83" s="0"/>
      <c r="HD83" s="0"/>
      <c r="HE83" s="0"/>
      <c r="HF83" s="0"/>
      <c r="HG83" s="0"/>
      <c r="HH83" s="0"/>
      <c r="HI83" s="0"/>
      <c r="HJ83" s="0"/>
      <c r="HK83" s="0"/>
      <c r="HL83" s="0"/>
      <c r="HM83" s="0"/>
      <c r="HN83" s="0"/>
      <c r="HO83" s="0"/>
      <c r="HP83" s="0"/>
      <c r="HQ83" s="0"/>
      <c r="HR83" s="0"/>
      <c r="HS83" s="0"/>
      <c r="HT83" s="0"/>
      <c r="HU83" s="0"/>
      <c r="HV83" s="0"/>
      <c r="HW83" s="0"/>
      <c r="HX83" s="0"/>
      <c r="HY83" s="0"/>
      <c r="HZ83" s="0"/>
      <c r="IA83" s="0"/>
      <c r="IB83" s="0"/>
      <c r="IC83" s="0"/>
      <c r="ID83" s="0"/>
      <c r="IE83" s="0"/>
      <c r="IF83" s="0"/>
      <c r="IG83" s="0"/>
      <c r="IH83" s="0"/>
      <c r="II83" s="0"/>
      <c r="IJ83" s="0"/>
      <c r="IK83" s="0"/>
      <c r="IL83" s="0"/>
      <c r="IM83" s="0"/>
      <c r="IN83" s="0"/>
      <c r="IO83" s="0"/>
      <c r="IP83" s="0"/>
      <c r="IQ83" s="0"/>
      <c r="IR83" s="0"/>
      <c r="IS83" s="0"/>
      <c r="IT83" s="0"/>
      <c r="IU83" s="0"/>
      <c r="IV83" s="0"/>
      <c r="IW83" s="0"/>
    </row>
    <row r="84" customFormat="false" ht="12.6" hidden="false" customHeight="true" outlineLevel="0" collapsed="false">
      <c r="A84" s="5"/>
      <c r="B84" s="750"/>
      <c r="C84" s="586"/>
      <c r="D84" s="750"/>
      <c r="E84" s="750"/>
      <c r="F84" s="750"/>
      <c r="G84" s="750"/>
      <c r="H84" s="750"/>
      <c r="I84" s="750"/>
      <c r="J84" s="750"/>
      <c r="K84" s="750"/>
      <c r="L84" s="750"/>
      <c r="M84" s="750"/>
      <c r="N84" s="750"/>
      <c r="O84" s="750"/>
      <c r="P84" s="750"/>
      <c r="Q84" s="750"/>
      <c r="R84" s="750"/>
      <c r="S84" s="750"/>
      <c r="T84" s="750"/>
      <c r="U84" s="750"/>
      <c r="V84" s="750"/>
      <c r="W84" s="750"/>
      <c r="X84" s="0"/>
      <c r="Y84" s="0"/>
      <c r="Z84" s="0"/>
      <c r="AA84" s="0"/>
      <c r="AB84" s="0"/>
      <c r="AC84" s="0"/>
      <c r="AD84" s="0"/>
      <c r="AF84" s="0"/>
      <c r="AG84" s="0"/>
      <c r="AH84" s="0"/>
      <c r="AI84" s="0"/>
      <c r="AJ84" s="0"/>
      <c r="AK84" s="0"/>
      <c r="AL84" s="0"/>
      <c r="AM84" s="0"/>
      <c r="AN84" s="0"/>
      <c r="AO84" s="0"/>
      <c r="AP84" s="0"/>
      <c r="AQ84" s="0"/>
      <c r="AR84" s="0"/>
      <c r="AS84" s="0"/>
      <c r="AT84" s="0"/>
      <c r="AU84" s="0"/>
      <c r="AV84" s="0"/>
      <c r="AW84" s="0"/>
      <c r="AX84" s="0"/>
      <c r="AY84" s="0"/>
      <c r="AZ84" s="0"/>
      <c r="BA84" s="0"/>
      <c r="BB84" s="0"/>
      <c r="BC84" s="0"/>
      <c r="BD84" s="0"/>
      <c r="BE84" s="0"/>
      <c r="BF84" s="0"/>
      <c r="BG84" s="0"/>
      <c r="BH84" s="0"/>
      <c r="BI84" s="0"/>
      <c r="BJ84" s="0"/>
      <c r="BK84" s="0"/>
      <c r="BL84" s="0"/>
      <c r="BM84" s="0"/>
      <c r="BN84" s="0"/>
      <c r="BO84" s="0"/>
      <c r="BP84" s="0"/>
      <c r="BQ84" s="0"/>
      <c r="BR84" s="0"/>
      <c r="BS84" s="0"/>
      <c r="BT84" s="0"/>
      <c r="BU84" s="0"/>
      <c r="BV84" s="0"/>
      <c r="BW84" s="0"/>
      <c r="BX84" s="0"/>
      <c r="BY84" s="0"/>
      <c r="BZ84" s="0"/>
      <c r="CA84" s="0"/>
      <c r="CB84" s="0"/>
      <c r="CC84" s="0"/>
      <c r="CD84" s="0"/>
      <c r="CE84" s="0"/>
      <c r="CF84" s="0"/>
      <c r="CG84" s="0"/>
      <c r="CH84" s="0"/>
      <c r="CI84" s="0"/>
      <c r="CJ84" s="0"/>
      <c r="CK84" s="0"/>
      <c r="CL84" s="0"/>
      <c r="CM84" s="0"/>
      <c r="CN84" s="0"/>
      <c r="CO84" s="0"/>
      <c r="CP84" s="0"/>
      <c r="CQ84" s="0"/>
      <c r="CR84" s="0"/>
      <c r="CS84" s="0"/>
      <c r="CT84" s="0"/>
      <c r="CU84" s="0"/>
      <c r="CV84" s="0"/>
      <c r="CW84" s="0"/>
      <c r="CX84" s="0"/>
      <c r="CY84" s="0"/>
      <c r="CZ84" s="0"/>
      <c r="DA84" s="0"/>
      <c r="DB84" s="0"/>
      <c r="DC84" s="0"/>
      <c r="DD84" s="0"/>
      <c r="DE84" s="0"/>
      <c r="DF84" s="0"/>
      <c r="DG84" s="0"/>
      <c r="DH84" s="0"/>
      <c r="DI84" s="0"/>
      <c r="DJ84" s="0"/>
      <c r="DK84" s="0"/>
      <c r="DL84" s="0"/>
      <c r="DM84" s="0"/>
      <c r="DN84" s="0"/>
      <c r="DO84" s="0"/>
      <c r="DP84" s="0"/>
      <c r="DQ84" s="0"/>
      <c r="DR84" s="0"/>
      <c r="DS84" s="0"/>
      <c r="DT84" s="0"/>
      <c r="DU84" s="0"/>
      <c r="DV84" s="0"/>
      <c r="DW84" s="0"/>
      <c r="DX84" s="0"/>
      <c r="DY84" s="0"/>
      <c r="DZ84" s="0"/>
      <c r="EA84" s="0"/>
      <c r="EB84" s="0"/>
      <c r="EC84" s="0"/>
      <c r="ED84" s="0"/>
      <c r="EE84" s="0"/>
      <c r="EF84" s="0"/>
      <c r="EG84" s="0"/>
      <c r="EH84" s="0"/>
      <c r="EI84" s="0"/>
      <c r="EJ84" s="0"/>
      <c r="EK84" s="0"/>
      <c r="EL84" s="0"/>
      <c r="EM84" s="0"/>
      <c r="EN84" s="0"/>
      <c r="EO84" s="0"/>
      <c r="EP84" s="0"/>
      <c r="EQ84" s="0"/>
      <c r="ER84" s="0"/>
      <c r="ES84" s="0"/>
      <c r="ET84" s="0"/>
      <c r="EU84" s="0"/>
      <c r="EV84" s="0"/>
      <c r="EW84" s="0"/>
      <c r="EX84" s="0"/>
      <c r="EY84" s="0"/>
      <c r="EZ84" s="0"/>
      <c r="FA84" s="0"/>
      <c r="FB84" s="0"/>
      <c r="FC84" s="0"/>
      <c r="FD84" s="0"/>
      <c r="FE84" s="0"/>
      <c r="FF84" s="0"/>
      <c r="FG84" s="0"/>
      <c r="FH84" s="0"/>
      <c r="FI84" s="0"/>
      <c r="FJ84" s="0"/>
      <c r="FK84" s="0"/>
      <c r="FL84" s="0"/>
      <c r="FM84" s="0"/>
      <c r="FN84" s="0"/>
      <c r="FO84" s="0"/>
      <c r="FP84" s="0"/>
      <c r="FQ84" s="0"/>
      <c r="FR84" s="0"/>
      <c r="FS84" s="0"/>
      <c r="FT84" s="0"/>
      <c r="FU84" s="0"/>
      <c r="FV84" s="0"/>
      <c r="FW84" s="0"/>
      <c r="FX84" s="0"/>
      <c r="FY84" s="0"/>
      <c r="FZ84" s="0"/>
      <c r="GA84" s="0"/>
      <c r="GB84" s="0"/>
      <c r="GC84" s="0"/>
      <c r="GD84" s="0"/>
      <c r="GE84" s="0"/>
      <c r="GF84" s="0"/>
      <c r="GG84" s="0"/>
      <c r="GH84" s="0"/>
      <c r="GI84" s="0"/>
      <c r="GJ84" s="0"/>
      <c r="GK84" s="0"/>
      <c r="GL84" s="0"/>
      <c r="GM84" s="0"/>
      <c r="GN84" s="0"/>
      <c r="GO84" s="0"/>
      <c r="GP84" s="0"/>
      <c r="GQ84" s="0"/>
      <c r="GR84" s="0"/>
      <c r="GS84" s="0"/>
      <c r="GT84" s="0"/>
      <c r="GU84" s="0"/>
      <c r="GV84" s="0"/>
      <c r="GW84" s="0"/>
      <c r="GX84" s="0"/>
      <c r="GY84" s="0"/>
      <c r="GZ84" s="0"/>
      <c r="HA84" s="0"/>
      <c r="HB84" s="0"/>
      <c r="HC84" s="0"/>
      <c r="HD84" s="0"/>
      <c r="HE84" s="0"/>
      <c r="HF84" s="0"/>
      <c r="HG84" s="0"/>
      <c r="HH84" s="0"/>
      <c r="HI84" s="0"/>
      <c r="HJ84" s="0"/>
      <c r="HK84" s="0"/>
      <c r="HL84" s="0"/>
      <c r="HM84" s="0"/>
      <c r="HN84" s="0"/>
      <c r="HO84" s="0"/>
      <c r="HP84" s="0"/>
      <c r="HQ84" s="0"/>
      <c r="HR84" s="0"/>
      <c r="HS84" s="0"/>
      <c r="HT84" s="0"/>
      <c r="HU84" s="0"/>
      <c r="HV84" s="0"/>
      <c r="HW84" s="0"/>
      <c r="HX84" s="0"/>
      <c r="HY84" s="0"/>
      <c r="HZ84" s="0"/>
      <c r="IA84" s="0"/>
      <c r="IB84" s="0"/>
      <c r="IC84" s="0"/>
      <c r="ID84" s="0"/>
      <c r="IE84" s="0"/>
      <c r="IF84" s="0"/>
      <c r="IG84" s="0"/>
      <c r="IH84" s="0"/>
      <c r="II84" s="0"/>
      <c r="IJ84" s="0"/>
      <c r="IK84" s="0"/>
      <c r="IL84" s="0"/>
      <c r="IM84" s="0"/>
      <c r="IN84" s="0"/>
      <c r="IO84" s="0"/>
      <c r="IP84" s="0"/>
      <c r="IQ84" s="0"/>
      <c r="IR84" s="0"/>
      <c r="IS84" s="0"/>
      <c r="IT84" s="0"/>
      <c r="IU84" s="0"/>
      <c r="IV84" s="0"/>
      <c r="IW84" s="0"/>
    </row>
    <row r="85" customFormat="false" ht="12.6" hidden="false" customHeight="true" outlineLevel="0" collapsed="false">
      <c r="A85" s="5"/>
      <c r="B85" s="750"/>
      <c r="C85" s="586"/>
      <c r="D85" s="750"/>
      <c r="E85" s="750"/>
      <c r="F85" s="750"/>
      <c r="G85" s="750"/>
      <c r="H85" s="750"/>
      <c r="I85" s="750"/>
      <c r="J85" s="750"/>
      <c r="K85" s="750"/>
      <c r="L85" s="750"/>
      <c r="M85" s="750"/>
      <c r="N85" s="750"/>
      <c r="O85" s="750"/>
      <c r="P85" s="750"/>
      <c r="Q85" s="750"/>
      <c r="R85" s="750"/>
      <c r="S85" s="750"/>
      <c r="T85" s="750"/>
      <c r="U85" s="750"/>
      <c r="V85" s="750"/>
      <c r="W85" s="750"/>
      <c r="X85" s="0"/>
      <c r="Y85" s="0"/>
      <c r="Z85" s="0"/>
      <c r="AA85" s="0"/>
      <c r="AB85" s="0"/>
      <c r="AC85" s="0"/>
      <c r="AD85" s="0"/>
      <c r="AF85" s="0"/>
      <c r="AG85" s="0"/>
      <c r="AH85" s="0"/>
      <c r="AI85" s="0"/>
      <c r="AJ85" s="0"/>
      <c r="AK85" s="0"/>
      <c r="AL85" s="0"/>
      <c r="AM85" s="0"/>
      <c r="AN85" s="0"/>
      <c r="AO85" s="0"/>
      <c r="AP85" s="0"/>
      <c r="AQ85" s="0"/>
      <c r="AR85" s="0"/>
      <c r="AS85" s="0"/>
      <c r="AT85" s="0"/>
      <c r="AU85" s="0"/>
      <c r="AV85" s="0"/>
      <c r="AW85" s="0"/>
      <c r="AX85" s="0"/>
      <c r="AY85" s="0"/>
      <c r="AZ85" s="0"/>
      <c r="BA85" s="0"/>
      <c r="BB85" s="0"/>
      <c r="BC85" s="0"/>
      <c r="BD85" s="0"/>
      <c r="BE85" s="0"/>
      <c r="BF85" s="0"/>
      <c r="BG85" s="0"/>
      <c r="BH85" s="0"/>
      <c r="BI85" s="0"/>
      <c r="BJ85" s="0"/>
      <c r="BK85" s="0"/>
      <c r="BL85" s="0"/>
      <c r="BM85" s="0"/>
      <c r="BN85" s="0"/>
      <c r="BO85" s="0"/>
      <c r="BP85" s="0"/>
      <c r="BQ85" s="0"/>
      <c r="BR85" s="0"/>
      <c r="BS85" s="0"/>
      <c r="BT85" s="0"/>
      <c r="BU85" s="0"/>
      <c r="BV85" s="0"/>
      <c r="BW85" s="0"/>
      <c r="BX85" s="0"/>
      <c r="BY85" s="0"/>
      <c r="BZ85" s="0"/>
      <c r="CA85" s="0"/>
      <c r="CB85" s="0"/>
      <c r="CC85" s="0"/>
      <c r="CD85" s="0"/>
      <c r="CE85" s="0"/>
      <c r="CF85" s="0"/>
      <c r="CG85" s="0"/>
      <c r="CH85" s="0"/>
      <c r="CI85" s="0"/>
      <c r="CJ85" s="0"/>
      <c r="CK85" s="0"/>
      <c r="CL85" s="0"/>
      <c r="CM85" s="0"/>
      <c r="CN85" s="0"/>
      <c r="CO85" s="0"/>
      <c r="CP85" s="0"/>
      <c r="CQ85" s="0"/>
      <c r="CR85" s="0"/>
      <c r="CS85" s="0"/>
      <c r="CT85" s="0"/>
      <c r="CU85" s="0"/>
      <c r="CV85" s="0"/>
      <c r="CW85" s="0"/>
      <c r="CX85" s="0"/>
      <c r="CY85" s="0"/>
      <c r="CZ85" s="0"/>
      <c r="DA85" s="0"/>
      <c r="DB85" s="0"/>
      <c r="DC85" s="0"/>
      <c r="DD85" s="0"/>
      <c r="DE85" s="0"/>
      <c r="DF85" s="0"/>
      <c r="DG85" s="0"/>
      <c r="DH85" s="0"/>
      <c r="DI85" s="0"/>
      <c r="DJ85" s="0"/>
      <c r="DK85" s="0"/>
      <c r="DL85" s="0"/>
      <c r="DM85" s="0"/>
      <c r="DN85" s="0"/>
      <c r="DO85" s="0"/>
      <c r="DP85" s="0"/>
      <c r="DQ85" s="0"/>
      <c r="DR85" s="0"/>
      <c r="DS85" s="0"/>
      <c r="DT85" s="0"/>
      <c r="DU85" s="0"/>
      <c r="DV85" s="0"/>
      <c r="DW85" s="0"/>
      <c r="DX85" s="0"/>
      <c r="DY85" s="0"/>
      <c r="DZ85" s="0"/>
      <c r="EA85" s="0"/>
      <c r="EB85" s="0"/>
      <c r="EC85" s="0"/>
      <c r="ED85" s="0"/>
      <c r="EE85" s="0"/>
      <c r="EF85" s="0"/>
      <c r="EG85" s="0"/>
      <c r="EH85" s="0"/>
      <c r="EI85" s="0"/>
      <c r="EJ85" s="0"/>
      <c r="EK85" s="0"/>
      <c r="EL85" s="0"/>
      <c r="EM85" s="0"/>
      <c r="EN85" s="0"/>
      <c r="EO85" s="0"/>
      <c r="EP85" s="0"/>
      <c r="EQ85" s="0"/>
      <c r="ER85" s="0"/>
      <c r="ES85" s="0"/>
      <c r="ET85" s="0"/>
      <c r="EU85" s="0"/>
      <c r="EV85" s="0"/>
      <c r="EW85" s="0"/>
      <c r="EX85" s="0"/>
      <c r="EY85" s="0"/>
      <c r="EZ85" s="0"/>
      <c r="FA85" s="0"/>
      <c r="FB85" s="0"/>
      <c r="FC85" s="0"/>
      <c r="FD85" s="0"/>
      <c r="FE85" s="0"/>
      <c r="FF85" s="0"/>
      <c r="FG85" s="0"/>
      <c r="FH85" s="0"/>
      <c r="FI85" s="0"/>
      <c r="FJ85" s="0"/>
      <c r="FK85" s="0"/>
      <c r="FL85" s="0"/>
      <c r="FM85" s="0"/>
      <c r="FN85" s="0"/>
      <c r="FO85" s="0"/>
      <c r="FP85" s="0"/>
      <c r="FQ85" s="0"/>
      <c r="FR85" s="0"/>
      <c r="FS85" s="0"/>
      <c r="FT85" s="0"/>
      <c r="FU85" s="0"/>
      <c r="FV85" s="0"/>
      <c r="FW85" s="0"/>
      <c r="FX85" s="0"/>
      <c r="FY85" s="0"/>
      <c r="FZ85" s="0"/>
      <c r="GA85" s="0"/>
      <c r="GB85" s="0"/>
      <c r="GC85" s="0"/>
      <c r="GD85" s="0"/>
      <c r="GE85" s="0"/>
      <c r="GF85" s="0"/>
      <c r="GG85" s="0"/>
      <c r="GH85" s="0"/>
      <c r="GI85" s="0"/>
      <c r="GJ85" s="0"/>
      <c r="GK85" s="0"/>
      <c r="GL85" s="0"/>
      <c r="GM85" s="0"/>
      <c r="GN85" s="0"/>
      <c r="GO85" s="0"/>
      <c r="GP85" s="0"/>
      <c r="GQ85" s="0"/>
      <c r="GR85" s="0"/>
      <c r="GS85" s="0"/>
      <c r="GT85" s="0"/>
      <c r="GU85" s="0"/>
      <c r="GV85" s="0"/>
      <c r="GW85" s="0"/>
      <c r="GX85" s="0"/>
      <c r="GY85" s="0"/>
      <c r="GZ85" s="0"/>
      <c r="HA85" s="0"/>
      <c r="HB85" s="0"/>
      <c r="HC85" s="0"/>
      <c r="HD85" s="0"/>
      <c r="HE85" s="0"/>
      <c r="HF85" s="0"/>
      <c r="HG85" s="0"/>
      <c r="HH85" s="0"/>
      <c r="HI85" s="0"/>
      <c r="HJ85" s="0"/>
      <c r="HK85" s="0"/>
      <c r="HL85" s="0"/>
      <c r="HM85" s="0"/>
      <c r="HN85" s="0"/>
      <c r="HO85" s="0"/>
      <c r="HP85" s="0"/>
      <c r="HQ85" s="0"/>
      <c r="HR85" s="0"/>
      <c r="HS85" s="0"/>
      <c r="HT85" s="0"/>
      <c r="HU85" s="0"/>
      <c r="HV85" s="0"/>
      <c r="HW85" s="0"/>
      <c r="HX85" s="0"/>
      <c r="HY85" s="0"/>
      <c r="HZ85" s="0"/>
      <c r="IA85" s="0"/>
      <c r="IB85" s="0"/>
      <c r="IC85" s="0"/>
      <c r="ID85" s="0"/>
      <c r="IE85" s="0"/>
      <c r="IF85" s="0"/>
      <c r="IG85" s="0"/>
      <c r="IH85" s="0"/>
      <c r="II85" s="0"/>
      <c r="IJ85" s="0"/>
      <c r="IK85" s="0"/>
      <c r="IL85" s="0"/>
      <c r="IM85" s="0"/>
      <c r="IN85" s="0"/>
      <c r="IO85" s="0"/>
      <c r="IP85" s="0"/>
      <c r="IQ85" s="0"/>
      <c r="IR85" s="0"/>
      <c r="IS85" s="0"/>
      <c r="IT85" s="0"/>
      <c r="IU85" s="0"/>
      <c r="IV85" s="0"/>
      <c r="IW85" s="0"/>
    </row>
    <row r="86" customFormat="false" ht="12.6" hidden="false" customHeight="true" outlineLevel="0" collapsed="false">
      <c r="A86" s="5"/>
      <c r="B86" s="750"/>
      <c r="C86" s="5"/>
      <c r="D86" s="750"/>
      <c r="E86" s="750"/>
      <c r="F86" s="750"/>
      <c r="G86" s="750"/>
      <c r="H86" s="750"/>
      <c r="I86" s="750"/>
      <c r="J86" s="750"/>
      <c r="K86" s="750"/>
      <c r="L86" s="750"/>
      <c r="M86" s="750"/>
      <c r="N86" s="750"/>
      <c r="O86" s="750"/>
      <c r="P86" s="750"/>
      <c r="Q86" s="750"/>
      <c r="R86" s="750"/>
      <c r="S86" s="750"/>
      <c r="T86" s="750"/>
      <c r="U86" s="750"/>
      <c r="V86" s="750"/>
      <c r="W86" s="750"/>
      <c r="X86" s="0"/>
      <c r="Y86" s="0"/>
      <c r="Z86" s="0"/>
      <c r="AA86" s="0"/>
      <c r="AB86" s="0"/>
      <c r="AC86" s="0"/>
      <c r="AD86" s="0"/>
      <c r="AF86" s="0"/>
      <c r="AG86" s="0"/>
      <c r="AH86" s="0"/>
      <c r="AI86" s="0"/>
      <c r="AJ86" s="0"/>
      <c r="AK86" s="0"/>
      <c r="AL86" s="0"/>
      <c r="AM86" s="0"/>
      <c r="AN86" s="0"/>
      <c r="AO86" s="0"/>
      <c r="AP86" s="0"/>
      <c r="AQ86" s="0"/>
      <c r="AR86" s="0"/>
      <c r="AS86" s="0"/>
      <c r="AT86" s="0"/>
      <c r="AU86" s="0"/>
      <c r="AV86" s="0"/>
      <c r="AW86" s="0"/>
      <c r="AX86" s="0"/>
      <c r="AY86" s="0"/>
      <c r="AZ86" s="0"/>
      <c r="BA86" s="0"/>
      <c r="BB86" s="0"/>
      <c r="BC86" s="0"/>
      <c r="BD86" s="0"/>
      <c r="BE86" s="0"/>
      <c r="BF86" s="0"/>
      <c r="BG86" s="0"/>
      <c r="BH86" s="0"/>
      <c r="BI86" s="0"/>
      <c r="BJ86" s="0"/>
      <c r="BK86" s="0"/>
      <c r="BL86" s="0"/>
      <c r="BM86" s="0"/>
      <c r="BN86" s="0"/>
      <c r="BO86" s="0"/>
      <c r="BP86" s="0"/>
      <c r="BQ86" s="0"/>
      <c r="BR86" s="0"/>
      <c r="BS86" s="0"/>
      <c r="BT86" s="0"/>
      <c r="BU86" s="0"/>
      <c r="BV86" s="0"/>
      <c r="BW86" s="0"/>
      <c r="BX86" s="0"/>
      <c r="BY86" s="0"/>
      <c r="BZ86" s="0"/>
      <c r="CA86" s="0"/>
      <c r="CB86" s="0"/>
      <c r="CC86" s="0"/>
      <c r="CD86" s="0"/>
      <c r="CE86" s="0"/>
      <c r="CF86" s="0"/>
      <c r="CG86" s="0"/>
      <c r="CH86" s="0"/>
      <c r="CI86" s="0"/>
      <c r="CJ86" s="0"/>
      <c r="CK86" s="0"/>
      <c r="CL86" s="0"/>
      <c r="CM86" s="0"/>
      <c r="CN86" s="0"/>
      <c r="CO86" s="0"/>
      <c r="CP86" s="0"/>
      <c r="CQ86" s="0"/>
      <c r="CR86" s="0"/>
      <c r="CS86" s="0"/>
      <c r="CT86" s="0"/>
      <c r="CU86" s="0"/>
      <c r="CV86" s="0"/>
      <c r="CW86" s="0"/>
      <c r="CX86" s="0"/>
      <c r="CY86" s="0"/>
      <c r="CZ86" s="0"/>
      <c r="DA86" s="0"/>
      <c r="DB86" s="0"/>
      <c r="DC86" s="0"/>
      <c r="DD86" s="0"/>
      <c r="DE86" s="0"/>
      <c r="DF86" s="0"/>
      <c r="DG86" s="0"/>
      <c r="DH86" s="0"/>
      <c r="DI86" s="0"/>
      <c r="DJ86" s="0"/>
      <c r="DK86" s="0"/>
      <c r="DL86" s="0"/>
      <c r="DM86" s="0"/>
      <c r="DN86" s="0"/>
      <c r="DO86" s="0"/>
      <c r="DP86" s="0"/>
      <c r="DQ86" s="0"/>
      <c r="DR86" s="0"/>
      <c r="DS86" s="0"/>
      <c r="DT86" s="0"/>
      <c r="DU86" s="0"/>
      <c r="DV86" s="0"/>
      <c r="DW86" s="0"/>
      <c r="DX86" s="0"/>
      <c r="DY86" s="0"/>
      <c r="DZ86" s="0"/>
      <c r="EA86" s="0"/>
      <c r="EB86" s="0"/>
      <c r="EC86" s="0"/>
      <c r="ED86" s="0"/>
      <c r="EE86" s="0"/>
      <c r="EF86" s="0"/>
      <c r="EG86" s="0"/>
      <c r="EH86" s="0"/>
      <c r="EI86" s="0"/>
      <c r="EJ86" s="0"/>
      <c r="EK86" s="0"/>
      <c r="EL86" s="0"/>
      <c r="EM86" s="0"/>
      <c r="EN86" s="0"/>
      <c r="EO86" s="0"/>
      <c r="EP86" s="0"/>
      <c r="EQ86" s="0"/>
      <c r="ER86" s="0"/>
      <c r="ES86" s="0"/>
      <c r="ET86" s="0"/>
      <c r="EU86" s="0"/>
      <c r="EV86" s="0"/>
      <c r="EW86" s="0"/>
      <c r="EX86" s="0"/>
      <c r="EY86" s="0"/>
      <c r="EZ86" s="0"/>
      <c r="FA86" s="0"/>
      <c r="FB86" s="0"/>
      <c r="FC86" s="0"/>
      <c r="FD86" s="0"/>
      <c r="FE86" s="0"/>
      <c r="FF86" s="0"/>
      <c r="FG86" s="0"/>
      <c r="FH86" s="0"/>
      <c r="FI86" s="0"/>
      <c r="FJ86" s="0"/>
      <c r="FK86" s="0"/>
      <c r="FL86" s="0"/>
      <c r="FM86" s="0"/>
      <c r="FN86" s="0"/>
      <c r="FO86" s="0"/>
      <c r="FP86" s="0"/>
      <c r="FQ86" s="0"/>
      <c r="FR86" s="0"/>
      <c r="FS86" s="0"/>
      <c r="FT86" s="0"/>
      <c r="FU86" s="0"/>
      <c r="FV86" s="0"/>
      <c r="FW86" s="0"/>
      <c r="FX86" s="0"/>
      <c r="FY86" s="0"/>
      <c r="FZ86" s="0"/>
      <c r="GA86" s="0"/>
      <c r="GB86" s="0"/>
      <c r="GC86" s="0"/>
      <c r="GD86" s="0"/>
      <c r="GE86" s="0"/>
      <c r="GF86" s="0"/>
      <c r="GG86" s="0"/>
      <c r="GH86" s="0"/>
      <c r="GI86" s="0"/>
      <c r="GJ86" s="0"/>
      <c r="GK86" s="0"/>
      <c r="GL86" s="0"/>
      <c r="GM86" s="0"/>
      <c r="GN86" s="0"/>
      <c r="GO86" s="0"/>
      <c r="GP86" s="0"/>
      <c r="GQ86" s="0"/>
      <c r="GR86" s="0"/>
      <c r="GS86" s="0"/>
      <c r="GT86" s="0"/>
      <c r="GU86" s="0"/>
      <c r="GV86" s="0"/>
      <c r="GW86" s="0"/>
      <c r="GX86" s="0"/>
      <c r="GY86" s="0"/>
      <c r="GZ86" s="0"/>
      <c r="HA86" s="0"/>
      <c r="HB86" s="0"/>
      <c r="HC86" s="0"/>
      <c r="HD86" s="0"/>
      <c r="HE86" s="0"/>
      <c r="HF86" s="0"/>
      <c r="HG86" s="0"/>
      <c r="HH86" s="0"/>
      <c r="HI86" s="0"/>
      <c r="HJ86" s="0"/>
      <c r="HK86" s="0"/>
      <c r="HL86" s="0"/>
      <c r="HM86" s="0"/>
      <c r="HN86" s="0"/>
      <c r="HO86" s="0"/>
      <c r="HP86" s="0"/>
      <c r="HQ86" s="0"/>
      <c r="HR86" s="0"/>
      <c r="HS86" s="0"/>
      <c r="HT86" s="0"/>
      <c r="HU86" s="0"/>
      <c r="HV86" s="0"/>
      <c r="HW86" s="0"/>
      <c r="HX86" s="0"/>
      <c r="HY86" s="0"/>
      <c r="HZ86" s="0"/>
      <c r="IA86" s="0"/>
      <c r="IB86" s="0"/>
      <c r="IC86" s="0"/>
      <c r="ID86" s="0"/>
      <c r="IE86" s="0"/>
      <c r="IF86" s="0"/>
      <c r="IG86" s="0"/>
      <c r="IH86" s="0"/>
      <c r="II86" s="0"/>
      <c r="IJ86" s="0"/>
      <c r="IK86" s="0"/>
      <c r="IL86" s="0"/>
      <c r="IM86" s="0"/>
      <c r="IN86" s="0"/>
      <c r="IO86" s="0"/>
      <c r="IP86" s="0"/>
      <c r="IQ86" s="0"/>
      <c r="IR86" s="0"/>
      <c r="IS86" s="0"/>
      <c r="IT86" s="0"/>
      <c r="IU86" s="0"/>
      <c r="IV86" s="0"/>
      <c r="IW86" s="0"/>
    </row>
    <row r="87" customFormat="false" ht="12.6" hidden="false" customHeight="true" outlineLevel="0" collapsed="false">
      <c r="A87" s="5"/>
      <c r="B87" s="750"/>
      <c r="C87" s="5"/>
      <c r="D87" s="750"/>
      <c r="E87" s="750"/>
      <c r="F87" s="750"/>
      <c r="G87" s="750"/>
      <c r="H87" s="750"/>
      <c r="I87" s="750"/>
      <c r="J87" s="750"/>
      <c r="K87" s="750"/>
      <c r="L87" s="750"/>
      <c r="M87" s="750"/>
      <c r="N87" s="750"/>
      <c r="O87" s="750"/>
      <c r="P87" s="750"/>
      <c r="Q87" s="750"/>
      <c r="R87" s="750"/>
      <c r="S87" s="750"/>
      <c r="T87" s="750"/>
      <c r="U87" s="750"/>
      <c r="V87" s="750"/>
      <c r="W87" s="750"/>
      <c r="X87" s="0"/>
      <c r="Y87" s="0"/>
      <c r="Z87" s="0"/>
      <c r="AA87" s="0"/>
      <c r="AB87" s="0"/>
      <c r="AC87" s="0"/>
      <c r="AD87" s="0"/>
      <c r="AF87" s="0"/>
      <c r="AG87" s="0"/>
      <c r="AH87" s="0"/>
      <c r="AI87" s="0"/>
      <c r="AJ87" s="0"/>
      <c r="AK87" s="0"/>
      <c r="AL87" s="0"/>
      <c r="AM87" s="0"/>
      <c r="AN87" s="0"/>
      <c r="AO87" s="0"/>
      <c r="AP87" s="0"/>
      <c r="AQ87" s="0"/>
      <c r="AR87" s="0"/>
      <c r="AS87" s="0"/>
      <c r="AT87" s="0"/>
      <c r="AU87" s="0"/>
      <c r="AV87" s="0"/>
      <c r="AW87" s="0"/>
      <c r="AX87" s="0"/>
      <c r="AY87" s="0"/>
      <c r="AZ87" s="0"/>
      <c r="BA87" s="0"/>
      <c r="BB87" s="0"/>
      <c r="BC87" s="0"/>
      <c r="BD87" s="0"/>
      <c r="BE87" s="0"/>
      <c r="BF87" s="0"/>
      <c r="BG87" s="0"/>
      <c r="BH87" s="0"/>
      <c r="BI87" s="0"/>
      <c r="BJ87" s="0"/>
      <c r="BK87" s="0"/>
      <c r="BL87" s="0"/>
      <c r="BM87" s="0"/>
      <c r="BN87" s="0"/>
      <c r="BO87" s="0"/>
      <c r="BP87" s="0"/>
      <c r="BQ87" s="0"/>
      <c r="BR87" s="0"/>
      <c r="BS87" s="0"/>
      <c r="BT87" s="0"/>
      <c r="BU87" s="0"/>
      <c r="BV87" s="0"/>
      <c r="BW87" s="0"/>
      <c r="BX87" s="0"/>
      <c r="BY87" s="0"/>
      <c r="BZ87" s="0"/>
      <c r="CA87" s="0"/>
      <c r="CB87" s="0"/>
      <c r="CC87" s="0"/>
      <c r="CD87" s="0"/>
      <c r="CE87" s="0"/>
      <c r="CF87" s="0"/>
      <c r="CG87" s="0"/>
      <c r="CH87" s="0"/>
      <c r="CI87" s="0"/>
      <c r="CJ87" s="0"/>
      <c r="CK87" s="0"/>
      <c r="CL87" s="0"/>
      <c r="CM87" s="0"/>
      <c r="CN87" s="0"/>
      <c r="CO87" s="0"/>
      <c r="CP87" s="0"/>
      <c r="CQ87" s="0"/>
      <c r="CR87" s="0"/>
      <c r="CS87" s="0"/>
      <c r="CT87" s="0"/>
      <c r="CU87" s="0"/>
      <c r="CV87" s="0"/>
      <c r="CW87" s="0"/>
      <c r="CX87" s="0"/>
      <c r="CY87" s="0"/>
      <c r="CZ87" s="0"/>
      <c r="DA87" s="0"/>
      <c r="DB87" s="0"/>
      <c r="DC87" s="0"/>
      <c r="DD87" s="0"/>
      <c r="DE87" s="0"/>
      <c r="DF87" s="0"/>
      <c r="DG87" s="0"/>
      <c r="DH87" s="0"/>
      <c r="DI87" s="0"/>
      <c r="DJ87" s="0"/>
      <c r="DK87" s="0"/>
      <c r="DL87" s="0"/>
      <c r="DM87" s="0"/>
      <c r="DN87" s="0"/>
      <c r="DO87" s="0"/>
      <c r="DP87" s="0"/>
      <c r="DQ87" s="0"/>
      <c r="DR87" s="0"/>
      <c r="DS87" s="0"/>
      <c r="DT87" s="0"/>
      <c r="DU87" s="0"/>
      <c r="DV87" s="0"/>
      <c r="DW87" s="0"/>
      <c r="DX87" s="0"/>
      <c r="DY87" s="0"/>
      <c r="DZ87" s="0"/>
      <c r="EA87" s="0"/>
      <c r="EB87" s="0"/>
      <c r="EC87" s="0"/>
      <c r="ED87" s="0"/>
      <c r="EE87" s="0"/>
      <c r="EF87" s="0"/>
      <c r="EG87" s="0"/>
      <c r="EH87" s="0"/>
      <c r="EI87" s="0"/>
      <c r="EJ87" s="0"/>
      <c r="EK87" s="0"/>
      <c r="EL87" s="0"/>
      <c r="EM87" s="0"/>
      <c r="EN87" s="0"/>
      <c r="EO87" s="0"/>
      <c r="EP87" s="0"/>
      <c r="EQ87" s="0"/>
      <c r="ER87" s="0"/>
      <c r="ES87" s="0"/>
      <c r="ET87" s="0"/>
      <c r="EU87" s="0"/>
      <c r="EV87" s="0"/>
      <c r="EW87" s="0"/>
      <c r="EX87" s="0"/>
      <c r="EY87" s="0"/>
      <c r="EZ87" s="0"/>
      <c r="FA87" s="0"/>
      <c r="FB87" s="0"/>
      <c r="FC87" s="0"/>
      <c r="FD87" s="0"/>
      <c r="FE87" s="0"/>
      <c r="FF87" s="0"/>
      <c r="FG87" s="0"/>
      <c r="FH87" s="0"/>
      <c r="FI87" s="0"/>
      <c r="FJ87" s="0"/>
      <c r="FK87" s="0"/>
      <c r="FL87" s="0"/>
      <c r="FM87" s="0"/>
      <c r="FN87" s="0"/>
      <c r="FO87" s="0"/>
      <c r="FP87" s="0"/>
      <c r="FQ87" s="0"/>
      <c r="FR87" s="0"/>
      <c r="FS87" s="0"/>
      <c r="FT87" s="0"/>
      <c r="FU87" s="0"/>
      <c r="FV87" s="0"/>
      <c r="FW87" s="0"/>
      <c r="FX87" s="0"/>
      <c r="FY87" s="0"/>
      <c r="FZ87" s="0"/>
      <c r="GA87" s="0"/>
      <c r="GB87" s="0"/>
      <c r="GC87" s="0"/>
      <c r="GD87" s="0"/>
      <c r="GE87" s="0"/>
      <c r="GF87" s="0"/>
      <c r="GG87" s="0"/>
      <c r="GH87" s="0"/>
      <c r="GI87" s="0"/>
      <c r="GJ87" s="0"/>
      <c r="GK87" s="0"/>
      <c r="GL87" s="0"/>
      <c r="GM87" s="0"/>
      <c r="GN87" s="0"/>
      <c r="GO87" s="0"/>
      <c r="GP87" s="0"/>
      <c r="GQ87" s="0"/>
      <c r="GR87" s="0"/>
      <c r="GS87" s="0"/>
      <c r="GT87" s="0"/>
      <c r="GU87" s="0"/>
      <c r="GV87" s="0"/>
      <c r="GW87" s="0"/>
      <c r="GX87" s="0"/>
      <c r="GY87" s="0"/>
      <c r="GZ87" s="0"/>
      <c r="HA87" s="0"/>
      <c r="HB87" s="0"/>
      <c r="HC87" s="0"/>
      <c r="HD87" s="0"/>
      <c r="HE87" s="0"/>
      <c r="HF87" s="0"/>
      <c r="HG87" s="0"/>
      <c r="HH87" s="0"/>
      <c r="HI87" s="0"/>
      <c r="HJ87" s="0"/>
      <c r="HK87" s="0"/>
      <c r="HL87" s="0"/>
      <c r="HM87" s="0"/>
      <c r="HN87" s="0"/>
      <c r="HO87" s="0"/>
      <c r="HP87" s="0"/>
      <c r="HQ87" s="0"/>
      <c r="HR87" s="0"/>
      <c r="HS87" s="0"/>
      <c r="HT87" s="0"/>
      <c r="HU87" s="0"/>
      <c r="HV87" s="0"/>
      <c r="HW87" s="0"/>
      <c r="HX87" s="0"/>
      <c r="HY87" s="0"/>
      <c r="HZ87" s="0"/>
      <c r="IA87" s="0"/>
      <c r="IB87" s="0"/>
      <c r="IC87" s="0"/>
      <c r="ID87" s="0"/>
      <c r="IE87" s="0"/>
      <c r="IF87" s="0"/>
      <c r="IG87" s="0"/>
      <c r="IH87" s="0"/>
      <c r="II87" s="0"/>
      <c r="IJ87" s="0"/>
      <c r="IK87" s="0"/>
      <c r="IL87" s="0"/>
      <c r="IM87" s="0"/>
      <c r="IN87" s="0"/>
      <c r="IO87" s="0"/>
      <c r="IP87" s="0"/>
      <c r="IQ87" s="0"/>
      <c r="IR87" s="0"/>
      <c r="IS87" s="0"/>
      <c r="IT87" s="0"/>
      <c r="IU87" s="0"/>
      <c r="IV87" s="0"/>
      <c r="IW87" s="0"/>
    </row>
    <row r="88" customFormat="false" ht="12.6" hidden="false" customHeight="true" outlineLevel="0" collapsed="false">
      <c r="A88" s="5"/>
      <c r="B88" s="5"/>
      <c r="C88" s="5"/>
      <c r="D88" s="5"/>
      <c r="E88" s="5"/>
      <c r="F88" s="5"/>
      <c r="G88" s="5"/>
      <c r="H88" s="5"/>
      <c r="I88" s="5"/>
      <c r="J88" s="5"/>
      <c r="K88" s="5"/>
      <c r="L88" s="5"/>
      <c r="M88" s="5"/>
      <c r="N88" s="5"/>
      <c r="O88" s="5"/>
      <c r="P88" s="5"/>
      <c r="Q88" s="5"/>
      <c r="R88" s="5"/>
      <c r="S88" s="5"/>
      <c r="T88" s="5"/>
      <c r="U88" s="5"/>
      <c r="V88" s="5"/>
      <c r="W88" s="5"/>
      <c r="X88" s="0"/>
      <c r="Y88" s="0"/>
      <c r="Z88" s="0"/>
      <c r="AA88" s="0"/>
      <c r="AB88" s="0"/>
      <c r="AC88" s="0"/>
      <c r="AD88" s="0"/>
      <c r="AF88" s="0"/>
      <c r="AG88" s="0"/>
      <c r="AH88" s="0"/>
      <c r="AI88" s="0"/>
      <c r="AJ88" s="0"/>
      <c r="AK88" s="0"/>
      <c r="AL88" s="0"/>
      <c r="AM88" s="0"/>
      <c r="AN88" s="0"/>
      <c r="AO88" s="0"/>
      <c r="AP88" s="0"/>
      <c r="AQ88" s="0"/>
      <c r="AR88" s="0"/>
      <c r="AS88" s="0"/>
      <c r="AT88" s="0"/>
      <c r="AU88" s="0"/>
      <c r="AV88" s="0"/>
      <c r="AW88" s="0"/>
      <c r="AX88" s="0"/>
      <c r="AY88" s="0"/>
      <c r="AZ88" s="0"/>
      <c r="BA88" s="0"/>
      <c r="BB88" s="0"/>
      <c r="BC88" s="0"/>
      <c r="BD88" s="0"/>
      <c r="BE88" s="0"/>
      <c r="BF88" s="0"/>
      <c r="BG88" s="0"/>
      <c r="BH88" s="0"/>
      <c r="BI88" s="0"/>
      <c r="BJ88" s="0"/>
      <c r="BK88" s="0"/>
      <c r="BL88" s="0"/>
      <c r="BM88" s="0"/>
      <c r="BN88" s="0"/>
      <c r="BO88" s="0"/>
      <c r="BP88" s="0"/>
      <c r="BQ88" s="0"/>
      <c r="BR88" s="0"/>
      <c r="BS88" s="0"/>
      <c r="BT88" s="0"/>
      <c r="BU88" s="0"/>
      <c r="BV88" s="0"/>
      <c r="BW88" s="0"/>
      <c r="BX88" s="0"/>
      <c r="BY88" s="0"/>
      <c r="BZ88" s="0"/>
      <c r="CA88" s="0"/>
      <c r="CB88" s="0"/>
      <c r="CC88" s="0"/>
      <c r="CD88" s="0"/>
      <c r="CE88" s="0"/>
      <c r="CF88" s="0"/>
      <c r="CG88" s="0"/>
      <c r="CH88" s="0"/>
      <c r="CI88" s="0"/>
      <c r="CJ88" s="0"/>
      <c r="CK88" s="0"/>
      <c r="CL88" s="0"/>
      <c r="CM88" s="0"/>
      <c r="CN88" s="0"/>
      <c r="CO88" s="0"/>
      <c r="CP88" s="0"/>
      <c r="CQ88" s="0"/>
      <c r="CR88" s="0"/>
      <c r="CS88" s="0"/>
      <c r="CT88" s="0"/>
      <c r="CU88" s="0"/>
      <c r="CV88" s="0"/>
      <c r="CW88" s="0"/>
      <c r="CX88" s="0"/>
      <c r="CY88" s="0"/>
      <c r="CZ88" s="0"/>
      <c r="DA88" s="0"/>
      <c r="DB88" s="0"/>
      <c r="DC88" s="0"/>
      <c r="DD88" s="0"/>
      <c r="DE88" s="0"/>
      <c r="DF88" s="0"/>
      <c r="DG88" s="0"/>
      <c r="DH88" s="0"/>
      <c r="DI88" s="0"/>
      <c r="DJ88" s="0"/>
      <c r="DK88" s="0"/>
      <c r="DL88" s="0"/>
      <c r="DM88" s="0"/>
      <c r="DN88" s="0"/>
      <c r="DO88" s="0"/>
      <c r="DP88" s="0"/>
      <c r="DQ88" s="0"/>
      <c r="DR88" s="0"/>
      <c r="DS88" s="0"/>
      <c r="DT88" s="0"/>
      <c r="DU88" s="0"/>
      <c r="DV88" s="0"/>
      <c r="DW88" s="0"/>
      <c r="DX88" s="0"/>
      <c r="DY88" s="0"/>
      <c r="DZ88" s="0"/>
      <c r="EA88" s="0"/>
      <c r="EB88" s="0"/>
      <c r="EC88" s="0"/>
      <c r="ED88" s="0"/>
      <c r="EE88" s="0"/>
      <c r="EF88" s="0"/>
      <c r="EG88" s="0"/>
      <c r="EH88" s="0"/>
      <c r="EI88" s="0"/>
      <c r="EJ88" s="0"/>
      <c r="EK88" s="0"/>
      <c r="EL88" s="0"/>
      <c r="EM88" s="0"/>
      <c r="EN88" s="0"/>
      <c r="EO88" s="0"/>
      <c r="EP88" s="0"/>
      <c r="EQ88" s="0"/>
      <c r="ER88" s="0"/>
      <c r="ES88" s="0"/>
      <c r="ET88" s="0"/>
      <c r="EU88" s="0"/>
      <c r="EV88" s="0"/>
      <c r="EW88" s="0"/>
      <c r="EX88" s="0"/>
      <c r="EY88" s="0"/>
      <c r="EZ88" s="0"/>
      <c r="FA88" s="0"/>
      <c r="FB88" s="0"/>
      <c r="FC88" s="0"/>
      <c r="FD88" s="0"/>
      <c r="FE88" s="0"/>
      <c r="FF88" s="0"/>
      <c r="FG88" s="0"/>
      <c r="FH88" s="0"/>
      <c r="FI88" s="0"/>
      <c r="FJ88" s="0"/>
      <c r="FK88" s="0"/>
      <c r="FL88" s="0"/>
      <c r="FM88" s="0"/>
      <c r="FN88" s="0"/>
      <c r="FO88" s="0"/>
      <c r="FP88" s="0"/>
      <c r="FQ88" s="0"/>
      <c r="FR88" s="0"/>
      <c r="FS88" s="0"/>
      <c r="FT88" s="0"/>
      <c r="FU88" s="0"/>
      <c r="FV88" s="0"/>
      <c r="FW88" s="0"/>
      <c r="FX88" s="0"/>
      <c r="FY88" s="0"/>
      <c r="FZ88" s="0"/>
      <c r="GA88" s="0"/>
      <c r="GB88" s="0"/>
      <c r="GC88" s="0"/>
      <c r="GD88" s="0"/>
      <c r="GE88" s="0"/>
      <c r="GF88" s="0"/>
      <c r="GG88" s="0"/>
      <c r="GH88" s="0"/>
      <c r="GI88" s="0"/>
      <c r="GJ88" s="0"/>
      <c r="GK88" s="0"/>
      <c r="GL88" s="0"/>
      <c r="GM88" s="0"/>
      <c r="GN88" s="0"/>
      <c r="GO88" s="0"/>
      <c r="GP88" s="0"/>
      <c r="GQ88" s="0"/>
      <c r="GR88" s="0"/>
      <c r="GS88" s="0"/>
      <c r="GT88" s="0"/>
      <c r="GU88" s="0"/>
      <c r="GV88" s="0"/>
      <c r="GW88" s="0"/>
      <c r="GX88" s="0"/>
      <c r="GY88" s="0"/>
      <c r="GZ88" s="0"/>
      <c r="HA88" s="0"/>
      <c r="HB88" s="0"/>
      <c r="HC88" s="0"/>
      <c r="HD88" s="0"/>
      <c r="HE88" s="0"/>
      <c r="HF88" s="0"/>
      <c r="HG88" s="0"/>
      <c r="HH88" s="0"/>
      <c r="HI88" s="0"/>
      <c r="HJ88" s="0"/>
      <c r="HK88" s="0"/>
      <c r="HL88" s="0"/>
      <c r="HM88" s="0"/>
      <c r="HN88" s="0"/>
      <c r="HO88" s="0"/>
      <c r="HP88" s="0"/>
      <c r="HQ88" s="0"/>
      <c r="HR88" s="0"/>
      <c r="HS88" s="0"/>
      <c r="HT88" s="0"/>
      <c r="HU88" s="0"/>
      <c r="HV88" s="0"/>
      <c r="HW88" s="0"/>
      <c r="HX88" s="0"/>
      <c r="HY88" s="0"/>
      <c r="HZ88" s="0"/>
      <c r="IA88" s="0"/>
      <c r="IB88" s="0"/>
      <c r="IC88" s="0"/>
      <c r="ID88" s="0"/>
      <c r="IE88" s="0"/>
      <c r="IF88" s="0"/>
      <c r="IG88" s="0"/>
      <c r="IH88" s="0"/>
      <c r="II88" s="0"/>
      <c r="IJ88" s="0"/>
      <c r="IK88" s="0"/>
      <c r="IL88" s="0"/>
      <c r="IM88" s="0"/>
      <c r="IN88" s="0"/>
      <c r="IO88" s="0"/>
      <c r="IP88" s="0"/>
      <c r="IQ88" s="0"/>
      <c r="IR88" s="0"/>
      <c r="IS88" s="0"/>
      <c r="IT88" s="0"/>
      <c r="IU88" s="0"/>
      <c r="IV88" s="0"/>
      <c r="IW88" s="0"/>
    </row>
    <row r="89" customFormat="false" ht="12.6" hidden="false" customHeight="true" outlineLevel="0" collapsed="false">
      <c r="A89" s="5"/>
      <c r="B89" s="5"/>
      <c r="C89" s="5"/>
      <c r="D89" s="5"/>
      <c r="E89" s="5"/>
      <c r="F89" s="5"/>
      <c r="G89" s="5"/>
      <c r="H89" s="5"/>
      <c r="I89" s="5"/>
      <c r="J89" s="5"/>
      <c r="K89" s="5"/>
      <c r="L89" s="5"/>
      <c r="M89" s="5"/>
      <c r="N89" s="5"/>
      <c r="O89" s="5"/>
      <c r="P89" s="5"/>
      <c r="Q89" s="5"/>
      <c r="R89" s="5"/>
      <c r="S89" s="5"/>
      <c r="T89" s="5"/>
      <c r="U89" s="5"/>
      <c r="V89" s="5"/>
      <c r="W89" s="5"/>
      <c r="X89" s="0"/>
      <c r="Y89" s="0"/>
      <c r="Z89" s="0"/>
      <c r="AA89" s="0"/>
      <c r="AB89" s="0"/>
      <c r="AC89" s="0"/>
      <c r="AD89" s="0"/>
      <c r="AF89" s="0"/>
      <c r="AG89" s="0"/>
      <c r="AH89" s="0"/>
      <c r="AI89" s="0"/>
      <c r="AJ89" s="0"/>
      <c r="AK89" s="0"/>
      <c r="AL89" s="0"/>
      <c r="AM89" s="0"/>
      <c r="AN89" s="0"/>
      <c r="AO89" s="0"/>
      <c r="AP89" s="0"/>
      <c r="AQ89" s="0"/>
      <c r="AR89" s="0"/>
      <c r="AS89" s="0"/>
      <c r="AT89" s="0"/>
      <c r="AU89" s="0"/>
      <c r="AV89" s="0"/>
      <c r="AW89" s="0"/>
      <c r="AX89" s="0"/>
      <c r="AY89" s="0"/>
      <c r="AZ89" s="0"/>
      <c r="BA89" s="0"/>
      <c r="BB89" s="0"/>
      <c r="BC89" s="0"/>
      <c r="BD89" s="0"/>
      <c r="BE89" s="0"/>
      <c r="BF89" s="0"/>
      <c r="BG89" s="0"/>
      <c r="BH89" s="0"/>
      <c r="BI89" s="0"/>
      <c r="BJ89" s="0"/>
      <c r="BK89" s="0"/>
      <c r="BL89" s="0"/>
      <c r="BM89" s="0"/>
      <c r="BN89" s="0"/>
      <c r="BO89" s="0"/>
      <c r="BP89" s="0"/>
      <c r="BQ89" s="0"/>
      <c r="BR89" s="0"/>
      <c r="BS89" s="0"/>
      <c r="BT89" s="0"/>
      <c r="BU89" s="0"/>
      <c r="BV89" s="0"/>
      <c r="BW89" s="0"/>
      <c r="BX89" s="0"/>
      <c r="BY89" s="0"/>
      <c r="BZ89" s="0"/>
      <c r="CA89" s="0"/>
      <c r="CB89" s="0"/>
      <c r="CC89" s="0"/>
      <c r="CD89" s="0"/>
      <c r="CE89" s="0"/>
      <c r="CF89" s="0"/>
      <c r="CG89" s="0"/>
      <c r="CH89" s="0"/>
      <c r="CI89" s="0"/>
      <c r="CJ89" s="0"/>
      <c r="CK89" s="0"/>
      <c r="CL89" s="0"/>
      <c r="CM89" s="0"/>
      <c r="CN89" s="0"/>
      <c r="CO89" s="0"/>
      <c r="CP89" s="0"/>
      <c r="CQ89" s="0"/>
      <c r="CR89" s="0"/>
      <c r="CS89" s="0"/>
      <c r="CT89" s="0"/>
      <c r="CU89" s="0"/>
      <c r="CV89" s="0"/>
      <c r="CW89" s="0"/>
      <c r="CX89" s="0"/>
      <c r="CY89" s="0"/>
      <c r="CZ89" s="0"/>
      <c r="DA89" s="0"/>
      <c r="DB89" s="0"/>
      <c r="DC89" s="0"/>
      <c r="DD89" s="0"/>
      <c r="DE89" s="0"/>
      <c r="DF89" s="0"/>
      <c r="DG89" s="0"/>
      <c r="DH89" s="0"/>
      <c r="DI89" s="0"/>
      <c r="DJ89" s="0"/>
      <c r="DK89" s="0"/>
      <c r="DL89" s="0"/>
      <c r="DM89" s="0"/>
      <c r="DN89" s="0"/>
      <c r="DO89" s="0"/>
      <c r="DP89" s="0"/>
      <c r="DQ89" s="0"/>
      <c r="DR89" s="0"/>
      <c r="DS89" s="0"/>
      <c r="DT89" s="0"/>
      <c r="DU89" s="0"/>
      <c r="DV89" s="0"/>
      <c r="DW89" s="0"/>
      <c r="DX89" s="0"/>
      <c r="DY89" s="0"/>
      <c r="DZ89" s="0"/>
      <c r="EA89" s="0"/>
      <c r="EB89" s="0"/>
      <c r="EC89" s="0"/>
      <c r="ED89" s="0"/>
      <c r="EE89" s="0"/>
      <c r="EF89" s="0"/>
      <c r="EG89" s="0"/>
      <c r="EH89" s="0"/>
      <c r="EI89" s="0"/>
      <c r="EJ89" s="0"/>
      <c r="EK89" s="0"/>
      <c r="EL89" s="0"/>
      <c r="EM89" s="0"/>
      <c r="EN89" s="0"/>
      <c r="EO89" s="0"/>
      <c r="EP89" s="0"/>
      <c r="EQ89" s="0"/>
      <c r="ER89" s="0"/>
      <c r="ES89" s="0"/>
      <c r="ET89" s="0"/>
      <c r="EU89" s="0"/>
      <c r="EV89" s="0"/>
      <c r="EW89" s="0"/>
      <c r="EX89" s="0"/>
      <c r="EY89" s="0"/>
      <c r="EZ89" s="0"/>
      <c r="FA89" s="0"/>
      <c r="FB89" s="0"/>
      <c r="FC89" s="0"/>
      <c r="FD89" s="0"/>
      <c r="FE89" s="0"/>
      <c r="FF89" s="0"/>
      <c r="FG89" s="0"/>
      <c r="FH89" s="0"/>
      <c r="FI89" s="0"/>
      <c r="FJ89" s="0"/>
      <c r="FK89" s="0"/>
      <c r="FL89" s="0"/>
      <c r="FM89" s="0"/>
      <c r="FN89" s="0"/>
      <c r="FO89" s="0"/>
      <c r="FP89" s="0"/>
      <c r="FQ89" s="0"/>
      <c r="FR89" s="0"/>
      <c r="FS89" s="0"/>
      <c r="FT89" s="0"/>
      <c r="FU89" s="0"/>
      <c r="FV89" s="0"/>
      <c r="FW89" s="0"/>
      <c r="FX89" s="0"/>
      <c r="FY89" s="0"/>
      <c r="FZ89" s="0"/>
      <c r="GA89" s="0"/>
      <c r="GB89" s="0"/>
      <c r="GC89" s="0"/>
      <c r="GD89" s="0"/>
      <c r="GE89" s="0"/>
      <c r="GF89" s="0"/>
      <c r="GG89" s="0"/>
      <c r="GH89" s="0"/>
      <c r="GI89" s="0"/>
      <c r="GJ89" s="0"/>
      <c r="GK89" s="0"/>
      <c r="GL89" s="0"/>
      <c r="GM89" s="0"/>
      <c r="GN89" s="0"/>
      <c r="GO89" s="0"/>
      <c r="GP89" s="0"/>
      <c r="GQ89" s="0"/>
      <c r="GR89" s="0"/>
      <c r="GS89" s="0"/>
      <c r="GT89" s="0"/>
      <c r="GU89" s="0"/>
      <c r="GV89" s="0"/>
      <c r="GW89" s="0"/>
      <c r="GX89" s="0"/>
      <c r="GY89" s="0"/>
      <c r="GZ89" s="0"/>
      <c r="HA89" s="0"/>
      <c r="HB89" s="0"/>
      <c r="HC89" s="0"/>
      <c r="HD89" s="0"/>
      <c r="HE89" s="0"/>
      <c r="HF89" s="0"/>
      <c r="HG89" s="0"/>
      <c r="HH89" s="0"/>
      <c r="HI89" s="0"/>
      <c r="HJ89" s="0"/>
      <c r="HK89" s="0"/>
      <c r="HL89" s="0"/>
      <c r="HM89" s="0"/>
      <c r="HN89" s="0"/>
      <c r="HO89" s="0"/>
      <c r="HP89" s="0"/>
      <c r="HQ89" s="0"/>
      <c r="HR89" s="0"/>
      <c r="HS89" s="0"/>
      <c r="HT89" s="0"/>
      <c r="HU89" s="0"/>
      <c r="HV89" s="0"/>
      <c r="HW89" s="0"/>
      <c r="HX89" s="0"/>
      <c r="HY89" s="0"/>
      <c r="HZ89" s="0"/>
      <c r="IA89" s="0"/>
      <c r="IB89" s="0"/>
      <c r="IC89" s="0"/>
      <c r="ID89" s="0"/>
      <c r="IE89" s="0"/>
      <c r="IF89" s="0"/>
      <c r="IG89" s="0"/>
      <c r="IH89" s="0"/>
      <c r="II89" s="0"/>
      <c r="IJ89" s="0"/>
      <c r="IK89" s="0"/>
      <c r="IL89" s="0"/>
      <c r="IM89" s="0"/>
      <c r="IN89" s="0"/>
      <c r="IO89" s="0"/>
      <c r="IP89" s="0"/>
      <c r="IQ89" s="0"/>
      <c r="IR89" s="0"/>
      <c r="IS89" s="0"/>
      <c r="IT89" s="0"/>
      <c r="IU89" s="0"/>
      <c r="IV89" s="0"/>
      <c r="IW89" s="0"/>
    </row>
    <row r="90" customFormat="false" ht="12.6" hidden="false" customHeight="true" outlineLevel="0" collapsed="false">
      <c r="A90" s="5"/>
      <c r="B90" s="5"/>
      <c r="C90" s="5"/>
      <c r="D90" s="5"/>
      <c r="E90" s="5"/>
      <c r="F90" s="5"/>
      <c r="G90" s="5"/>
      <c r="H90" s="5"/>
      <c r="I90" s="5"/>
      <c r="J90" s="5"/>
      <c r="K90" s="5"/>
      <c r="L90" s="5"/>
      <c r="M90" s="5"/>
      <c r="N90" s="5"/>
      <c r="O90" s="5"/>
      <c r="P90" s="5"/>
      <c r="Q90" s="5"/>
      <c r="R90" s="5"/>
      <c r="S90" s="5"/>
      <c r="T90" s="5"/>
      <c r="U90" s="5"/>
      <c r="V90" s="5"/>
      <c r="W90" s="5"/>
      <c r="X90" s="0"/>
      <c r="Y90" s="0"/>
      <c r="Z90" s="0"/>
      <c r="AA90" s="0"/>
      <c r="AB90" s="0"/>
      <c r="AC90" s="0"/>
      <c r="AD90" s="0"/>
      <c r="AF90" s="0"/>
      <c r="AG90" s="0"/>
      <c r="AH90" s="0"/>
      <c r="AI90" s="0"/>
      <c r="AJ90" s="0"/>
      <c r="AK90" s="0"/>
      <c r="AL90" s="0"/>
      <c r="AM90" s="0"/>
      <c r="AN90" s="0"/>
      <c r="AO90" s="0"/>
      <c r="AP90" s="0"/>
      <c r="AQ90" s="0"/>
      <c r="AR90" s="0"/>
      <c r="AS90" s="0"/>
      <c r="AT90" s="0"/>
      <c r="AU90" s="0"/>
      <c r="AV90" s="0"/>
      <c r="AW90" s="0"/>
      <c r="AX90" s="0"/>
      <c r="AY90" s="0"/>
      <c r="AZ90" s="0"/>
      <c r="BA90" s="0"/>
      <c r="BB90" s="0"/>
      <c r="BC90" s="0"/>
      <c r="BD90" s="0"/>
      <c r="BE90" s="0"/>
      <c r="BF90" s="0"/>
      <c r="BG90" s="0"/>
      <c r="BH90" s="0"/>
      <c r="BI90" s="0"/>
      <c r="BJ90" s="0"/>
      <c r="BK90" s="0"/>
      <c r="BL90" s="0"/>
      <c r="BM90" s="0"/>
      <c r="BN90" s="0"/>
      <c r="BO90" s="0"/>
      <c r="BP90" s="0"/>
      <c r="BQ90" s="0"/>
      <c r="BR90" s="0"/>
      <c r="BS90" s="0"/>
      <c r="BT90" s="0"/>
      <c r="BU90" s="0"/>
      <c r="BV90" s="0"/>
      <c r="BW90" s="0"/>
      <c r="BX90" s="0"/>
      <c r="BY90" s="0"/>
      <c r="BZ90" s="0"/>
      <c r="CA90" s="0"/>
      <c r="CB90" s="0"/>
      <c r="CC90" s="0"/>
      <c r="CD90" s="0"/>
      <c r="CE90" s="0"/>
      <c r="CF90" s="0"/>
      <c r="CG90" s="0"/>
      <c r="CH90" s="0"/>
      <c r="CI90" s="0"/>
      <c r="CJ90" s="0"/>
      <c r="CK90" s="0"/>
      <c r="CL90" s="0"/>
      <c r="CM90" s="0"/>
      <c r="CN90" s="0"/>
      <c r="CO90" s="0"/>
      <c r="CP90" s="0"/>
      <c r="CQ90" s="0"/>
      <c r="CR90" s="0"/>
      <c r="CS90" s="0"/>
      <c r="CT90" s="0"/>
      <c r="CU90" s="0"/>
      <c r="CV90" s="0"/>
      <c r="CW90" s="0"/>
      <c r="CX90" s="0"/>
      <c r="CY90" s="0"/>
      <c r="CZ90" s="0"/>
      <c r="DA90" s="0"/>
      <c r="DB90" s="0"/>
      <c r="DC90" s="0"/>
      <c r="DD90" s="0"/>
      <c r="DE90" s="0"/>
      <c r="DF90" s="0"/>
      <c r="DG90" s="0"/>
      <c r="DH90" s="0"/>
      <c r="DI90" s="0"/>
      <c r="DJ90" s="0"/>
      <c r="DK90" s="0"/>
      <c r="DL90" s="0"/>
      <c r="DM90" s="0"/>
      <c r="DN90" s="0"/>
      <c r="DO90" s="0"/>
      <c r="DP90" s="0"/>
      <c r="DQ90" s="0"/>
      <c r="DR90" s="0"/>
      <c r="DS90" s="0"/>
      <c r="DT90" s="0"/>
      <c r="DU90" s="0"/>
      <c r="DV90" s="0"/>
      <c r="DW90" s="0"/>
      <c r="DX90" s="0"/>
      <c r="DY90" s="0"/>
      <c r="DZ90" s="0"/>
      <c r="EA90" s="0"/>
      <c r="EB90" s="0"/>
      <c r="EC90" s="0"/>
      <c r="ED90" s="0"/>
      <c r="EE90" s="0"/>
      <c r="EF90" s="0"/>
      <c r="EG90" s="0"/>
      <c r="EH90" s="0"/>
      <c r="EI90" s="0"/>
      <c r="EJ90" s="0"/>
      <c r="EK90" s="0"/>
      <c r="EL90" s="0"/>
      <c r="EM90" s="0"/>
      <c r="EN90" s="0"/>
      <c r="EO90" s="0"/>
      <c r="EP90" s="0"/>
      <c r="EQ90" s="0"/>
      <c r="ER90" s="0"/>
      <c r="ES90" s="0"/>
      <c r="ET90" s="0"/>
      <c r="EU90" s="0"/>
      <c r="EV90" s="0"/>
      <c r="EW90" s="0"/>
      <c r="EX90" s="0"/>
      <c r="EY90" s="0"/>
      <c r="EZ90" s="0"/>
      <c r="FA90" s="0"/>
      <c r="FB90" s="0"/>
      <c r="FC90" s="0"/>
      <c r="FD90" s="0"/>
      <c r="FE90" s="0"/>
      <c r="FF90" s="0"/>
      <c r="FG90" s="0"/>
      <c r="FH90" s="0"/>
      <c r="FI90" s="0"/>
      <c r="FJ90" s="0"/>
      <c r="FK90" s="0"/>
      <c r="FL90" s="0"/>
      <c r="FM90" s="0"/>
      <c r="FN90" s="0"/>
      <c r="FO90" s="0"/>
      <c r="FP90" s="0"/>
      <c r="FQ90" s="0"/>
      <c r="FR90" s="0"/>
      <c r="FS90" s="0"/>
      <c r="FT90" s="0"/>
      <c r="FU90" s="0"/>
      <c r="FV90" s="0"/>
      <c r="FW90" s="0"/>
      <c r="FX90" s="0"/>
      <c r="FY90" s="0"/>
      <c r="FZ90" s="0"/>
      <c r="GA90" s="0"/>
      <c r="GB90" s="0"/>
      <c r="GC90" s="0"/>
      <c r="GD90" s="0"/>
      <c r="GE90" s="0"/>
      <c r="GF90" s="0"/>
      <c r="GG90" s="0"/>
      <c r="GH90" s="0"/>
      <c r="GI90" s="0"/>
      <c r="GJ90" s="0"/>
      <c r="GK90" s="0"/>
      <c r="GL90" s="0"/>
      <c r="GM90" s="0"/>
      <c r="GN90" s="0"/>
      <c r="GO90" s="0"/>
      <c r="GP90" s="0"/>
      <c r="GQ90" s="0"/>
      <c r="GR90" s="0"/>
      <c r="GS90" s="0"/>
      <c r="GT90" s="0"/>
      <c r="GU90" s="0"/>
      <c r="GV90" s="0"/>
      <c r="GW90" s="0"/>
      <c r="GX90" s="0"/>
      <c r="GY90" s="0"/>
      <c r="GZ90" s="0"/>
      <c r="HA90" s="0"/>
      <c r="HB90" s="0"/>
      <c r="HC90" s="0"/>
      <c r="HD90" s="0"/>
      <c r="HE90" s="0"/>
      <c r="HF90" s="0"/>
      <c r="HG90" s="0"/>
      <c r="HH90" s="0"/>
      <c r="HI90" s="0"/>
      <c r="HJ90" s="0"/>
      <c r="HK90" s="0"/>
      <c r="HL90" s="0"/>
      <c r="HM90" s="0"/>
      <c r="HN90" s="0"/>
      <c r="HO90" s="0"/>
      <c r="HP90" s="0"/>
      <c r="HQ90" s="0"/>
      <c r="HR90" s="0"/>
      <c r="HS90" s="0"/>
      <c r="HT90" s="0"/>
      <c r="HU90" s="0"/>
      <c r="HV90" s="0"/>
      <c r="HW90" s="0"/>
      <c r="HX90" s="0"/>
      <c r="HY90" s="0"/>
      <c r="HZ90" s="0"/>
      <c r="IA90" s="0"/>
      <c r="IB90" s="0"/>
      <c r="IC90" s="0"/>
      <c r="ID90" s="0"/>
      <c r="IE90" s="0"/>
      <c r="IF90" s="0"/>
      <c r="IG90" s="0"/>
      <c r="IH90" s="0"/>
      <c r="II90" s="0"/>
      <c r="IJ90" s="0"/>
      <c r="IK90" s="0"/>
      <c r="IL90" s="0"/>
      <c r="IM90" s="0"/>
      <c r="IN90" s="0"/>
      <c r="IO90" s="0"/>
      <c r="IP90" s="0"/>
      <c r="IQ90" s="0"/>
      <c r="IR90" s="0"/>
      <c r="IS90" s="0"/>
      <c r="IT90" s="0"/>
      <c r="IU90" s="0"/>
      <c r="IV90" s="0"/>
      <c r="IW90" s="0"/>
    </row>
    <row r="91" customFormat="false" ht="12.6" hidden="false" customHeight="true" outlineLevel="0" collapsed="false">
      <c r="A91" s="5"/>
      <c r="B91" s="5"/>
      <c r="C91" s="5"/>
      <c r="D91" s="5"/>
      <c r="E91" s="5"/>
      <c r="F91" s="5"/>
      <c r="G91" s="5"/>
      <c r="H91" s="5"/>
      <c r="I91" s="5"/>
      <c r="J91" s="5"/>
      <c r="K91" s="5"/>
      <c r="L91" s="5"/>
      <c r="M91" s="5"/>
      <c r="N91" s="5"/>
      <c r="O91" s="5"/>
      <c r="P91" s="5"/>
      <c r="Q91" s="5"/>
      <c r="R91" s="5"/>
      <c r="S91" s="5"/>
      <c r="T91" s="5"/>
      <c r="U91" s="5"/>
      <c r="V91" s="5"/>
      <c r="W91" s="5"/>
      <c r="X91" s="0"/>
      <c r="Y91" s="0"/>
      <c r="Z91" s="0"/>
      <c r="AA91" s="0"/>
      <c r="AB91" s="0"/>
      <c r="AC91" s="0"/>
      <c r="AD91" s="0"/>
      <c r="AF91" s="0"/>
      <c r="AG91" s="0"/>
      <c r="AH91" s="0"/>
      <c r="AI91" s="0"/>
      <c r="AJ91" s="0"/>
      <c r="AK91" s="0"/>
      <c r="AL91" s="0"/>
      <c r="AM91" s="0"/>
      <c r="AN91" s="0"/>
      <c r="AO91" s="0"/>
      <c r="AP91" s="0"/>
      <c r="AQ91" s="0"/>
      <c r="AR91" s="0"/>
      <c r="AS91" s="0"/>
      <c r="AT91" s="0"/>
      <c r="AU91" s="0"/>
      <c r="AV91" s="0"/>
      <c r="AW91" s="0"/>
      <c r="AX91" s="0"/>
      <c r="AY91" s="0"/>
      <c r="AZ91" s="0"/>
      <c r="BA91" s="0"/>
      <c r="BB91" s="0"/>
      <c r="BC91" s="0"/>
      <c r="BD91" s="0"/>
      <c r="BE91" s="0"/>
      <c r="BF91" s="0"/>
      <c r="BG91" s="0"/>
      <c r="BH91" s="0"/>
      <c r="BI91" s="0"/>
      <c r="BJ91" s="0"/>
      <c r="BK91" s="0"/>
      <c r="BL91" s="0"/>
      <c r="BM91" s="0"/>
      <c r="BN91" s="0"/>
      <c r="BO91" s="0"/>
      <c r="BP91" s="0"/>
      <c r="BQ91" s="0"/>
      <c r="BR91" s="0"/>
      <c r="BS91" s="0"/>
      <c r="BT91" s="0"/>
      <c r="BU91" s="0"/>
      <c r="BV91" s="0"/>
      <c r="BW91" s="0"/>
      <c r="BX91" s="0"/>
      <c r="BY91" s="0"/>
      <c r="BZ91" s="0"/>
      <c r="CA91" s="0"/>
      <c r="CB91" s="0"/>
      <c r="CC91" s="0"/>
      <c r="CD91" s="0"/>
      <c r="CE91" s="0"/>
      <c r="CF91" s="0"/>
      <c r="CG91" s="0"/>
      <c r="CH91" s="0"/>
      <c r="CI91" s="0"/>
      <c r="CJ91" s="0"/>
      <c r="CK91" s="0"/>
      <c r="CL91" s="0"/>
      <c r="CM91" s="0"/>
      <c r="CN91" s="0"/>
      <c r="CO91" s="0"/>
      <c r="CP91" s="0"/>
      <c r="CQ91" s="0"/>
      <c r="CR91" s="0"/>
      <c r="CS91" s="0"/>
      <c r="CT91" s="0"/>
      <c r="CU91" s="0"/>
      <c r="CV91" s="0"/>
      <c r="CW91" s="0"/>
      <c r="CX91" s="0"/>
      <c r="CY91" s="0"/>
      <c r="CZ91" s="0"/>
      <c r="DA91" s="0"/>
      <c r="DB91" s="0"/>
      <c r="DC91" s="0"/>
      <c r="DD91" s="0"/>
      <c r="DE91" s="0"/>
      <c r="DF91" s="0"/>
      <c r="DG91" s="0"/>
      <c r="DH91" s="0"/>
      <c r="DI91" s="0"/>
      <c r="DJ91" s="0"/>
      <c r="DK91" s="0"/>
      <c r="DL91" s="0"/>
      <c r="DM91" s="0"/>
      <c r="DN91" s="0"/>
      <c r="DO91" s="0"/>
      <c r="DP91" s="0"/>
      <c r="DQ91" s="0"/>
      <c r="DR91" s="0"/>
      <c r="DS91" s="0"/>
      <c r="DT91" s="0"/>
      <c r="DU91" s="0"/>
      <c r="DV91" s="0"/>
      <c r="DW91" s="0"/>
      <c r="DX91" s="0"/>
      <c r="DY91" s="0"/>
      <c r="DZ91" s="0"/>
      <c r="EA91" s="0"/>
      <c r="EB91" s="0"/>
      <c r="EC91" s="0"/>
      <c r="ED91" s="0"/>
      <c r="EE91" s="0"/>
      <c r="EF91" s="0"/>
      <c r="EG91" s="0"/>
      <c r="EH91" s="0"/>
      <c r="EI91" s="0"/>
      <c r="EJ91" s="0"/>
      <c r="EK91" s="0"/>
      <c r="EL91" s="0"/>
      <c r="EM91" s="0"/>
      <c r="EN91" s="0"/>
      <c r="EO91" s="0"/>
      <c r="EP91" s="0"/>
      <c r="EQ91" s="0"/>
      <c r="ER91" s="0"/>
      <c r="ES91" s="0"/>
      <c r="ET91" s="0"/>
      <c r="EU91" s="0"/>
      <c r="EV91" s="0"/>
      <c r="EW91" s="0"/>
      <c r="EX91" s="0"/>
      <c r="EY91" s="0"/>
      <c r="EZ91" s="0"/>
      <c r="FA91" s="0"/>
      <c r="FB91" s="0"/>
      <c r="FC91" s="0"/>
      <c r="FD91" s="0"/>
      <c r="FE91" s="0"/>
      <c r="FF91" s="0"/>
      <c r="FG91" s="0"/>
      <c r="FH91" s="0"/>
      <c r="FI91" s="0"/>
      <c r="FJ91" s="0"/>
      <c r="FK91" s="0"/>
      <c r="FL91" s="0"/>
      <c r="FM91" s="0"/>
      <c r="FN91" s="0"/>
      <c r="FO91" s="0"/>
      <c r="FP91" s="0"/>
      <c r="FQ91" s="0"/>
      <c r="FR91" s="0"/>
      <c r="FS91" s="0"/>
      <c r="FT91" s="0"/>
      <c r="FU91" s="0"/>
      <c r="FV91" s="0"/>
      <c r="FW91" s="0"/>
      <c r="FX91" s="0"/>
      <c r="FY91" s="0"/>
      <c r="FZ91" s="0"/>
      <c r="GA91" s="0"/>
      <c r="GB91" s="0"/>
      <c r="GC91" s="0"/>
      <c r="GD91" s="0"/>
      <c r="GE91" s="0"/>
      <c r="GF91" s="0"/>
      <c r="GG91" s="0"/>
      <c r="GH91" s="0"/>
      <c r="GI91" s="0"/>
      <c r="GJ91" s="0"/>
      <c r="GK91" s="0"/>
      <c r="GL91" s="0"/>
      <c r="GM91" s="0"/>
      <c r="GN91" s="0"/>
      <c r="GO91" s="0"/>
      <c r="GP91" s="0"/>
      <c r="GQ91" s="0"/>
      <c r="GR91" s="0"/>
      <c r="GS91" s="0"/>
      <c r="GT91" s="0"/>
      <c r="GU91" s="0"/>
      <c r="GV91" s="0"/>
      <c r="GW91" s="0"/>
      <c r="GX91" s="0"/>
      <c r="GY91" s="0"/>
      <c r="GZ91" s="0"/>
      <c r="HA91" s="0"/>
      <c r="HB91" s="0"/>
      <c r="HC91" s="0"/>
      <c r="HD91" s="0"/>
      <c r="HE91" s="0"/>
      <c r="HF91" s="0"/>
      <c r="HG91" s="0"/>
      <c r="HH91" s="0"/>
      <c r="HI91" s="0"/>
      <c r="HJ91" s="0"/>
      <c r="HK91" s="0"/>
      <c r="HL91" s="0"/>
      <c r="HM91" s="0"/>
      <c r="HN91" s="0"/>
      <c r="HO91" s="0"/>
      <c r="HP91" s="0"/>
      <c r="HQ91" s="0"/>
      <c r="HR91" s="0"/>
      <c r="HS91" s="0"/>
      <c r="HT91" s="0"/>
      <c r="HU91" s="0"/>
      <c r="HV91" s="0"/>
      <c r="HW91" s="0"/>
      <c r="HX91" s="0"/>
      <c r="HY91" s="0"/>
      <c r="HZ91" s="0"/>
      <c r="IA91" s="0"/>
      <c r="IB91" s="0"/>
      <c r="IC91" s="0"/>
      <c r="ID91" s="0"/>
      <c r="IE91" s="0"/>
      <c r="IF91" s="0"/>
      <c r="IG91" s="0"/>
      <c r="IH91" s="0"/>
      <c r="II91" s="0"/>
      <c r="IJ91" s="0"/>
      <c r="IK91" s="0"/>
      <c r="IL91" s="0"/>
      <c r="IM91" s="0"/>
      <c r="IN91" s="0"/>
      <c r="IO91" s="0"/>
      <c r="IP91" s="0"/>
      <c r="IQ91" s="0"/>
      <c r="IR91" s="0"/>
      <c r="IS91" s="0"/>
      <c r="IT91" s="0"/>
      <c r="IU91" s="0"/>
      <c r="IV91" s="0"/>
      <c r="IW91" s="0"/>
    </row>
    <row r="92" customFormat="false" ht="12.6" hidden="false" customHeight="true" outlineLevel="0" collapsed="false">
      <c r="A92" s="5"/>
      <c r="B92" s="5"/>
      <c r="C92" s="5"/>
      <c r="D92" s="5"/>
      <c r="E92" s="5"/>
      <c r="F92" s="5"/>
      <c r="G92" s="5"/>
      <c r="H92" s="5"/>
      <c r="I92" s="5"/>
      <c r="J92" s="5"/>
      <c r="K92" s="5"/>
      <c r="L92" s="5"/>
      <c r="M92" s="5"/>
      <c r="N92" s="5"/>
      <c r="O92" s="5"/>
      <c r="P92" s="5"/>
      <c r="Q92" s="5"/>
      <c r="R92" s="5"/>
      <c r="S92" s="5"/>
      <c r="T92" s="5"/>
      <c r="U92" s="5"/>
      <c r="V92" s="5"/>
      <c r="W92" s="5"/>
      <c r="X92" s="0"/>
      <c r="Y92" s="0"/>
      <c r="Z92" s="0"/>
      <c r="AA92" s="0"/>
      <c r="AB92" s="0"/>
      <c r="AC92" s="0"/>
      <c r="AD92" s="0"/>
      <c r="AF92" s="0"/>
      <c r="AG92" s="0"/>
      <c r="AH92" s="0"/>
      <c r="AI92" s="0"/>
      <c r="AJ92" s="0"/>
      <c r="AK92" s="0"/>
      <c r="AL92" s="0"/>
      <c r="AM92" s="0"/>
      <c r="AN92" s="0"/>
      <c r="AO92" s="0"/>
      <c r="AP92" s="0"/>
      <c r="AQ92" s="0"/>
      <c r="AR92" s="0"/>
      <c r="AS92" s="0"/>
      <c r="AT92" s="0"/>
      <c r="AU92" s="0"/>
      <c r="AV92" s="0"/>
      <c r="AW92" s="0"/>
      <c r="AX92" s="0"/>
      <c r="AY92" s="0"/>
      <c r="AZ92" s="0"/>
      <c r="BA92" s="0"/>
      <c r="BB92" s="0"/>
      <c r="BC92" s="0"/>
      <c r="BD92" s="0"/>
      <c r="BE92" s="0"/>
      <c r="BF92" s="0"/>
      <c r="BG92" s="0"/>
      <c r="BH92" s="0"/>
      <c r="BI92" s="0"/>
      <c r="BJ92" s="0"/>
      <c r="BK92" s="0"/>
      <c r="BL92" s="0"/>
      <c r="BM92" s="0"/>
      <c r="BN92" s="0"/>
      <c r="BO92" s="0"/>
      <c r="BP92" s="0"/>
      <c r="BQ92" s="0"/>
      <c r="BR92" s="0"/>
      <c r="BS92" s="0"/>
      <c r="BT92" s="0"/>
      <c r="BU92" s="0"/>
      <c r="BV92" s="0"/>
      <c r="BW92" s="0"/>
      <c r="BX92" s="0"/>
      <c r="BY92" s="0"/>
      <c r="BZ92" s="0"/>
      <c r="CA92" s="0"/>
      <c r="CB92" s="0"/>
      <c r="CC92" s="0"/>
      <c r="CD92" s="0"/>
      <c r="CE92" s="0"/>
      <c r="CF92" s="0"/>
      <c r="CG92" s="0"/>
      <c r="CH92" s="0"/>
      <c r="CI92" s="0"/>
      <c r="CJ92" s="0"/>
      <c r="CK92" s="0"/>
      <c r="CL92" s="0"/>
      <c r="CM92" s="0"/>
      <c r="CN92" s="0"/>
      <c r="CO92" s="0"/>
      <c r="CP92" s="0"/>
      <c r="CQ92" s="0"/>
      <c r="CR92" s="0"/>
      <c r="CS92" s="0"/>
      <c r="CT92" s="0"/>
      <c r="CU92" s="0"/>
      <c r="CV92" s="0"/>
      <c r="CW92" s="0"/>
      <c r="CX92" s="0"/>
      <c r="CY92" s="0"/>
      <c r="CZ92" s="0"/>
      <c r="DA92" s="0"/>
      <c r="DB92" s="0"/>
      <c r="DC92" s="0"/>
      <c r="DD92" s="0"/>
      <c r="DE92" s="0"/>
      <c r="DF92" s="0"/>
      <c r="DG92" s="0"/>
      <c r="DH92" s="0"/>
      <c r="DI92" s="0"/>
      <c r="DJ92" s="0"/>
      <c r="DK92" s="0"/>
      <c r="DL92" s="0"/>
      <c r="DM92" s="0"/>
      <c r="DN92" s="0"/>
      <c r="DO92" s="0"/>
      <c r="DP92" s="0"/>
      <c r="DQ92" s="0"/>
      <c r="DR92" s="0"/>
      <c r="DS92" s="0"/>
      <c r="DT92" s="0"/>
      <c r="DU92" s="0"/>
      <c r="DV92" s="0"/>
      <c r="DW92" s="0"/>
      <c r="DX92" s="0"/>
      <c r="DY92" s="0"/>
      <c r="DZ92" s="0"/>
      <c r="EA92" s="0"/>
      <c r="EB92" s="0"/>
      <c r="EC92" s="0"/>
      <c r="ED92" s="0"/>
      <c r="EE92" s="0"/>
      <c r="EF92" s="0"/>
      <c r="EG92" s="0"/>
      <c r="EH92" s="0"/>
      <c r="EI92" s="0"/>
      <c r="EJ92" s="0"/>
      <c r="EK92" s="0"/>
      <c r="EL92" s="0"/>
      <c r="EM92" s="0"/>
      <c r="EN92" s="0"/>
      <c r="EO92" s="0"/>
      <c r="EP92" s="0"/>
      <c r="EQ92" s="0"/>
      <c r="ER92" s="0"/>
      <c r="ES92" s="0"/>
      <c r="ET92" s="0"/>
      <c r="EU92" s="0"/>
      <c r="EV92" s="0"/>
      <c r="EW92" s="0"/>
      <c r="EX92" s="0"/>
      <c r="EY92" s="0"/>
      <c r="EZ92" s="0"/>
      <c r="FA92" s="0"/>
      <c r="FB92" s="0"/>
      <c r="FC92" s="0"/>
      <c r="FD92" s="0"/>
      <c r="FE92" s="0"/>
      <c r="FF92" s="0"/>
      <c r="FG92" s="0"/>
      <c r="FH92" s="0"/>
      <c r="FI92" s="0"/>
      <c r="FJ92" s="0"/>
      <c r="FK92" s="0"/>
      <c r="FL92" s="0"/>
      <c r="FM92" s="0"/>
      <c r="FN92" s="0"/>
      <c r="FO92" s="0"/>
      <c r="FP92" s="0"/>
      <c r="FQ92" s="0"/>
      <c r="FR92" s="0"/>
      <c r="FS92" s="0"/>
      <c r="FT92" s="0"/>
      <c r="FU92" s="0"/>
      <c r="FV92" s="0"/>
      <c r="FW92" s="0"/>
      <c r="FX92" s="0"/>
      <c r="FY92" s="0"/>
      <c r="FZ92" s="0"/>
      <c r="GA92" s="0"/>
      <c r="GB92" s="0"/>
      <c r="GC92" s="0"/>
      <c r="GD92" s="0"/>
      <c r="GE92" s="0"/>
      <c r="GF92" s="0"/>
      <c r="GG92" s="0"/>
      <c r="GH92" s="0"/>
      <c r="GI92" s="0"/>
      <c r="GJ92" s="0"/>
      <c r="GK92" s="0"/>
      <c r="GL92" s="0"/>
      <c r="GM92" s="0"/>
      <c r="GN92" s="0"/>
      <c r="GO92" s="0"/>
      <c r="GP92" s="0"/>
      <c r="GQ92" s="0"/>
      <c r="GR92" s="0"/>
      <c r="GS92" s="0"/>
      <c r="GT92" s="0"/>
      <c r="GU92" s="0"/>
      <c r="GV92" s="0"/>
      <c r="GW92" s="0"/>
      <c r="GX92" s="0"/>
      <c r="GY92" s="0"/>
      <c r="GZ92" s="0"/>
      <c r="HA92" s="0"/>
      <c r="HB92" s="0"/>
      <c r="HC92" s="0"/>
      <c r="HD92" s="0"/>
      <c r="HE92" s="0"/>
      <c r="HF92" s="0"/>
      <c r="HG92" s="0"/>
      <c r="HH92" s="0"/>
      <c r="HI92" s="0"/>
      <c r="HJ92" s="0"/>
      <c r="HK92" s="0"/>
      <c r="HL92" s="0"/>
      <c r="HM92" s="0"/>
      <c r="HN92" s="0"/>
      <c r="HO92" s="0"/>
      <c r="HP92" s="0"/>
      <c r="HQ92" s="0"/>
      <c r="HR92" s="0"/>
      <c r="HS92" s="0"/>
      <c r="HT92" s="0"/>
      <c r="HU92" s="0"/>
      <c r="HV92" s="0"/>
      <c r="HW92" s="0"/>
      <c r="HX92" s="0"/>
      <c r="HY92" s="0"/>
      <c r="HZ92" s="0"/>
      <c r="IA92" s="0"/>
      <c r="IB92" s="0"/>
      <c r="IC92" s="0"/>
      <c r="ID92" s="0"/>
      <c r="IE92" s="0"/>
      <c r="IF92" s="0"/>
      <c r="IG92" s="0"/>
      <c r="IH92" s="0"/>
      <c r="II92" s="0"/>
      <c r="IJ92" s="0"/>
      <c r="IK92" s="0"/>
      <c r="IL92" s="0"/>
      <c r="IM92" s="0"/>
      <c r="IN92" s="0"/>
      <c r="IO92" s="0"/>
      <c r="IP92" s="0"/>
      <c r="IQ92" s="0"/>
      <c r="IR92" s="0"/>
      <c r="IS92" s="0"/>
      <c r="IT92" s="0"/>
      <c r="IU92" s="0"/>
      <c r="IV92" s="0"/>
      <c r="IW92" s="0"/>
    </row>
    <row r="93" customFormat="false" ht="12.6" hidden="false" customHeight="true" outlineLevel="0" collapsed="false">
      <c r="A93" s="5"/>
      <c r="B93" s="5"/>
      <c r="C93" s="5"/>
      <c r="D93" s="5"/>
      <c r="E93" s="5"/>
      <c r="F93" s="5"/>
      <c r="G93" s="5"/>
      <c r="H93" s="5"/>
      <c r="I93" s="5"/>
      <c r="J93" s="5"/>
      <c r="K93" s="5"/>
      <c r="L93" s="5"/>
      <c r="M93" s="5"/>
      <c r="N93" s="5"/>
      <c r="O93" s="5"/>
      <c r="P93" s="5"/>
      <c r="Q93" s="5"/>
      <c r="R93" s="5"/>
      <c r="S93" s="5"/>
      <c r="T93" s="5"/>
      <c r="U93" s="5"/>
      <c r="V93" s="5"/>
      <c r="W93" s="5"/>
      <c r="X93" s="0"/>
      <c r="Y93" s="0"/>
      <c r="Z93" s="0"/>
      <c r="AA93" s="0"/>
      <c r="AB93" s="0"/>
      <c r="AC93" s="0"/>
      <c r="AD93" s="0"/>
      <c r="AF93" s="0"/>
      <c r="AG93" s="0"/>
      <c r="AH93" s="0"/>
      <c r="AI93" s="0"/>
      <c r="AJ93" s="0"/>
      <c r="AK93" s="0"/>
      <c r="AL93" s="0"/>
      <c r="AM93" s="0"/>
      <c r="AN93" s="0"/>
      <c r="AO93" s="0"/>
      <c r="AP93" s="0"/>
      <c r="AQ93" s="0"/>
      <c r="AR93" s="0"/>
      <c r="AS93" s="0"/>
      <c r="AT93" s="0"/>
      <c r="AU93" s="0"/>
      <c r="AV93" s="0"/>
      <c r="AW93" s="0"/>
      <c r="AX93" s="0"/>
      <c r="AY93" s="0"/>
      <c r="AZ93" s="0"/>
      <c r="BA93" s="0"/>
      <c r="BB93" s="0"/>
      <c r="BC93" s="0"/>
      <c r="BD93" s="0"/>
      <c r="BE93" s="0"/>
      <c r="BF93" s="0"/>
      <c r="BG93" s="0"/>
      <c r="BH93" s="0"/>
      <c r="BI93" s="0"/>
      <c r="BJ93" s="0"/>
      <c r="BK93" s="0"/>
      <c r="BL93" s="0"/>
      <c r="BM93" s="0"/>
      <c r="BN93" s="0"/>
      <c r="BO93" s="0"/>
      <c r="BP93" s="0"/>
      <c r="BQ93" s="0"/>
      <c r="BR93" s="0"/>
      <c r="BS93" s="0"/>
      <c r="BT93" s="0"/>
      <c r="BU93" s="0"/>
      <c r="BV93" s="0"/>
      <c r="BW93" s="0"/>
      <c r="BX93" s="0"/>
      <c r="BY93" s="0"/>
      <c r="BZ93" s="0"/>
      <c r="CA93" s="0"/>
      <c r="CB93" s="0"/>
      <c r="CC93" s="0"/>
      <c r="CD93" s="0"/>
      <c r="CE93" s="0"/>
      <c r="CF93" s="0"/>
      <c r="CG93" s="0"/>
      <c r="CH93" s="0"/>
      <c r="CI93" s="0"/>
      <c r="CJ93" s="0"/>
      <c r="CK93" s="0"/>
      <c r="CL93" s="0"/>
      <c r="CM93" s="0"/>
      <c r="CN93" s="0"/>
      <c r="CO93" s="0"/>
      <c r="CP93" s="0"/>
      <c r="CQ93" s="0"/>
      <c r="CR93" s="0"/>
      <c r="CS93" s="0"/>
      <c r="CT93" s="0"/>
      <c r="CU93" s="0"/>
      <c r="CV93" s="0"/>
      <c r="CW93" s="0"/>
      <c r="CX93" s="0"/>
      <c r="CY93" s="0"/>
      <c r="CZ93" s="0"/>
      <c r="DA93" s="0"/>
      <c r="DB93" s="0"/>
      <c r="DC93" s="0"/>
      <c r="DD93" s="0"/>
      <c r="DE93" s="0"/>
      <c r="DF93" s="0"/>
      <c r="DG93" s="0"/>
      <c r="DH93" s="0"/>
      <c r="DI93" s="0"/>
      <c r="DJ93" s="0"/>
      <c r="DK93" s="0"/>
      <c r="DL93" s="0"/>
      <c r="DM93" s="0"/>
      <c r="DN93" s="0"/>
      <c r="DO93" s="0"/>
      <c r="DP93" s="0"/>
      <c r="DQ93" s="0"/>
      <c r="DR93" s="0"/>
      <c r="DS93" s="0"/>
      <c r="DT93" s="0"/>
      <c r="DU93" s="0"/>
      <c r="DV93" s="0"/>
      <c r="DW93" s="0"/>
      <c r="DX93" s="0"/>
      <c r="DY93" s="0"/>
      <c r="DZ93" s="0"/>
      <c r="EA93" s="0"/>
      <c r="EB93" s="0"/>
      <c r="EC93" s="0"/>
      <c r="ED93" s="0"/>
      <c r="EE93" s="0"/>
      <c r="EF93" s="0"/>
      <c r="EG93" s="0"/>
      <c r="EH93" s="0"/>
      <c r="EI93" s="0"/>
      <c r="EJ93" s="0"/>
      <c r="EK93" s="0"/>
      <c r="EL93" s="0"/>
      <c r="EM93" s="0"/>
      <c r="EN93" s="0"/>
      <c r="EO93" s="0"/>
      <c r="EP93" s="0"/>
      <c r="EQ93" s="0"/>
      <c r="ER93" s="0"/>
      <c r="ES93" s="0"/>
      <c r="ET93" s="0"/>
      <c r="EU93" s="0"/>
      <c r="EV93" s="0"/>
      <c r="EW93" s="0"/>
      <c r="EX93" s="0"/>
      <c r="EY93" s="0"/>
      <c r="EZ93" s="0"/>
      <c r="FA93" s="0"/>
      <c r="FB93" s="0"/>
      <c r="FC93" s="0"/>
      <c r="FD93" s="0"/>
      <c r="FE93" s="0"/>
      <c r="FF93" s="0"/>
      <c r="FG93" s="0"/>
      <c r="FH93" s="0"/>
      <c r="FI93" s="0"/>
      <c r="FJ93" s="0"/>
      <c r="FK93" s="0"/>
      <c r="FL93" s="0"/>
      <c r="FM93" s="0"/>
      <c r="FN93" s="0"/>
      <c r="FO93" s="0"/>
      <c r="FP93" s="0"/>
      <c r="FQ93" s="0"/>
      <c r="FR93" s="0"/>
      <c r="FS93" s="0"/>
      <c r="FT93" s="0"/>
      <c r="FU93" s="0"/>
      <c r="FV93" s="0"/>
      <c r="FW93" s="0"/>
      <c r="FX93" s="0"/>
      <c r="FY93" s="0"/>
      <c r="FZ93" s="0"/>
      <c r="GA93" s="0"/>
      <c r="GB93" s="0"/>
      <c r="GC93" s="0"/>
      <c r="GD93" s="0"/>
      <c r="GE93" s="0"/>
      <c r="GF93" s="0"/>
      <c r="GG93" s="0"/>
      <c r="GH93" s="0"/>
      <c r="GI93" s="0"/>
      <c r="GJ93" s="0"/>
      <c r="GK93" s="0"/>
      <c r="GL93" s="0"/>
      <c r="GM93" s="0"/>
      <c r="GN93" s="0"/>
      <c r="GO93" s="0"/>
      <c r="GP93" s="0"/>
      <c r="GQ93" s="0"/>
      <c r="GR93" s="0"/>
      <c r="GS93" s="0"/>
      <c r="GT93" s="0"/>
      <c r="GU93" s="0"/>
      <c r="GV93" s="0"/>
      <c r="GW93" s="0"/>
      <c r="GX93" s="0"/>
      <c r="GY93" s="0"/>
      <c r="GZ93" s="0"/>
      <c r="HA93" s="0"/>
      <c r="HB93" s="0"/>
      <c r="HC93" s="0"/>
      <c r="HD93" s="0"/>
      <c r="HE93" s="0"/>
      <c r="HF93" s="0"/>
      <c r="HG93" s="0"/>
      <c r="HH93" s="0"/>
      <c r="HI93" s="0"/>
      <c r="HJ93" s="0"/>
      <c r="HK93" s="0"/>
      <c r="HL93" s="0"/>
      <c r="HM93" s="0"/>
      <c r="HN93" s="0"/>
      <c r="HO93" s="0"/>
      <c r="HP93" s="0"/>
      <c r="HQ93" s="0"/>
      <c r="HR93" s="0"/>
      <c r="HS93" s="0"/>
      <c r="HT93" s="0"/>
      <c r="HU93" s="0"/>
      <c r="HV93" s="0"/>
      <c r="HW93" s="0"/>
      <c r="HX93" s="0"/>
      <c r="HY93" s="0"/>
      <c r="HZ93" s="0"/>
      <c r="IA93" s="0"/>
      <c r="IB93" s="0"/>
      <c r="IC93" s="0"/>
      <c r="ID93" s="0"/>
      <c r="IE93" s="0"/>
      <c r="IF93" s="0"/>
      <c r="IG93" s="0"/>
      <c r="IH93" s="0"/>
      <c r="II93" s="0"/>
      <c r="IJ93" s="0"/>
      <c r="IK93" s="0"/>
      <c r="IL93" s="0"/>
      <c r="IM93" s="0"/>
      <c r="IN93" s="0"/>
      <c r="IO93" s="0"/>
      <c r="IP93" s="0"/>
      <c r="IQ93" s="0"/>
      <c r="IR93" s="0"/>
      <c r="IS93" s="0"/>
      <c r="IT93" s="0"/>
      <c r="IU93" s="0"/>
      <c r="IV93" s="0"/>
      <c r="IW93" s="0"/>
    </row>
    <row r="94" customFormat="false" ht="12.6" hidden="false" customHeight="true" outlineLevel="0" collapsed="false">
      <c r="B94" s="743"/>
      <c r="D94" s="753"/>
      <c r="E94" s="753"/>
      <c r="F94" s="753"/>
      <c r="G94" s="753"/>
      <c r="H94" s="753"/>
      <c r="I94" s="753"/>
      <c r="J94" s="753"/>
      <c r="K94" s="753"/>
      <c r="L94" s="753"/>
      <c r="M94" s="753"/>
      <c r="N94" s="753"/>
      <c r="O94" s="753"/>
      <c r="P94" s="753"/>
      <c r="Q94" s="753"/>
      <c r="R94" s="753"/>
      <c r="S94" s="753"/>
      <c r="T94" s="753"/>
      <c r="U94" s="753"/>
      <c r="V94" s="753"/>
      <c r="W94" s="753"/>
      <c r="X94" s="754"/>
      <c r="Y94" s="754"/>
      <c r="Z94" s="754"/>
      <c r="AA94" s="754"/>
      <c r="AB94" s="754"/>
    </row>
    <row r="95" customFormat="false" ht="12.6" hidden="false" customHeight="true" outlineLevel="0" collapsed="false">
      <c r="B95" s="743"/>
      <c r="D95" s="753"/>
      <c r="E95" s="753"/>
      <c r="F95" s="753"/>
      <c r="G95" s="753"/>
      <c r="H95" s="753"/>
      <c r="I95" s="753"/>
      <c r="J95" s="753"/>
      <c r="K95" s="753"/>
      <c r="L95" s="753"/>
      <c r="M95" s="441"/>
      <c r="N95" s="441"/>
      <c r="O95" s="441"/>
      <c r="P95" s="441"/>
      <c r="Q95" s="441"/>
      <c r="R95" s="441"/>
      <c r="S95" s="441"/>
      <c r="T95" s="441"/>
      <c r="U95" s="441"/>
      <c r="V95" s="441"/>
      <c r="W95" s="441"/>
      <c r="X95" s="716"/>
      <c r="Y95" s="716"/>
      <c r="Z95" s="716"/>
      <c r="AA95" s="716"/>
      <c r="AB95" s="716"/>
    </row>
    <row r="96" customFormat="false" ht="12.6" hidden="false" customHeight="true" outlineLevel="0" collapsed="false">
      <c r="B96" s="743"/>
      <c r="D96" s="753"/>
      <c r="E96" s="753"/>
      <c r="F96" s="753"/>
      <c r="G96" s="753"/>
      <c r="H96" s="753"/>
      <c r="I96" s="753"/>
      <c r="J96" s="753"/>
      <c r="K96" s="753"/>
      <c r="L96" s="753"/>
      <c r="M96" s="441"/>
      <c r="N96" s="441"/>
      <c r="O96" s="441"/>
      <c r="P96" s="441"/>
      <c r="Q96" s="441"/>
      <c r="R96" s="441"/>
      <c r="S96" s="441"/>
      <c r="T96" s="441"/>
      <c r="U96" s="441"/>
      <c r="V96" s="441"/>
      <c r="W96" s="441"/>
      <c r="X96" s="716"/>
      <c r="Y96" s="716"/>
      <c r="Z96" s="716"/>
      <c r="AA96" s="716"/>
      <c r="AB96" s="716"/>
    </row>
    <row r="97" customFormat="false" ht="12.6" hidden="false" customHeight="true" outlineLevel="0" collapsed="false">
      <c r="B97" s="743"/>
      <c r="D97" s="441"/>
      <c r="E97" s="441"/>
      <c r="F97" s="441"/>
      <c r="G97" s="441"/>
      <c r="H97" s="441"/>
      <c r="I97" s="441"/>
      <c r="J97" s="441"/>
      <c r="K97" s="441"/>
      <c r="L97" s="441"/>
      <c r="M97" s="441"/>
      <c r="N97" s="441"/>
      <c r="O97" s="441"/>
      <c r="P97" s="441"/>
      <c r="Q97" s="441"/>
      <c r="R97" s="441"/>
      <c r="S97" s="441"/>
      <c r="T97" s="441"/>
      <c r="U97" s="441"/>
      <c r="V97" s="441"/>
      <c r="W97" s="441"/>
      <c r="X97" s="716"/>
      <c r="Y97" s="716"/>
      <c r="Z97" s="716"/>
      <c r="AA97" s="716"/>
      <c r="AB97" s="716"/>
    </row>
    <row r="98" customFormat="false" ht="12.6" hidden="false" customHeight="true" outlineLevel="0" collapsed="false">
      <c r="B98" s="743"/>
      <c r="D98" s="441"/>
      <c r="E98" s="441"/>
      <c r="F98" s="441"/>
      <c r="G98" s="441"/>
      <c r="H98" s="441"/>
      <c r="I98" s="441"/>
      <c r="J98" s="441"/>
      <c r="K98" s="441"/>
      <c r="L98" s="441"/>
      <c r="M98" s="441"/>
      <c r="N98" s="441"/>
      <c r="O98" s="441"/>
      <c r="P98" s="441"/>
      <c r="Q98" s="441"/>
      <c r="R98" s="441"/>
      <c r="S98" s="441"/>
      <c r="T98" s="441"/>
      <c r="U98" s="441"/>
      <c r="V98" s="441"/>
      <c r="W98" s="441"/>
      <c r="X98" s="716"/>
      <c r="Y98" s="716"/>
      <c r="Z98" s="716"/>
      <c r="AA98" s="716"/>
      <c r="AB98" s="716"/>
    </row>
    <row r="99" customFormat="false" ht="12.6" hidden="false" customHeight="true" outlineLevel="0" collapsed="false">
      <c r="A99" s="5"/>
      <c r="B99" s="5"/>
      <c r="C99" s="5"/>
      <c r="D99" s="5"/>
      <c r="E99" s="5"/>
      <c r="F99" s="5"/>
      <c r="G99" s="5"/>
      <c r="H99" s="5"/>
      <c r="I99" s="5"/>
      <c r="J99" s="5"/>
      <c r="K99" s="5"/>
      <c r="L99" s="5"/>
      <c r="M99" s="5"/>
      <c r="N99" s="5"/>
      <c r="O99" s="5"/>
      <c r="P99" s="5"/>
      <c r="Q99" s="5"/>
      <c r="R99" s="5"/>
      <c r="S99" s="5"/>
      <c r="T99" s="5"/>
      <c r="U99" s="5"/>
      <c r="V99" s="5"/>
      <c r="W99" s="5"/>
      <c r="X99" s="0"/>
      <c r="Y99" s="0"/>
      <c r="Z99" s="0"/>
      <c r="AA99" s="0"/>
      <c r="AB99" s="0"/>
      <c r="AC99" s="0"/>
      <c r="AD99" s="0"/>
      <c r="AF99" s="0"/>
      <c r="AG99" s="0"/>
      <c r="AH99" s="0"/>
      <c r="AI99" s="0"/>
      <c r="AJ99" s="0"/>
      <c r="AK99" s="0"/>
      <c r="AL99" s="0"/>
      <c r="AM99" s="0"/>
      <c r="AN99" s="0"/>
      <c r="AO99" s="0"/>
      <c r="AP99" s="0"/>
      <c r="AQ99" s="0"/>
      <c r="AR99" s="0"/>
      <c r="AS99" s="0"/>
      <c r="AT99" s="0"/>
      <c r="AU99" s="0"/>
      <c r="AV99" s="0"/>
      <c r="AW99" s="0"/>
      <c r="AX99" s="0"/>
      <c r="AY99" s="0"/>
      <c r="AZ99" s="0"/>
      <c r="BA99" s="0"/>
      <c r="BB99" s="0"/>
      <c r="BC99" s="0"/>
      <c r="BD99" s="0"/>
      <c r="BE99" s="0"/>
      <c r="BF99" s="0"/>
      <c r="BG99" s="0"/>
      <c r="BH99" s="0"/>
      <c r="BI99" s="0"/>
      <c r="BJ99" s="0"/>
      <c r="BK99" s="0"/>
      <c r="BL99" s="0"/>
      <c r="BM99" s="0"/>
      <c r="BN99" s="0"/>
      <c r="BO99" s="0"/>
      <c r="BP99" s="0"/>
      <c r="BQ99" s="0"/>
      <c r="BR99" s="0"/>
      <c r="BS99" s="0"/>
      <c r="BT99" s="0"/>
      <c r="BU99" s="0"/>
      <c r="BV99" s="0"/>
      <c r="BW99" s="0"/>
      <c r="BX99" s="0"/>
      <c r="BY99" s="0"/>
      <c r="BZ99" s="0"/>
      <c r="CA99" s="0"/>
      <c r="CB99" s="0"/>
      <c r="CC99" s="0"/>
      <c r="CD99" s="0"/>
      <c r="CE99" s="0"/>
      <c r="CF99" s="0"/>
      <c r="CG99" s="0"/>
      <c r="CH99" s="0"/>
      <c r="CI99" s="0"/>
      <c r="CJ99" s="0"/>
      <c r="CK99" s="0"/>
      <c r="CL99" s="0"/>
      <c r="CM99" s="0"/>
      <c r="CN99" s="0"/>
      <c r="CO99" s="0"/>
      <c r="CP99" s="0"/>
      <c r="CQ99" s="0"/>
      <c r="CR99" s="0"/>
      <c r="CS99" s="0"/>
      <c r="CT99" s="0"/>
      <c r="CU99" s="0"/>
      <c r="CV99" s="0"/>
      <c r="CW99" s="0"/>
      <c r="CX99" s="0"/>
      <c r="CY99" s="0"/>
      <c r="CZ99" s="0"/>
      <c r="DA99" s="0"/>
      <c r="DB99" s="0"/>
      <c r="DC99" s="0"/>
      <c r="DD99" s="0"/>
      <c r="DE99" s="0"/>
      <c r="DF99" s="0"/>
      <c r="DG99" s="0"/>
      <c r="DH99" s="0"/>
      <c r="DI99" s="0"/>
      <c r="DJ99" s="0"/>
      <c r="DK99" s="0"/>
      <c r="DL99" s="0"/>
      <c r="DM99" s="0"/>
      <c r="DN99" s="0"/>
      <c r="DO99" s="0"/>
      <c r="DP99" s="0"/>
      <c r="DQ99" s="0"/>
      <c r="DR99" s="0"/>
      <c r="DS99" s="0"/>
      <c r="DT99" s="0"/>
      <c r="DU99" s="0"/>
      <c r="DV99" s="0"/>
      <c r="DW99" s="0"/>
      <c r="DX99" s="0"/>
      <c r="DY99" s="0"/>
      <c r="DZ99" s="0"/>
      <c r="EA99" s="0"/>
      <c r="EB99" s="0"/>
      <c r="EC99" s="0"/>
      <c r="ED99" s="0"/>
      <c r="EE99" s="0"/>
      <c r="EF99" s="0"/>
      <c r="EG99" s="0"/>
      <c r="EH99" s="0"/>
      <c r="EI99" s="0"/>
      <c r="EJ99" s="0"/>
      <c r="EK99" s="0"/>
      <c r="EL99" s="0"/>
      <c r="EM99" s="0"/>
      <c r="EN99" s="0"/>
      <c r="EO99" s="0"/>
      <c r="EP99" s="0"/>
      <c r="EQ99" s="0"/>
      <c r="ER99" s="0"/>
      <c r="ES99" s="0"/>
      <c r="ET99" s="0"/>
      <c r="EU99" s="0"/>
      <c r="EV99" s="0"/>
      <c r="EW99" s="0"/>
      <c r="EX99" s="0"/>
      <c r="EY99" s="0"/>
      <c r="EZ99" s="0"/>
      <c r="FA99" s="0"/>
      <c r="FB99" s="0"/>
      <c r="FC99" s="0"/>
      <c r="FD99" s="0"/>
      <c r="FE99" s="0"/>
      <c r="FF99" s="0"/>
      <c r="FG99" s="0"/>
      <c r="FH99" s="0"/>
      <c r="FI99" s="0"/>
      <c r="FJ99" s="0"/>
      <c r="FK99" s="0"/>
      <c r="FL99" s="0"/>
      <c r="FM99" s="0"/>
      <c r="FN99" s="0"/>
      <c r="FO99" s="0"/>
      <c r="FP99" s="0"/>
      <c r="FQ99" s="0"/>
      <c r="FR99" s="0"/>
      <c r="FS99" s="0"/>
      <c r="FT99" s="0"/>
      <c r="FU99" s="0"/>
      <c r="FV99" s="0"/>
      <c r="FW99" s="0"/>
      <c r="FX99" s="0"/>
      <c r="FY99" s="0"/>
      <c r="FZ99" s="0"/>
      <c r="GA99" s="0"/>
      <c r="GB99" s="0"/>
      <c r="GC99" s="0"/>
      <c r="GD99" s="0"/>
      <c r="GE99" s="0"/>
      <c r="GF99" s="0"/>
      <c r="GG99" s="0"/>
      <c r="GH99" s="0"/>
      <c r="GI99" s="0"/>
      <c r="GJ99" s="0"/>
      <c r="GK99" s="0"/>
      <c r="GL99" s="0"/>
      <c r="GM99" s="0"/>
      <c r="GN99" s="0"/>
      <c r="GO99" s="0"/>
      <c r="GP99" s="0"/>
      <c r="GQ99" s="0"/>
      <c r="GR99" s="0"/>
      <c r="GS99" s="0"/>
      <c r="GT99" s="0"/>
      <c r="GU99" s="0"/>
      <c r="GV99" s="0"/>
      <c r="GW99" s="0"/>
      <c r="GX99" s="0"/>
      <c r="GY99" s="0"/>
      <c r="GZ99" s="0"/>
      <c r="HA99" s="0"/>
      <c r="HB99" s="0"/>
      <c r="HC99" s="0"/>
      <c r="HD99" s="0"/>
      <c r="HE99" s="0"/>
      <c r="HF99" s="0"/>
      <c r="HG99" s="0"/>
      <c r="HH99" s="0"/>
      <c r="HI99" s="0"/>
      <c r="HJ99" s="0"/>
      <c r="HK99" s="0"/>
      <c r="HL99" s="0"/>
      <c r="HM99" s="0"/>
      <c r="HN99" s="0"/>
      <c r="HO99" s="0"/>
      <c r="HP99" s="0"/>
      <c r="HQ99" s="0"/>
      <c r="HR99" s="0"/>
      <c r="HS99" s="0"/>
      <c r="HT99" s="0"/>
      <c r="HU99" s="0"/>
      <c r="HV99" s="0"/>
      <c r="HW99" s="0"/>
      <c r="HX99" s="0"/>
      <c r="HY99" s="0"/>
      <c r="HZ99" s="0"/>
      <c r="IA99" s="0"/>
      <c r="IB99" s="0"/>
      <c r="IC99" s="0"/>
      <c r="ID99" s="0"/>
      <c r="IE99" s="0"/>
      <c r="IF99" s="0"/>
      <c r="IG99" s="0"/>
      <c r="IH99" s="0"/>
      <c r="II99" s="0"/>
      <c r="IJ99" s="0"/>
      <c r="IK99" s="0"/>
      <c r="IL99" s="0"/>
      <c r="IM99" s="0"/>
      <c r="IN99" s="0"/>
      <c r="IO99" s="0"/>
      <c r="IP99" s="0"/>
      <c r="IQ99" s="0"/>
      <c r="IR99" s="0"/>
      <c r="IS99" s="0"/>
      <c r="IT99" s="0"/>
      <c r="IU99" s="0"/>
      <c r="IV99" s="0"/>
      <c r="IW99" s="0"/>
    </row>
    <row r="100" customFormat="false" ht="12.6" hidden="false" customHeight="true" outlineLevel="0" collapsed="false">
      <c r="A100" s="5"/>
      <c r="B100" s="5"/>
      <c r="C100" s="5"/>
      <c r="D100" s="5"/>
      <c r="E100" s="5"/>
      <c r="F100" s="5"/>
      <c r="G100" s="5"/>
      <c r="H100" s="5"/>
      <c r="I100" s="5"/>
      <c r="J100" s="5"/>
      <c r="K100" s="5"/>
      <c r="L100" s="5"/>
      <c r="M100" s="5"/>
      <c r="N100" s="5"/>
      <c r="O100" s="5"/>
      <c r="P100" s="5"/>
      <c r="Q100" s="5"/>
      <c r="R100" s="5"/>
      <c r="S100" s="5"/>
      <c r="T100" s="5"/>
      <c r="U100" s="5"/>
      <c r="V100" s="5"/>
      <c r="W100" s="5"/>
      <c r="X100" s="0"/>
      <c r="Y100" s="0"/>
      <c r="Z100" s="0"/>
      <c r="AA100" s="0"/>
      <c r="AB100" s="0"/>
      <c r="AC100" s="0"/>
      <c r="AD100" s="0"/>
      <c r="AF100" s="0"/>
      <c r="AG100" s="0"/>
      <c r="AH100" s="0"/>
      <c r="AI100" s="0"/>
      <c r="AJ100" s="0"/>
      <c r="AK100" s="0"/>
      <c r="AL100" s="0"/>
      <c r="AM100" s="0"/>
      <c r="AN100" s="0"/>
      <c r="AO100" s="0"/>
      <c r="AP100" s="0"/>
      <c r="AQ100" s="0"/>
      <c r="AR100" s="0"/>
      <c r="AS100" s="0"/>
      <c r="AT100" s="0"/>
      <c r="AU100" s="0"/>
      <c r="AV100" s="0"/>
      <c r="AW100" s="0"/>
      <c r="AX100" s="0"/>
      <c r="AY100" s="0"/>
      <c r="AZ100" s="0"/>
      <c r="BA100" s="0"/>
      <c r="BB100" s="0"/>
      <c r="BC100" s="0"/>
      <c r="BD100" s="0"/>
      <c r="BE100" s="0"/>
      <c r="BF100" s="0"/>
      <c r="BG100" s="0"/>
      <c r="BH100" s="0"/>
      <c r="BI100" s="0"/>
      <c r="BJ100" s="0"/>
      <c r="BK100" s="0"/>
      <c r="BL100" s="0"/>
      <c r="BM100" s="0"/>
      <c r="BN100" s="0"/>
      <c r="BO100" s="0"/>
      <c r="BP100" s="0"/>
      <c r="BQ100" s="0"/>
      <c r="BR100" s="0"/>
      <c r="BS100" s="0"/>
      <c r="BT100" s="0"/>
      <c r="BU100" s="0"/>
      <c r="BV100" s="0"/>
      <c r="BW100" s="0"/>
      <c r="BX100" s="0"/>
      <c r="BY100" s="0"/>
      <c r="BZ100" s="0"/>
      <c r="CA100" s="0"/>
      <c r="CB100" s="0"/>
      <c r="CC100" s="0"/>
      <c r="CD100" s="0"/>
      <c r="CE100" s="0"/>
      <c r="CF100" s="0"/>
      <c r="CG100" s="0"/>
      <c r="CH100" s="0"/>
      <c r="CI100" s="0"/>
      <c r="CJ100" s="0"/>
      <c r="CK100" s="0"/>
      <c r="CL100" s="0"/>
      <c r="CM100" s="0"/>
      <c r="CN100" s="0"/>
      <c r="CO100" s="0"/>
      <c r="CP100" s="0"/>
      <c r="CQ100" s="0"/>
      <c r="CR100" s="0"/>
      <c r="CS100" s="0"/>
      <c r="CT100" s="0"/>
      <c r="CU100" s="0"/>
      <c r="CV100" s="0"/>
      <c r="CW100" s="0"/>
      <c r="CX100" s="0"/>
      <c r="CY100" s="0"/>
      <c r="CZ100" s="0"/>
      <c r="DA100" s="0"/>
      <c r="DB100" s="0"/>
      <c r="DC100" s="0"/>
      <c r="DD100" s="0"/>
      <c r="DE100" s="0"/>
      <c r="DF100" s="0"/>
      <c r="DG100" s="0"/>
      <c r="DH100" s="0"/>
      <c r="DI100" s="0"/>
      <c r="DJ100" s="0"/>
      <c r="DK100" s="0"/>
      <c r="DL100" s="0"/>
      <c r="DM100" s="0"/>
      <c r="DN100" s="0"/>
      <c r="DO100" s="0"/>
      <c r="DP100" s="0"/>
      <c r="DQ100" s="0"/>
      <c r="DR100" s="0"/>
      <c r="DS100" s="0"/>
      <c r="DT100" s="0"/>
      <c r="DU100" s="0"/>
      <c r="DV100" s="0"/>
      <c r="DW100" s="0"/>
      <c r="DX100" s="0"/>
      <c r="DY100" s="0"/>
      <c r="DZ100" s="0"/>
      <c r="EA100" s="0"/>
      <c r="EB100" s="0"/>
      <c r="EC100" s="0"/>
      <c r="ED100" s="0"/>
      <c r="EE100" s="0"/>
      <c r="EF100" s="0"/>
      <c r="EG100" s="0"/>
      <c r="EH100" s="0"/>
      <c r="EI100" s="0"/>
      <c r="EJ100" s="0"/>
      <c r="EK100" s="0"/>
      <c r="EL100" s="0"/>
      <c r="EM100" s="0"/>
      <c r="EN100" s="0"/>
      <c r="EO100" s="0"/>
      <c r="EP100" s="0"/>
      <c r="EQ100" s="0"/>
      <c r="ER100" s="0"/>
      <c r="ES100" s="0"/>
      <c r="ET100" s="0"/>
      <c r="EU100" s="0"/>
      <c r="EV100" s="0"/>
      <c r="EW100" s="0"/>
      <c r="EX100" s="0"/>
      <c r="EY100" s="0"/>
      <c r="EZ100" s="0"/>
      <c r="FA100" s="0"/>
      <c r="FB100" s="0"/>
      <c r="FC100" s="0"/>
      <c r="FD100" s="0"/>
      <c r="FE100" s="0"/>
      <c r="FF100" s="0"/>
      <c r="FG100" s="0"/>
      <c r="FH100" s="0"/>
      <c r="FI100" s="0"/>
      <c r="FJ100" s="0"/>
      <c r="FK100" s="0"/>
      <c r="FL100" s="0"/>
      <c r="FM100" s="0"/>
      <c r="FN100" s="0"/>
      <c r="FO100" s="0"/>
      <c r="FP100" s="0"/>
      <c r="FQ100" s="0"/>
      <c r="FR100" s="0"/>
      <c r="FS100" s="0"/>
      <c r="FT100" s="0"/>
      <c r="FU100" s="0"/>
      <c r="FV100" s="0"/>
      <c r="FW100" s="0"/>
      <c r="FX100" s="0"/>
      <c r="FY100" s="0"/>
      <c r="FZ100" s="0"/>
      <c r="GA100" s="0"/>
      <c r="GB100" s="0"/>
      <c r="GC100" s="0"/>
      <c r="GD100" s="0"/>
      <c r="GE100" s="0"/>
      <c r="GF100" s="0"/>
      <c r="GG100" s="0"/>
      <c r="GH100" s="0"/>
      <c r="GI100" s="0"/>
      <c r="GJ100" s="0"/>
      <c r="GK100" s="0"/>
      <c r="GL100" s="0"/>
      <c r="GM100" s="0"/>
      <c r="GN100" s="0"/>
      <c r="GO100" s="0"/>
      <c r="GP100" s="0"/>
      <c r="GQ100" s="0"/>
      <c r="GR100" s="0"/>
      <c r="GS100" s="0"/>
      <c r="GT100" s="0"/>
      <c r="GU100" s="0"/>
      <c r="GV100" s="0"/>
      <c r="GW100" s="0"/>
      <c r="GX100" s="0"/>
      <c r="GY100" s="0"/>
      <c r="GZ100" s="0"/>
      <c r="HA100" s="0"/>
      <c r="HB100" s="0"/>
      <c r="HC100" s="0"/>
      <c r="HD100" s="0"/>
      <c r="HE100" s="0"/>
      <c r="HF100" s="0"/>
      <c r="HG100" s="0"/>
      <c r="HH100" s="0"/>
      <c r="HI100" s="0"/>
      <c r="HJ100" s="0"/>
      <c r="HK100" s="0"/>
      <c r="HL100" s="0"/>
      <c r="HM100" s="0"/>
      <c r="HN100" s="0"/>
      <c r="HO100" s="0"/>
      <c r="HP100" s="0"/>
      <c r="HQ100" s="0"/>
      <c r="HR100" s="0"/>
      <c r="HS100" s="0"/>
      <c r="HT100" s="0"/>
      <c r="HU100" s="0"/>
      <c r="HV100" s="0"/>
      <c r="HW100" s="0"/>
      <c r="HX100" s="0"/>
      <c r="HY100" s="0"/>
      <c r="HZ100" s="0"/>
      <c r="IA100" s="0"/>
      <c r="IB100" s="0"/>
      <c r="IC100" s="0"/>
      <c r="ID100" s="0"/>
      <c r="IE100" s="0"/>
      <c r="IF100" s="0"/>
      <c r="IG100" s="0"/>
      <c r="IH100" s="0"/>
      <c r="II100" s="0"/>
      <c r="IJ100" s="0"/>
      <c r="IK100" s="0"/>
      <c r="IL100" s="0"/>
      <c r="IM100" s="0"/>
      <c r="IN100" s="0"/>
      <c r="IO100" s="0"/>
      <c r="IP100" s="0"/>
      <c r="IQ100" s="0"/>
      <c r="IR100" s="0"/>
      <c r="IS100" s="0"/>
      <c r="IT100" s="0"/>
      <c r="IU100" s="0"/>
      <c r="IV100" s="0"/>
      <c r="IW100" s="0"/>
    </row>
    <row r="101" customFormat="false" ht="12.6" hidden="false" customHeight="true" outlineLevel="0" collapsed="false">
      <c r="A101" s="5"/>
      <c r="B101" s="5"/>
      <c r="C101" s="5"/>
      <c r="D101" s="5"/>
      <c r="E101" s="5"/>
      <c r="F101" s="5"/>
      <c r="G101" s="5"/>
      <c r="H101" s="5"/>
      <c r="I101" s="5"/>
      <c r="J101" s="5"/>
      <c r="K101" s="5"/>
      <c r="L101" s="5"/>
      <c r="M101" s="5"/>
      <c r="N101" s="5"/>
      <c r="O101" s="5"/>
      <c r="P101" s="5"/>
      <c r="Q101" s="5"/>
      <c r="R101" s="5"/>
      <c r="S101" s="5"/>
      <c r="T101" s="5"/>
      <c r="U101" s="5"/>
      <c r="V101" s="5"/>
      <c r="W101" s="5"/>
      <c r="X101" s="0"/>
      <c r="Y101" s="0"/>
      <c r="Z101" s="0"/>
      <c r="AA101" s="0"/>
      <c r="AB101" s="0"/>
      <c r="AC101" s="0"/>
      <c r="AD101" s="0"/>
      <c r="AF101" s="0"/>
      <c r="AG101" s="0"/>
      <c r="AH101" s="0"/>
      <c r="AI101" s="0"/>
      <c r="AJ101" s="0"/>
      <c r="AK101" s="0"/>
      <c r="AL101" s="0"/>
      <c r="AM101" s="0"/>
      <c r="AN101" s="0"/>
      <c r="AO101" s="0"/>
      <c r="AP101" s="0"/>
      <c r="AQ101" s="0"/>
      <c r="AR101" s="0"/>
      <c r="AS101" s="0"/>
      <c r="AT101" s="0"/>
      <c r="AU101" s="0"/>
      <c r="AV101" s="0"/>
      <c r="AW101" s="0"/>
      <c r="AX101" s="0"/>
      <c r="AY101" s="0"/>
      <c r="AZ101" s="0"/>
      <c r="BA101" s="0"/>
      <c r="BB101" s="0"/>
      <c r="BC101" s="0"/>
      <c r="BD101" s="0"/>
      <c r="BE101" s="0"/>
      <c r="BF101" s="0"/>
      <c r="BG101" s="0"/>
      <c r="BH101" s="0"/>
      <c r="BI101" s="0"/>
      <c r="BJ101" s="0"/>
      <c r="BK101" s="0"/>
      <c r="BL101" s="0"/>
      <c r="BM101" s="0"/>
      <c r="BN101" s="0"/>
      <c r="BO101" s="0"/>
      <c r="BP101" s="0"/>
      <c r="BQ101" s="0"/>
      <c r="BR101" s="0"/>
      <c r="BS101" s="0"/>
      <c r="BT101" s="0"/>
      <c r="BU101" s="0"/>
      <c r="BV101" s="0"/>
      <c r="BW101" s="0"/>
      <c r="BX101" s="0"/>
      <c r="BY101" s="0"/>
      <c r="BZ101" s="0"/>
      <c r="CA101" s="0"/>
      <c r="CB101" s="0"/>
      <c r="CC101" s="0"/>
      <c r="CD101" s="0"/>
      <c r="CE101" s="0"/>
      <c r="CF101" s="0"/>
      <c r="CG101" s="0"/>
      <c r="CH101" s="0"/>
      <c r="CI101" s="0"/>
      <c r="CJ101" s="0"/>
      <c r="CK101" s="0"/>
      <c r="CL101" s="0"/>
      <c r="CM101" s="0"/>
      <c r="CN101" s="0"/>
      <c r="CO101" s="0"/>
      <c r="CP101" s="0"/>
      <c r="CQ101" s="0"/>
      <c r="CR101" s="0"/>
      <c r="CS101" s="0"/>
      <c r="CT101" s="0"/>
      <c r="CU101" s="0"/>
      <c r="CV101" s="0"/>
      <c r="CW101" s="0"/>
      <c r="CX101" s="0"/>
      <c r="CY101" s="0"/>
      <c r="CZ101" s="0"/>
      <c r="DA101" s="0"/>
      <c r="DB101" s="0"/>
      <c r="DC101" s="0"/>
      <c r="DD101" s="0"/>
      <c r="DE101" s="0"/>
      <c r="DF101" s="0"/>
      <c r="DG101" s="0"/>
      <c r="DH101" s="0"/>
      <c r="DI101" s="0"/>
      <c r="DJ101" s="0"/>
      <c r="DK101" s="0"/>
      <c r="DL101" s="0"/>
      <c r="DM101" s="0"/>
      <c r="DN101" s="0"/>
      <c r="DO101" s="0"/>
      <c r="DP101" s="0"/>
      <c r="DQ101" s="0"/>
      <c r="DR101" s="0"/>
      <c r="DS101" s="0"/>
      <c r="DT101" s="0"/>
      <c r="DU101" s="0"/>
      <c r="DV101" s="0"/>
      <c r="DW101" s="0"/>
      <c r="DX101" s="0"/>
      <c r="DY101" s="0"/>
      <c r="DZ101" s="0"/>
      <c r="EA101" s="0"/>
      <c r="EB101" s="0"/>
      <c r="EC101" s="0"/>
      <c r="ED101" s="0"/>
      <c r="EE101" s="0"/>
      <c r="EF101" s="0"/>
      <c r="EG101" s="0"/>
      <c r="EH101" s="0"/>
      <c r="EI101" s="0"/>
      <c r="EJ101" s="0"/>
      <c r="EK101" s="0"/>
      <c r="EL101" s="0"/>
      <c r="EM101" s="0"/>
      <c r="EN101" s="0"/>
      <c r="EO101" s="0"/>
      <c r="EP101" s="0"/>
      <c r="EQ101" s="0"/>
      <c r="ER101" s="0"/>
      <c r="ES101" s="0"/>
      <c r="ET101" s="0"/>
      <c r="EU101" s="0"/>
      <c r="EV101" s="0"/>
      <c r="EW101" s="0"/>
      <c r="EX101" s="0"/>
      <c r="EY101" s="0"/>
      <c r="EZ101" s="0"/>
      <c r="FA101" s="0"/>
      <c r="FB101" s="0"/>
      <c r="FC101" s="0"/>
      <c r="FD101" s="0"/>
      <c r="FE101" s="0"/>
      <c r="FF101" s="0"/>
      <c r="FG101" s="0"/>
      <c r="FH101" s="0"/>
      <c r="FI101" s="0"/>
      <c r="FJ101" s="0"/>
      <c r="FK101" s="0"/>
      <c r="FL101" s="0"/>
      <c r="FM101" s="0"/>
      <c r="FN101" s="0"/>
      <c r="FO101" s="0"/>
      <c r="FP101" s="0"/>
      <c r="FQ101" s="0"/>
      <c r="FR101" s="0"/>
      <c r="FS101" s="0"/>
      <c r="FT101" s="0"/>
      <c r="FU101" s="0"/>
      <c r="FV101" s="0"/>
      <c r="FW101" s="0"/>
      <c r="FX101" s="0"/>
      <c r="FY101" s="0"/>
      <c r="FZ101" s="0"/>
      <c r="GA101" s="0"/>
      <c r="GB101" s="0"/>
      <c r="GC101" s="0"/>
      <c r="GD101" s="0"/>
      <c r="GE101" s="0"/>
      <c r="GF101" s="0"/>
      <c r="GG101" s="0"/>
      <c r="GH101" s="0"/>
      <c r="GI101" s="0"/>
      <c r="GJ101" s="0"/>
      <c r="GK101" s="0"/>
      <c r="GL101" s="0"/>
      <c r="GM101" s="0"/>
      <c r="GN101" s="0"/>
      <c r="GO101" s="0"/>
      <c r="GP101" s="0"/>
      <c r="GQ101" s="0"/>
      <c r="GR101" s="0"/>
      <c r="GS101" s="0"/>
      <c r="GT101" s="0"/>
      <c r="GU101" s="0"/>
      <c r="GV101" s="0"/>
      <c r="GW101" s="0"/>
      <c r="GX101" s="0"/>
      <c r="GY101" s="0"/>
      <c r="GZ101" s="0"/>
      <c r="HA101" s="0"/>
      <c r="HB101" s="0"/>
      <c r="HC101" s="0"/>
      <c r="HD101" s="0"/>
      <c r="HE101" s="0"/>
      <c r="HF101" s="0"/>
      <c r="HG101" s="0"/>
      <c r="HH101" s="0"/>
      <c r="HI101" s="0"/>
      <c r="HJ101" s="0"/>
      <c r="HK101" s="0"/>
      <c r="HL101" s="0"/>
      <c r="HM101" s="0"/>
      <c r="HN101" s="0"/>
      <c r="HO101" s="0"/>
      <c r="HP101" s="0"/>
      <c r="HQ101" s="0"/>
      <c r="HR101" s="0"/>
      <c r="HS101" s="0"/>
      <c r="HT101" s="0"/>
      <c r="HU101" s="0"/>
      <c r="HV101" s="0"/>
      <c r="HW101" s="0"/>
      <c r="HX101" s="0"/>
      <c r="HY101" s="0"/>
      <c r="HZ101" s="0"/>
      <c r="IA101" s="0"/>
      <c r="IB101" s="0"/>
      <c r="IC101" s="0"/>
      <c r="ID101" s="0"/>
      <c r="IE101" s="0"/>
      <c r="IF101" s="0"/>
      <c r="IG101" s="0"/>
      <c r="IH101" s="0"/>
      <c r="II101" s="0"/>
      <c r="IJ101" s="0"/>
      <c r="IK101" s="0"/>
      <c r="IL101" s="0"/>
      <c r="IM101" s="0"/>
      <c r="IN101" s="0"/>
      <c r="IO101" s="0"/>
      <c r="IP101" s="0"/>
      <c r="IQ101" s="0"/>
      <c r="IR101" s="0"/>
      <c r="IS101" s="0"/>
      <c r="IT101" s="0"/>
      <c r="IU101" s="0"/>
      <c r="IV101" s="0"/>
      <c r="IW101" s="0"/>
    </row>
    <row r="102" customFormat="false" ht="12.6" hidden="false" customHeight="true" outlineLevel="0" collapsed="false">
      <c r="B102" s="743"/>
      <c r="D102" s="755"/>
      <c r="E102" s="755"/>
      <c r="F102" s="755"/>
      <c r="G102" s="755"/>
      <c r="H102" s="755"/>
      <c r="I102" s="755"/>
      <c r="J102" s="755"/>
      <c r="K102" s="755"/>
      <c r="L102" s="755"/>
      <c r="M102" s="755"/>
      <c r="N102" s="755"/>
      <c r="O102" s="755"/>
      <c r="P102" s="755"/>
      <c r="Q102" s="755"/>
      <c r="R102" s="755"/>
      <c r="S102" s="755"/>
      <c r="T102" s="755"/>
      <c r="U102" s="755"/>
      <c r="V102" s="755"/>
      <c r="W102" s="755"/>
      <c r="X102" s="756"/>
      <c r="Y102" s="756"/>
      <c r="Z102" s="756"/>
      <c r="AA102" s="756"/>
      <c r="AB102" s="756"/>
    </row>
    <row r="103" customFormat="false" ht="12.6" hidden="false" customHeight="true" outlineLevel="0" collapsed="false">
      <c r="B103" s="743"/>
      <c r="D103" s="441"/>
      <c r="E103" s="441"/>
      <c r="F103" s="441"/>
      <c r="G103" s="441"/>
      <c r="H103" s="441"/>
      <c r="I103" s="441"/>
      <c r="J103" s="441"/>
      <c r="K103" s="441"/>
      <c r="L103" s="441"/>
      <c r="M103" s="441"/>
      <c r="N103" s="441"/>
      <c r="O103" s="441"/>
      <c r="P103" s="441"/>
      <c r="Q103" s="441"/>
      <c r="R103" s="441"/>
      <c r="S103" s="441"/>
      <c r="T103" s="441"/>
      <c r="U103" s="441"/>
      <c r="V103" s="441"/>
      <c r="W103" s="441"/>
      <c r="X103" s="716"/>
      <c r="Y103" s="716"/>
      <c r="Z103" s="716"/>
      <c r="AA103" s="716"/>
      <c r="AB103" s="716"/>
    </row>
    <row r="114" customFormat="false" ht="12.6" hidden="false" customHeight="true" outlineLevel="0" collapsed="false">
      <c r="A114" s="5"/>
      <c r="B114" s="5"/>
      <c r="C114" s="5"/>
      <c r="D114" s="5"/>
      <c r="E114" s="5"/>
      <c r="F114" s="5"/>
      <c r="G114" s="5"/>
      <c r="H114" s="5"/>
      <c r="I114" s="5"/>
      <c r="J114" s="5"/>
      <c r="K114" s="5"/>
      <c r="L114" s="5"/>
      <c r="M114" s="5"/>
      <c r="N114" s="5"/>
      <c r="O114" s="5"/>
      <c r="P114" s="5"/>
      <c r="Q114" s="5"/>
      <c r="R114" s="5"/>
      <c r="S114" s="5"/>
      <c r="T114" s="5"/>
      <c r="U114" s="5"/>
      <c r="V114" s="5"/>
      <c r="W114" s="5"/>
      <c r="X114" s="0"/>
      <c r="Y114" s="0"/>
      <c r="Z114" s="0"/>
      <c r="AA114" s="0"/>
      <c r="AB114" s="0"/>
      <c r="AC114" s="0"/>
      <c r="AD114" s="0"/>
      <c r="AF114" s="0"/>
      <c r="AG114" s="0"/>
      <c r="AH114" s="0"/>
      <c r="AI114" s="0"/>
      <c r="AJ114" s="0"/>
      <c r="AK114" s="0"/>
      <c r="AL114" s="0"/>
      <c r="AM114" s="0"/>
      <c r="AN114" s="0"/>
      <c r="AO114" s="0"/>
      <c r="AP114" s="0"/>
      <c r="AQ114" s="0"/>
      <c r="AR114" s="0"/>
      <c r="AS114" s="0"/>
      <c r="AT114" s="0"/>
      <c r="AU114" s="0"/>
      <c r="AV114" s="0"/>
      <c r="AW114" s="0"/>
      <c r="AX114" s="0"/>
      <c r="AY114" s="0"/>
      <c r="AZ114" s="0"/>
      <c r="BA114" s="0"/>
      <c r="BB114" s="0"/>
      <c r="BC114" s="0"/>
      <c r="BD114" s="0"/>
      <c r="BE114" s="0"/>
      <c r="BF114" s="0"/>
      <c r="BG114" s="0"/>
      <c r="BH114" s="0"/>
      <c r="BI114" s="0"/>
      <c r="BJ114" s="0"/>
      <c r="BK114" s="0"/>
      <c r="BL114" s="0"/>
      <c r="BM114" s="0"/>
      <c r="BN114" s="0"/>
      <c r="BO114" s="0"/>
      <c r="BP114" s="0"/>
      <c r="BQ114" s="0"/>
      <c r="BR114" s="0"/>
      <c r="BS114" s="0"/>
      <c r="BT114" s="0"/>
      <c r="BU114" s="0"/>
      <c r="BV114" s="0"/>
      <c r="BW114" s="0"/>
      <c r="BX114" s="0"/>
      <c r="BY114" s="0"/>
      <c r="BZ114" s="0"/>
      <c r="CA114" s="0"/>
      <c r="CB114" s="0"/>
      <c r="CC114" s="0"/>
      <c r="CD114" s="0"/>
      <c r="CE114" s="0"/>
      <c r="CF114" s="0"/>
      <c r="CG114" s="0"/>
      <c r="CH114" s="0"/>
      <c r="CI114" s="0"/>
      <c r="CJ114" s="0"/>
      <c r="CK114" s="0"/>
      <c r="CL114" s="0"/>
      <c r="CM114" s="0"/>
      <c r="CN114" s="0"/>
      <c r="CO114" s="0"/>
      <c r="CP114" s="0"/>
      <c r="CQ114" s="0"/>
      <c r="CR114" s="0"/>
      <c r="CS114" s="0"/>
      <c r="CT114" s="0"/>
      <c r="CU114" s="0"/>
      <c r="CV114" s="0"/>
      <c r="CW114" s="0"/>
      <c r="CX114" s="0"/>
      <c r="CY114" s="0"/>
      <c r="CZ114" s="0"/>
      <c r="DA114" s="0"/>
      <c r="DB114" s="0"/>
      <c r="DC114" s="0"/>
      <c r="DD114" s="0"/>
      <c r="DE114" s="0"/>
      <c r="DF114" s="0"/>
      <c r="DG114" s="0"/>
      <c r="DH114" s="0"/>
      <c r="DI114" s="0"/>
      <c r="DJ114" s="0"/>
      <c r="DK114" s="0"/>
      <c r="DL114" s="0"/>
      <c r="DM114" s="0"/>
      <c r="DN114" s="0"/>
      <c r="DO114" s="0"/>
      <c r="DP114" s="0"/>
      <c r="DQ114" s="0"/>
      <c r="DR114" s="0"/>
      <c r="DS114" s="0"/>
      <c r="DT114" s="0"/>
      <c r="DU114" s="0"/>
      <c r="DV114" s="0"/>
      <c r="DW114" s="0"/>
      <c r="DX114" s="0"/>
      <c r="DY114" s="0"/>
      <c r="DZ114" s="0"/>
      <c r="EA114" s="0"/>
      <c r="EB114" s="0"/>
      <c r="EC114" s="0"/>
      <c r="ED114" s="0"/>
      <c r="EE114" s="0"/>
      <c r="EF114" s="0"/>
      <c r="EG114" s="0"/>
      <c r="EH114" s="0"/>
      <c r="EI114" s="0"/>
      <c r="EJ114" s="0"/>
      <c r="EK114" s="0"/>
      <c r="EL114" s="0"/>
      <c r="EM114" s="0"/>
      <c r="EN114" s="0"/>
      <c r="EO114" s="0"/>
      <c r="EP114" s="0"/>
      <c r="EQ114" s="0"/>
      <c r="ER114" s="0"/>
      <c r="ES114" s="0"/>
      <c r="ET114" s="0"/>
      <c r="EU114" s="0"/>
      <c r="EV114" s="0"/>
      <c r="EW114" s="0"/>
      <c r="EX114" s="0"/>
      <c r="EY114" s="0"/>
      <c r="EZ114" s="0"/>
      <c r="FA114" s="0"/>
      <c r="FB114" s="0"/>
      <c r="FC114" s="0"/>
      <c r="FD114" s="0"/>
      <c r="FE114" s="0"/>
      <c r="FF114" s="0"/>
      <c r="FG114" s="0"/>
      <c r="FH114" s="0"/>
      <c r="FI114" s="0"/>
      <c r="FJ114" s="0"/>
      <c r="FK114" s="0"/>
      <c r="FL114" s="0"/>
      <c r="FM114" s="0"/>
      <c r="FN114" s="0"/>
      <c r="FO114" s="0"/>
      <c r="FP114" s="0"/>
      <c r="FQ114" s="0"/>
      <c r="FR114" s="0"/>
      <c r="FS114" s="0"/>
      <c r="FT114" s="0"/>
      <c r="FU114" s="0"/>
      <c r="FV114" s="0"/>
      <c r="FW114" s="0"/>
      <c r="FX114" s="0"/>
      <c r="FY114" s="0"/>
      <c r="FZ114" s="0"/>
      <c r="GA114" s="0"/>
      <c r="GB114" s="0"/>
      <c r="GC114" s="0"/>
      <c r="GD114" s="0"/>
      <c r="GE114" s="0"/>
      <c r="GF114" s="0"/>
      <c r="GG114" s="0"/>
      <c r="GH114" s="0"/>
      <c r="GI114" s="0"/>
      <c r="GJ114" s="0"/>
      <c r="GK114" s="0"/>
      <c r="GL114" s="0"/>
      <c r="GM114" s="0"/>
      <c r="GN114" s="0"/>
      <c r="GO114" s="0"/>
      <c r="GP114" s="0"/>
      <c r="GQ114" s="0"/>
      <c r="GR114" s="0"/>
      <c r="GS114" s="0"/>
      <c r="GT114" s="0"/>
      <c r="GU114" s="0"/>
      <c r="GV114" s="0"/>
      <c r="GW114" s="0"/>
      <c r="GX114" s="0"/>
      <c r="GY114" s="0"/>
      <c r="GZ114" s="0"/>
      <c r="HA114" s="0"/>
      <c r="HB114" s="0"/>
      <c r="HC114" s="0"/>
      <c r="HD114" s="0"/>
      <c r="HE114" s="0"/>
      <c r="HF114" s="0"/>
      <c r="HG114" s="0"/>
      <c r="HH114" s="0"/>
      <c r="HI114" s="0"/>
      <c r="HJ114" s="0"/>
      <c r="HK114" s="0"/>
      <c r="HL114" s="0"/>
      <c r="HM114" s="0"/>
      <c r="HN114" s="0"/>
      <c r="HO114" s="0"/>
      <c r="HP114" s="0"/>
      <c r="HQ114" s="0"/>
      <c r="HR114" s="0"/>
      <c r="HS114" s="0"/>
      <c r="HT114" s="0"/>
      <c r="HU114" s="0"/>
      <c r="HV114" s="0"/>
      <c r="HW114" s="0"/>
      <c r="HX114" s="0"/>
      <c r="HY114" s="0"/>
      <c r="HZ114" s="0"/>
      <c r="IA114" s="0"/>
      <c r="IB114" s="0"/>
      <c r="IC114" s="0"/>
      <c r="ID114" s="0"/>
      <c r="IE114" s="0"/>
      <c r="IF114" s="0"/>
      <c r="IG114" s="0"/>
      <c r="IH114" s="0"/>
      <c r="II114" s="0"/>
      <c r="IJ114" s="0"/>
      <c r="IK114" s="0"/>
      <c r="IL114" s="0"/>
      <c r="IM114" s="0"/>
      <c r="IN114" s="0"/>
      <c r="IO114" s="0"/>
      <c r="IP114" s="0"/>
      <c r="IQ114" s="0"/>
      <c r="IR114" s="0"/>
      <c r="IS114" s="0"/>
      <c r="IT114" s="0"/>
      <c r="IU114" s="0"/>
      <c r="IV114" s="0"/>
      <c r="IW114" s="0"/>
    </row>
    <row r="115" customFormat="false" ht="12.6" hidden="false" customHeight="true" outlineLevel="0" collapsed="false">
      <c r="A115" s="5"/>
      <c r="B115" s="5"/>
      <c r="C115" s="5"/>
      <c r="D115" s="5"/>
      <c r="E115" s="5"/>
      <c r="F115" s="5"/>
      <c r="G115" s="5"/>
      <c r="H115" s="5"/>
      <c r="I115" s="5"/>
      <c r="J115" s="5"/>
      <c r="K115" s="5"/>
      <c r="L115" s="5"/>
      <c r="M115" s="5"/>
      <c r="N115" s="5"/>
      <c r="O115" s="5"/>
      <c r="P115" s="5"/>
      <c r="Q115" s="5"/>
      <c r="R115" s="5"/>
      <c r="S115" s="5"/>
      <c r="T115" s="5"/>
      <c r="U115" s="5"/>
      <c r="V115" s="5"/>
      <c r="W115" s="5"/>
      <c r="X115" s="0"/>
      <c r="Y115" s="0"/>
      <c r="Z115" s="0"/>
      <c r="AA115" s="0"/>
      <c r="AB115" s="0"/>
      <c r="AC115" s="0"/>
      <c r="AD115" s="0"/>
      <c r="AF115" s="0"/>
      <c r="AG115" s="0"/>
      <c r="AH115" s="0"/>
      <c r="AI115" s="0"/>
      <c r="AJ115" s="0"/>
      <c r="AK115" s="0"/>
      <c r="AL115" s="0"/>
      <c r="AM115" s="0"/>
      <c r="AN115" s="0"/>
      <c r="AO115" s="0"/>
      <c r="AP115" s="0"/>
      <c r="AQ115" s="0"/>
      <c r="AR115" s="0"/>
      <c r="AS115" s="0"/>
      <c r="AT115" s="0"/>
      <c r="AU115" s="0"/>
      <c r="AV115" s="0"/>
      <c r="AW115" s="0"/>
      <c r="AX115" s="0"/>
      <c r="AY115" s="0"/>
      <c r="AZ115" s="0"/>
      <c r="BA115" s="0"/>
      <c r="BB115" s="0"/>
      <c r="BC115" s="0"/>
      <c r="BD115" s="0"/>
      <c r="BE115" s="0"/>
      <c r="BF115" s="0"/>
      <c r="BG115" s="0"/>
      <c r="BH115" s="0"/>
      <c r="BI115" s="0"/>
      <c r="BJ115" s="0"/>
      <c r="BK115" s="0"/>
      <c r="BL115" s="0"/>
      <c r="BM115" s="0"/>
      <c r="BN115" s="0"/>
      <c r="BO115" s="0"/>
      <c r="BP115" s="0"/>
      <c r="BQ115" s="0"/>
      <c r="BR115" s="0"/>
      <c r="BS115" s="0"/>
      <c r="BT115" s="0"/>
      <c r="BU115" s="0"/>
      <c r="BV115" s="0"/>
      <c r="BW115" s="0"/>
      <c r="BX115" s="0"/>
      <c r="BY115" s="0"/>
      <c r="BZ115" s="0"/>
      <c r="CA115" s="0"/>
      <c r="CB115" s="0"/>
      <c r="CC115" s="0"/>
      <c r="CD115" s="0"/>
      <c r="CE115" s="0"/>
      <c r="CF115" s="0"/>
      <c r="CG115" s="0"/>
      <c r="CH115" s="0"/>
      <c r="CI115" s="0"/>
      <c r="CJ115" s="0"/>
      <c r="CK115" s="0"/>
      <c r="CL115" s="0"/>
      <c r="CM115" s="0"/>
      <c r="CN115" s="0"/>
      <c r="CO115" s="0"/>
      <c r="CP115" s="0"/>
      <c r="CQ115" s="0"/>
      <c r="CR115" s="0"/>
      <c r="CS115" s="0"/>
      <c r="CT115" s="0"/>
      <c r="CU115" s="0"/>
      <c r="CV115" s="0"/>
      <c r="CW115" s="0"/>
      <c r="CX115" s="0"/>
      <c r="CY115" s="0"/>
      <c r="CZ115" s="0"/>
      <c r="DA115" s="0"/>
      <c r="DB115" s="0"/>
      <c r="DC115" s="0"/>
      <c r="DD115" s="0"/>
      <c r="DE115" s="0"/>
      <c r="DF115" s="0"/>
      <c r="DG115" s="0"/>
      <c r="DH115" s="0"/>
      <c r="DI115" s="0"/>
      <c r="DJ115" s="0"/>
      <c r="DK115" s="0"/>
      <c r="DL115" s="0"/>
      <c r="DM115" s="0"/>
      <c r="DN115" s="0"/>
      <c r="DO115" s="0"/>
      <c r="DP115" s="0"/>
      <c r="DQ115" s="0"/>
      <c r="DR115" s="0"/>
      <c r="DS115" s="0"/>
      <c r="DT115" s="0"/>
      <c r="DU115" s="0"/>
      <c r="DV115" s="0"/>
      <c r="DW115" s="0"/>
      <c r="DX115" s="0"/>
      <c r="DY115" s="0"/>
      <c r="DZ115" s="0"/>
      <c r="EA115" s="0"/>
      <c r="EB115" s="0"/>
      <c r="EC115" s="0"/>
      <c r="ED115" s="0"/>
      <c r="EE115" s="0"/>
      <c r="EF115" s="0"/>
      <c r="EG115" s="0"/>
      <c r="EH115" s="0"/>
      <c r="EI115" s="0"/>
      <c r="EJ115" s="0"/>
      <c r="EK115" s="0"/>
      <c r="EL115" s="0"/>
      <c r="EM115" s="0"/>
      <c r="EN115" s="0"/>
      <c r="EO115" s="0"/>
      <c r="EP115" s="0"/>
      <c r="EQ115" s="0"/>
      <c r="ER115" s="0"/>
      <c r="ES115" s="0"/>
      <c r="ET115" s="0"/>
      <c r="EU115" s="0"/>
      <c r="EV115" s="0"/>
      <c r="EW115" s="0"/>
      <c r="EX115" s="0"/>
      <c r="EY115" s="0"/>
      <c r="EZ115" s="0"/>
      <c r="FA115" s="0"/>
      <c r="FB115" s="0"/>
      <c r="FC115" s="0"/>
      <c r="FD115" s="0"/>
      <c r="FE115" s="0"/>
      <c r="FF115" s="0"/>
      <c r="FG115" s="0"/>
      <c r="FH115" s="0"/>
      <c r="FI115" s="0"/>
      <c r="FJ115" s="0"/>
      <c r="FK115" s="0"/>
      <c r="FL115" s="0"/>
      <c r="FM115" s="0"/>
      <c r="FN115" s="0"/>
      <c r="FO115" s="0"/>
      <c r="FP115" s="0"/>
      <c r="FQ115" s="0"/>
      <c r="FR115" s="0"/>
      <c r="FS115" s="0"/>
      <c r="FT115" s="0"/>
      <c r="FU115" s="0"/>
      <c r="FV115" s="0"/>
      <c r="FW115" s="0"/>
      <c r="FX115" s="0"/>
      <c r="FY115" s="0"/>
      <c r="FZ115" s="0"/>
      <c r="GA115" s="0"/>
      <c r="GB115" s="0"/>
      <c r="GC115" s="0"/>
      <c r="GD115" s="0"/>
      <c r="GE115" s="0"/>
      <c r="GF115" s="0"/>
      <c r="GG115" s="0"/>
      <c r="GH115" s="0"/>
      <c r="GI115" s="0"/>
      <c r="GJ115" s="0"/>
      <c r="GK115" s="0"/>
      <c r="GL115" s="0"/>
      <c r="GM115" s="0"/>
      <c r="GN115" s="0"/>
      <c r="GO115" s="0"/>
      <c r="GP115" s="0"/>
      <c r="GQ115" s="0"/>
      <c r="GR115" s="0"/>
      <c r="GS115" s="0"/>
      <c r="GT115" s="0"/>
      <c r="GU115" s="0"/>
      <c r="GV115" s="0"/>
      <c r="GW115" s="0"/>
      <c r="GX115" s="0"/>
      <c r="GY115" s="0"/>
      <c r="GZ115" s="0"/>
      <c r="HA115" s="0"/>
      <c r="HB115" s="0"/>
      <c r="HC115" s="0"/>
      <c r="HD115" s="0"/>
      <c r="HE115" s="0"/>
      <c r="HF115" s="0"/>
      <c r="HG115" s="0"/>
      <c r="HH115" s="0"/>
      <c r="HI115" s="0"/>
      <c r="HJ115" s="0"/>
      <c r="HK115" s="0"/>
      <c r="HL115" s="0"/>
      <c r="HM115" s="0"/>
      <c r="HN115" s="0"/>
      <c r="HO115" s="0"/>
      <c r="HP115" s="0"/>
      <c r="HQ115" s="0"/>
      <c r="HR115" s="0"/>
      <c r="HS115" s="0"/>
      <c r="HT115" s="0"/>
      <c r="HU115" s="0"/>
      <c r="HV115" s="0"/>
      <c r="HW115" s="0"/>
      <c r="HX115" s="0"/>
      <c r="HY115" s="0"/>
      <c r="HZ115" s="0"/>
      <c r="IA115" s="0"/>
      <c r="IB115" s="0"/>
      <c r="IC115" s="0"/>
      <c r="ID115" s="0"/>
      <c r="IE115" s="0"/>
      <c r="IF115" s="0"/>
      <c r="IG115" s="0"/>
      <c r="IH115" s="0"/>
      <c r="II115" s="0"/>
      <c r="IJ115" s="0"/>
      <c r="IK115" s="0"/>
      <c r="IL115" s="0"/>
      <c r="IM115" s="0"/>
      <c r="IN115" s="0"/>
      <c r="IO115" s="0"/>
      <c r="IP115" s="0"/>
      <c r="IQ115" s="0"/>
      <c r="IR115" s="0"/>
      <c r="IS115" s="0"/>
      <c r="IT115" s="0"/>
      <c r="IU115" s="0"/>
      <c r="IV115" s="0"/>
      <c r="IW115" s="0"/>
    </row>
    <row r="116" customFormat="false" ht="12.6" hidden="false" customHeight="true" outlineLevel="0" collapsed="false">
      <c r="A116" s="5"/>
      <c r="B116" s="5"/>
      <c r="C116" s="5"/>
      <c r="D116" s="5"/>
      <c r="E116" s="5"/>
      <c r="F116" s="5"/>
      <c r="G116" s="5"/>
      <c r="H116" s="5"/>
      <c r="I116" s="5"/>
      <c r="J116" s="5"/>
      <c r="K116" s="5"/>
      <c r="L116" s="5"/>
      <c r="M116" s="5"/>
      <c r="N116" s="5"/>
      <c r="O116" s="5"/>
      <c r="P116" s="5"/>
      <c r="Q116" s="5"/>
      <c r="R116" s="5"/>
      <c r="S116" s="5"/>
      <c r="T116" s="5"/>
      <c r="U116" s="5"/>
      <c r="V116" s="5"/>
      <c r="W116" s="5"/>
      <c r="X116" s="0"/>
      <c r="Y116" s="0"/>
      <c r="Z116" s="0"/>
      <c r="AA116" s="0"/>
      <c r="AB116" s="0"/>
      <c r="AC116" s="0"/>
      <c r="AD116" s="0"/>
      <c r="AF116" s="0"/>
      <c r="AG116" s="0"/>
      <c r="AH116" s="0"/>
      <c r="AI116" s="0"/>
      <c r="AJ116" s="0"/>
      <c r="AK116" s="0"/>
      <c r="AL116" s="0"/>
      <c r="AM116" s="0"/>
      <c r="AN116" s="0"/>
      <c r="AO116" s="0"/>
      <c r="AP116" s="0"/>
      <c r="AQ116" s="0"/>
      <c r="AR116" s="0"/>
      <c r="AS116" s="0"/>
      <c r="AT116" s="0"/>
      <c r="AU116" s="0"/>
      <c r="AV116" s="0"/>
      <c r="AW116" s="0"/>
      <c r="AX116" s="0"/>
      <c r="AY116" s="0"/>
      <c r="AZ116" s="0"/>
      <c r="BA116" s="0"/>
      <c r="BB116" s="0"/>
      <c r="BC116" s="0"/>
      <c r="BD116" s="0"/>
      <c r="BE116" s="0"/>
      <c r="BF116" s="0"/>
      <c r="BG116" s="0"/>
      <c r="BH116" s="0"/>
      <c r="BI116" s="0"/>
      <c r="BJ116" s="0"/>
      <c r="BK116" s="0"/>
      <c r="BL116" s="0"/>
      <c r="BM116" s="0"/>
      <c r="BN116" s="0"/>
      <c r="BO116" s="0"/>
      <c r="BP116" s="0"/>
      <c r="BQ116" s="0"/>
      <c r="BR116" s="0"/>
      <c r="BS116" s="0"/>
      <c r="BT116" s="0"/>
      <c r="BU116" s="0"/>
      <c r="BV116" s="0"/>
      <c r="BW116" s="0"/>
      <c r="BX116" s="0"/>
      <c r="BY116" s="0"/>
      <c r="BZ116" s="0"/>
      <c r="CA116" s="0"/>
      <c r="CB116" s="0"/>
      <c r="CC116" s="0"/>
      <c r="CD116" s="0"/>
      <c r="CE116" s="0"/>
      <c r="CF116" s="0"/>
      <c r="CG116" s="0"/>
      <c r="CH116" s="0"/>
      <c r="CI116" s="0"/>
      <c r="CJ116" s="0"/>
      <c r="CK116" s="0"/>
      <c r="CL116" s="0"/>
      <c r="CM116" s="0"/>
      <c r="CN116" s="0"/>
      <c r="CO116" s="0"/>
      <c r="CP116" s="0"/>
      <c r="CQ116" s="0"/>
      <c r="CR116" s="0"/>
      <c r="CS116" s="0"/>
      <c r="CT116" s="0"/>
      <c r="CU116" s="0"/>
      <c r="CV116" s="0"/>
      <c r="CW116" s="0"/>
      <c r="CX116" s="0"/>
      <c r="CY116" s="0"/>
      <c r="CZ116" s="0"/>
      <c r="DA116" s="0"/>
      <c r="DB116" s="0"/>
      <c r="DC116" s="0"/>
      <c r="DD116" s="0"/>
      <c r="DE116" s="0"/>
      <c r="DF116" s="0"/>
      <c r="DG116" s="0"/>
      <c r="DH116" s="0"/>
      <c r="DI116" s="0"/>
      <c r="DJ116" s="0"/>
      <c r="DK116" s="0"/>
      <c r="DL116" s="0"/>
      <c r="DM116" s="0"/>
      <c r="DN116" s="0"/>
      <c r="DO116" s="0"/>
      <c r="DP116" s="0"/>
      <c r="DQ116" s="0"/>
      <c r="DR116" s="0"/>
      <c r="DS116" s="0"/>
      <c r="DT116" s="0"/>
      <c r="DU116" s="0"/>
      <c r="DV116" s="0"/>
      <c r="DW116" s="0"/>
      <c r="DX116" s="0"/>
      <c r="DY116" s="0"/>
      <c r="DZ116" s="0"/>
      <c r="EA116" s="0"/>
      <c r="EB116" s="0"/>
      <c r="EC116" s="0"/>
      <c r="ED116" s="0"/>
      <c r="EE116" s="0"/>
      <c r="EF116" s="0"/>
      <c r="EG116" s="0"/>
      <c r="EH116" s="0"/>
      <c r="EI116" s="0"/>
      <c r="EJ116" s="0"/>
      <c r="EK116" s="0"/>
      <c r="EL116" s="0"/>
      <c r="EM116" s="0"/>
      <c r="EN116" s="0"/>
      <c r="EO116" s="0"/>
      <c r="EP116" s="0"/>
      <c r="EQ116" s="0"/>
      <c r="ER116" s="0"/>
      <c r="ES116" s="0"/>
      <c r="ET116" s="0"/>
      <c r="EU116" s="0"/>
      <c r="EV116" s="0"/>
      <c r="EW116" s="0"/>
      <c r="EX116" s="0"/>
      <c r="EY116" s="0"/>
      <c r="EZ116" s="0"/>
      <c r="FA116" s="0"/>
      <c r="FB116" s="0"/>
      <c r="FC116" s="0"/>
      <c r="FD116" s="0"/>
      <c r="FE116" s="0"/>
      <c r="FF116" s="0"/>
      <c r="FG116" s="0"/>
      <c r="FH116" s="0"/>
      <c r="FI116" s="0"/>
      <c r="FJ116" s="0"/>
      <c r="FK116" s="0"/>
      <c r="FL116" s="0"/>
      <c r="FM116" s="0"/>
      <c r="FN116" s="0"/>
      <c r="FO116" s="0"/>
      <c r="FP116" s="0"/>
      <c r="FQ116" s="0"/>
      <c r="FR116" s="0"/>
      <c r="FS116" s="0"/>
      <c r="FT116" s="0"/>
      <c r="FU116" s="0"/>
      <c r="FV116" s="0"/>
      <c r="FW116" s="0"/>
      <c r="FX116" s="0"/>
      <c r="FY116" s="0"/>
      <c r="FZ116" s="0"/>
      <c r="GA116" s="0"/>
      <c r="GB116" s="0"/>
      <c r="GC116" s="0"/>
      <c r="GD116" s="0"/>
      <c r="GE116" s="0"/>
      <c r="GF116" s="0"/>
      <c r="GG116" s="0"/>
      <c r="GH116" s="0"/>
      <c r="GI116" s="0"/>
      <c r="GJ116" s="0"/>
      <c r="GK116" s="0"/>
      <c r="GL116" s="0"/>
      <c r="GM116" s="0"/>
      <c r="GN116" s="0"/>
      <c r="GO116" s="0"/>
      <c r="GP116" s="0"/>
      <c r="GQ116" s="0"/>
      <c r="GR116" s="0"/>
      <c r="GS116" s="0"/>
      <c r="GT116" s="0"/>
      <c r="GU116" s="0"/>
      <c r="GV116" s="0"/>
      <c r="GW116" s="0"/>
      <c r="GX116" s="0"/>
      <c r="GY116" s="0"/>
      <c r="GZ116" s="0"/>
      <c r="HA116" s="0"/>
      <c r="HB116" s="0"/>
      <c r="HC116" s="0"/>
      <c r="HD116" s="0"/>
      <c r="HE116" s="0"/>
      <c r="HF116" s="0"/>
      <c r="HG116" s="0"/>
      <c r="HH116" s="0"/>
      <c r="HI116" s="0"/>
      <c r="HJ116" s="0"/>
      <c r="HK116" s="0"/>
      <c r="HL116" s="0"/>
      <c r="HM116" s="0"/>
      <c r="HN116" s="0"/>
      <c r="HO116" s="0"/>
      <c r="HP116" s="0"/>
      <c r="HQ116" s="0"/>
      <c r="HR116" s="0"/>
      <c r="HS116" s="0"/>
      <c r="HT116" s="0"/>
      <c r="HU116" s="0"/>
      <c r="HV116" s="0"/>
      <c r="HW116" s="0"/>
      <c r="HX116" s="0"/>
      <c r="HY116" s="0"/>
      <c r="HZ116" s="0"/>
      <c r="IA116" s="0"/>
      <c r="IB116" s="0"/>
      <c r="IC116" s="0"/>
      <c r="ID116" s="0"/>
      <c r="IE116" s="0"/>
      <c r="IF116" s="0"/>
      <c r="IG116" s="0"/>
      <c r="IH116" s="0"/>
      <c r="II116" s="0"/>
      <c r="IJ116" s="0"/>
      <c r="IK116" s="0"/>
      <c r="IL116" s="0"/>
      <c r="IM116" s="0"/>
      <c r="IN116" s="0"/>
      <c r="IO116" s="0"/>
      <c r="IP116" s="0"/>
      <c r="IQ116" s="0"/>
      <c r="IR116" s="0"/>
      <c r="IS116" s="0"/>
      <c r="IT116" s="0"/>
      <c r="IU116" s="0"/>
      <c r="IV116" s="0"/>
      <c r="IW116" s="0"/>
    </row>
    <row r="117" customFormat="false" ht="12.6" hidden="false" customHeight="true" outlineLevel="0" collapsed="false">
      <c r="A117" s="5"/>
      <c r="B117" s="5"/>
      <c r="C117" s="5"/>
      <c r="D117" s="5"/>
      <c r="E117" s="5"/>
      <c r="F117" s="5"/>
      <c r="G117" s="5"/>
      <c r="H117" s="5"/>
      <c r="I117" s="5"/>
      <c r="J117" s="5"/>
      <c r="K117" s="5"/>
      <c r="L117" s="5"/>
      <c r="M117" s="5"/>
      <c r="N117" s="5"/>
      <c r="O117" s="5"/>
      <c r="P117" s="5"/>
      <c r="Q117" s="5"/>
      <c r="R117" s="5"/>
      <c r="S117" s="5"/>
      <c r="T117" s="5"/>
      <c r="U117" s="5"/>
      <c r="V117" s="5"/>
      <c r="W117" s="5"/>
      <c r="X117" s="0"/>
      <c r="Y117" s="0"/>
      <c r="Z117" s="0"/>
      <c r="AA117" s="0"/>
      <c r="AB117" s="0"/>
      <c r="AC117" s="0"/>
      <c r="AD117" s="0"/>
      <c r="AF117" s="0"/>
      <c r="AG117" s="0"/>
      <c r="AH117" s="0"/>
      <c r="AI117" s="0"/>
      <c r="AJ117" s="0"/>
      <c r="AK117" s="0"/>
      <c r="AL117" s="0"/>
      <c r="AM117" s="0"/>
      <c r="AN117" s="0"/>
      <c r="AO117" s="0"/>
      <c r="AP117" s="0"/>
      <c r="AQ117" s="0"/>
      <c r="AR117" s="0"/>
      <c r="AS117" s="0"/>
      <c r="AT117" s="0"/>
      <c r="AU117" s="0"/>
      <c r="AV117" s="0"/>
      <c r="AW117" s="0"/>
      <c r="AX117" s="0"/>
      <c r="AY117" s="0"/>
      <c r="AZ117" s="0"/>
      <c r="BA117" s="0"/>
      <c r="BB117" s="0"/>
      <c r="BC117" s="0"/>
      <c r="BD117" s="0"/>
      <c r="BE117" s="0"/>
      <c r="BF117" s="0"/>
      <c r="BG117" s="0"/>
      <c r="BH117" s="0"/>
      <c r="BI117" s="0"/>
      <c r="BJ117" s="0"/>
      <c r="BK117" s="0"/>
      <c r="BL117" s="0"/>
      <c r="BM117" s="0"/>
      <c r="BN117" s="0"/>
      <c r="BO117" s="0"/>
      <c r="BP117" s="0"/>
      <c r="BQ117" s="0"/>
      <c r="BR117" s="0"/>
      <c r="BS117" s="0"/>
      <c r="BT117" s="0"/>
      <c r="BU117" s="0"/>
      <c r="BV117" s="0"/>
      <c r="BW117" s="0"/>
      <c r="BX117" s="0"/>
      <c r="BY117" s="0"/>
      <c r="BZ117" s="0"/>
      <c r="CA117" s="0"/>
      <c r="CB117" s="0"/>
      <c r="CC117" s="0"/>
      <c r="CD117" s="0"/>
      <c r="CE117" s="0"/>
      <c r="CF117" s="0"/>
      <c r="CG117" s="0"/>
      <c r="CH117" s="0"/>
      <c r="CI117" s="0"/>
      <c r="CJ117" s="0"/>
      <c r="CK117" s="0"/>
      <c r="CL117" s="0"/>
      <c r="CM117" s="0"/>
      <c r="CN117" s="0"/>
      <c r="CO117" s="0"/>
      <c r="CP117" s="0"/>
      <c r="CQ117" s="0"/>
      <c r="CR117" s="0"/>
      <c r="CS117" s="0"/>
      <c r="CT117" s="0"/>
      <c r="CU117" s="0"/>
      <c r="CV117" s="0"/>
      <c r="CW117" s="0"/>
      <c r="CX117" s="0"/>
      <c r="CY117" s="0"/>
      <c r="CZ117" s="0"/>
      <c r="DA117" s="0"/>
      <c r="DB117" s="0"/>
      <c r="DC117" s="0"/>
      <c r="DD117" s="0"/>
      <c r="DE117" s="0"/>
      <c r="DF117" s="0"/>
      <c r="DG117" s="0"/>
      <c r="DH117" s="0"/>
      <c r="DI117" s="0"/>
      <c r="DJ117" s="0"/>
      <c r="DK117" s="0"/>
      <c r="DL117" s="0"/>
      <c r="DM117" s="0"/>
      <c r="DN117" s="0"/>
      <c r="DO117" s="0"/>
      <c r="DP117" s="0"/>
      <c r="DQ117" s="0"/>
      <c r="DR117" s="0"/>
      <c r="DS117" s="0"/>
      <c r="DT117" s="0"/>
      <c r="DU117" s="0"/>
      <c r="DV117" s="0"/>
      <c r="DW117" s="0"/>
      <c r="DX117" s="0"/>
      <c r="DY117" s="0"/>
      <c r="DZ117" s="0"/>
      <c r="EA117" s="0"/>
      <c r="EB117" s="0"/>
      <c r="EC117" s="0"/>
      <c r="ED117" s="0"/>
      <c r="EE117" s="0"/>
      <c r="EF117" s="0"/>
      <c r="EG117" s="0"/>
      <c r="EH117" s="0"/>
      <c r="EI117" s="0"/>
      <c r="EJ117" s="0"/>
      <c r="EK117" s="0"/>
      <c r="EL117" s="0"/>
      <c r="EM117" s="0"/>
      <c r="EN117" s="0"/>
      <c r="EO117" s="0"/>
      <c r="EP117" s="0"/>
      <c r="EQ117" s="0"/>
      <c r="ER117" s="0"/>
      <c r="ES117" s="0"/>
      <c r="ET117" s="0"/>
      <c r="EU117" s="0"/>
      <c r="EV117" s="0"/>
      <c r="EW117" s="0"/>
      <c r="EX117" s="0"/>
      <c r="EY117" s="0"/>
      <c r="EZ117" s="0"/>
      <c r="FA117" s="0"/>
      <c r="FB117" s="0"/>
      <c r="FC117" s="0"/>
      <c r="FD117" s="0"/>
      <c r="FE117" s="0"/>
      <c r="FF117" s="0"/>
      <c r="FG117" s="0"/>
      <c r="FH117" s="0"/>
      <c r="FI117" s="0"/>
      <c r="FJ117" s="0"/>
      <c r="FK117" s="0"/>
      <c r="FL117" s="0"/>
      <c r="FM117" s="0"/>
      <c r="FN117" s="0"/>
      <c r="FO117" s="0"/>
      <c r="FP117" s="0"/>
      <c r="FQ117" s="0"/>
      <c r="FR117" s="0"/>
      <c r="FS117" s="0"/>
      <c r="FT117" s="0"/>
      <c r="FU117" s="0"/>
      <c r="FV117" s="0"/>
      <c r="FW117" s="0"/>
      <c r="FX117" s="0"/>
      <c r="FY117" s="0"/>
      <c r="FZ117" s="0"/>
      <c r="GA117" s="0"/>
      <c r="GB117" s="0"/>
      <c r="GC117" s="0"/>
      <c r="GD117" s="0"/>
      <c r="GE117" s="0"/>
      <c r="GF117" s="0"/>
      <c r="GG117" s="0"/>
      <c r="GH117" s="0"/>
      <c r="GI117" s="0"/>
      <c r="GJ117" s="0"/>
      <c r="GK117" s="0"/>
      <c r="GL117" s="0"/>
      <c r="GM117" s="0"/>
      <c r="GN117" s="0"/>
      <c r="GO117" s="0"/>
      <c r="GP117" s="0"/>
      <c r="GQ117" s="0"/>
      <c r="GR117" s="0"/>
      <c r="GS117" s="0"/>
      <c r="GT117" s="0"/>
      <c r="GU117" s="0"/>
      <c r="GV117" s="0"/>
      <c r="GW117" s="0"/>
      <c r="GX117" s="0"/>
      <c r="GY117" s="0"/>
      <c r="GZ117" s="0"/>
      <c r="HA117" s="0"/>
      <c r="HB117" s="0"/>
      <c r="HC117" s="0"/>
      <c r="HD117" s="0"/>
      <c r="HE117" s="0"/>
      <c r="HF117" s="0"/>
      <c r="HG117" s="0"/>
      <c r="HH117" s="0"/>
      <c r="HI117" s="0"/>
      <c r="HJ117" s="0"/>
      <c r="HK117" s="0"/>
      <c r="HL117" s="0"/>
      <c r="HM117" s="0"/>
      <c r="HN117" s="0"/>
      <c r="HO117" s="0"/>
      <c r="HP117" s="0"/>
      <c r="HQ117" s="0"/>
      <c r="HR117" s="0"/>
      <c r="HS117" s="0"/>
      <c r="HT117" s="0"/>
      <c r="HU117" s="0"/>
      <c r="HV117" s="0"/>
      <c r="HW117" s="0"/>
      <c r="HX117" s="0"/>
      <c r="HY117" s="0"/>
      <c r="HZ117" s="0"/>
      <c r="IA117" s="0"/>
      <c r="IB117" s="0"/>
      <c r="IC117" s="0"/>
      <c r="ID117" s="0"/>
      <c r="IE117" s="0"/>
      <c r="IF117" s="0"/>
      <c r="IG117" s="0"/>
      <c r="IH117" s="0"/>
      <c r="II117" s="0"/>
      <c r="IJ117" s="0"/>
      <c r="IK117" s="0"/>
      <c r="IL117" s="0"/>
      <c r="IM117" s="0"/>
      <c r="IN117" s="0"/>
      <c r="IO117" s="0"/>
      <c r="IP117" s="0"/>
      <c r="IQ117" s="0"/>
      <c r="IR117" s="0"/>
      <c r="IS117" s="0"/>
      <c r="IT117" s="0"/>
      <c r="IU117" s="0"/>
      <c r="IV117" s="0"/>
      <c r="IW117" s="0"/>
    </row>
    <row r="118" customFormat="false" ht="12.6" hidden="false" customHeight="true" outlineLevel="0" collapsed="false">
      <c r="A118" s="5"/>
      <c r="B118" s="5"/>
      <c r="C118" s="5"/>
      <c r="D118" s="5"/>
      <c r="E118" s="5"/>
      <c r="F118" s="5"/>
      <c r="G118" s="5"/>
      <c r="H118" s="5"/>
      <c r="I118" s="5"/>
      <c r="J118" s="5"/>
      <c r="K118" s="5"/>
      <c r="L118" s="5"/>
      <c r="M118" s="5"/>
      <c r="N118" s="5"/>
      <c r="O118" s="5"/>
      <c r="P118" s="5"/>
      <c r="Q118" s="5"/>
      <c r="R118" s="5"/>
      <c r="S118" s="5"/>
      <c r="T118" s="5"/>
      <c r="U118" s="5"/>
      <c r="V118" s="5"/>
      <c r="W118" s="5"/>
      <c r="X118" s="0"/>
      <c r="Y118" s="0"/>
      <c r="Z118" s="0"/>
      <c r="AA118" s="0"/>
      <c r="AB118" s="0"/>
      <c r="AC118" s="0"/>
      <c r="AD118" s="0"/>
      <c r="AF118" s="0"/>
      <c r="AG118" s="0"/>
      <c r="AH118" s="0"/>
      <c r="AI118" s="0"/>
      <c r="AJ118" s="0"/>
      <c r="AK118" s="0"/>
      <c r="AL118" s="0"/>
      <c r="AM118" s="0"/>
      <c r="AN118" s="0"/>
      <c r="AO118" s="0"/>
      <c r="AP118" s="0"/>
      <c r="AQ118" s="0"/>
      <c r="AR118" s="0"/>
      <c r="AS118" s="0"/>
      <c r="AT118" s="0"/>
      <c r="AU118" s="0"/>
      <c r="AV118" s="0"/>
      <c r="AW118" s="0"/>
      <c r="AX118" s="0"/>
      <c r="AY118" s="0"/>
      <c r="AZ118" s="0"/>
      <c r="BA118" s="0"/>
      <c r="BB118" s="0"/>
      <c r="BC118" s="0"/>
      <c r="BD118" s="0"/>
      <c r="BE118" s="0"/>
      <c r="BF118" s="0"/>
      <c r="BG118" s="0"/>
      <c r="BH118" s="0"/>
      <c r="BI118" s="0"/>
      <c r="BJ118" s="0"/>
      <c r="BK118" s="0"/>
      <c r="BL118" s="0"/>
      <c r="BM118" s="0"/>
      <c r="BN118" s="0"/>
      <c r="BO118" s="0"/>
      <c r="BP118" s="0"/>
      <c r="BQ118" s="0"/>
      <c r="BR118" s="0"/>
      <c r="BS118" s="0"/>
      <c r="BT118" s="0"/>
      <c r="BU118" s="0"/>
      <c r="BV118" s="0"/>
      <c r="BW118" s="0"/>
      <c r="BX118" s="0"/>
      <c r="BY118" s="0"/>
      <c r="BZ118" s="0"/>
      <c r="CA118" s="0"/>
      <c r="CB118" s="0"/>
      <c r="CC118" s="0"/>
      <c r="CD118" s="0"/>
      <c r="CE118" s="0"/>
      <c r="CF118" s="0"/>
      <c r="CG118" s="0"/>
      <c r="CH118" s="0"/>
      <c r="CI118" s="0"/>
      <c r="CJ118" s="0"/>
      <c r="CK118" s="0"/>
      <c r="CL118" s="0"/>
      <c r="CM118" s="0"/>
      <c r="CN118" s="0"/>
      <c r="CO118" s="0"/>
      <c r="CP118" s="0"/>
      <c r="CQ118" s="0"/>
      <c r="CR118" s="0"/>
      <c r="CS118" s="0"/>
      <c r="CT118" s="0"/>
      <c r="CU118" s="0"/>
      <c r="CV118" s="0"/>
      <c r="CW118" s="0"/>
      <c r="CX118" s="0"/>
      <c r="CY118" s="0"/>
      <c r="CZ118" s="0"/>
      <c r="DA118" s="0"/>
      <c r="DB118" s="0"/>
      <c r="DC118" s="0"/>
      <c r="DD118" s="0"/>
      <c r="DE118" s="0"/>
      <c r="DF118" s="0"/>
      <c r="DG118" s="0"/>
      <c r="DH118" s="0"/>
      <c r="DI118" s="0"/>
      <c r="DJ118" s="0"/>
      <c r="DK118" s="0"/>
      <c r="DL118" s="0"/>
      <c r="DM118" s="0"/>
      <c r="DN118" s="0"/>
      <c r="DO118" s="0"/>
      <c r="DP118" s="0"/>
      <c r="DQ118" s="0"/>
      <c r="DR118" s="0"/>
      <c r="DS118" s="0"/>
      <c r="DT118" s="0"/>
      <c r="DU118" s="0"/>
      <c r="DV118" s="0"/>
      <c r="DW118" s="0"/>
      <c r="DX118" s="0"/>
      <c r="DY118" s="0"/>
      <c r="DZ118" s="0"/>
      <c r="EA118" s="0"/>
      <c r="EB118" s="0"/>
      <c r="EC118" s="0"/>
      <c r="ED118" s="0"/>
      <c r="EE118" s="0"/>
      <c r="EF118" s="0"/>
      <c r="EG118" s="0"/>
      <c r="EH118" s="0"/>
      <c r="EI118" s="0"/>
      <c r="EJ118" s="0"/>
      <c r="EK118" s="0"/>
      <c r="EL118" s="0"/>
      <c r="EM118" s="0"/>
      <c r="EN118" s="0"/>
      <c r="EO118" s="0"/>
      <c r="EP118" s="0"/>
      <c r="EQ118" s="0"/>
      <c r="ER118" s="0"/>
      <c r="ES118" s="0"/>
      <c r="ET118" s="0"/>
      <c r="EU118" s="0"/>
      <c r="EV118" s="0"/>
      <c r="EW118" s="0"/>
      <c r="EX118" s="0"/>
      <c r="EY118" s="0"/>
      <c r="EZ118" s="0"/>
      <c r="FA118" s="0"/>
      <c r="FB118" s="0"/>
      <c r="FC118" s="0"/>
      <c r="FD118" s="0"/>
      <c r="FE118" s="0"/>
      <c r="FF118" s="0"/>
      <c r="FG118" s="0"/>
      <c r="FH118" s="0"/>
      <c r="FI118" s="0"/>
      <c r="FJ118" s="0"/>
      <c r="FK118" s="0"/>
      <c r="FL118" s="0"/>
      <c r="FM118" s="0"/>
      <c r="FN118" s="0"/>
      <c r="FO118" s="0"/>
      <c r="FP118" s="0"/>
      <c r="FQ118" s="0"/>
      <c r="FR118" s="0"/>
      <c r="FS118" s="0"/>
      <c r="FT118" s="0"/>
      <c r="FU118" s="0"/>
      <c r="FV118" s="0"/>
      <c r="FW118" s="0"/>
      <c r="FX118" s="0"/>
      <c r="FY118" s="0"/>
      <c r="FZ118" s="0"/>
      <c r="GA118" s="0"/>
      <c r="GB118" s="0"/>
      <c r="GC118" s="0"/>
      <c r="GD118" s="0"/>
      <c r="GE118" s="0"/>
      <c r="GF118" s="0"/>
      <c r="GG118" s="0"/>
      <c r="GH118" s="0"/>
      <c r="GI118" s="0"/>
      <c r="GJ118" s="0"/>
      <c r="GK118" s="0"/>
      <c r="GL118" s="0"/>
      <c r="GM118" s="0"/>
      <c r="GN118" s="0"/>
      <c r="GO118" s="0"/>
      <c r="GP118" s="0"/>
      <c r="GQ118" s="0"/>
      <c r="GR118" s="0"/>
      <c r="GS118" s="0"/>
      <c r="GT118" s="0"/>
      <c r="GU118" s="0"/>
      <c r="GV118" s="0"/>
      <c r="GW118" s="0"/>
      <c r="GX118" s="0"/>
      <c r="GY118" s="0"/>
      <c r="GZ118" s="0"/>
      <c r="HA118" s="0"/>
      <c r="HB118" s="0"/>
      <c r="HC118" s="0"/>
      <c r="HD118" s="0"/>
      <c r="HE118" s="0"/>
      <c r="HF118" s="0"/>
      <c r="HG118" s="0"/>
      <c r="HH118" s="0"/>
      <c r="HI118" s="0"/>
      <c r="HJ118" s="0"/>
      <c r="HK118" s="0"/>
      <c r="HL118" s="0"/>
      <c r="HM118" s="0"/>
      <c r="HN118" s="0"/>
      <c r="HO118" s="0"/>
      <c r="HP118" s="0"/>
      <c r="HQ118" s="0"/>
      <c r="HR118" s="0"/>
      <c r="HS118" s="0"/>
      <c r="HT118" s="0"/>
      <c r="HU118" s="0"/>
      <c r="HV118" s="0"/>
      <c r="HW118" s="0"/>
      <c r="HX118" s="0"/>
      <c r="HY118" s="0"/>
      <c r="HZ118" s="0"/>
      <c r="IA118" s="0"/>
      <c r="IB118" s="0"/>
      <c r="IC118" s="0"/>
      <c r="ID118" s="0"/>
      <c r="IE118" s="0"/>
      <c r="IF118" s="0"/>
      <c r="IG118" s="0"/>
      <c r="IH118" s="0"/>
      <c r="II118" s="0"/>
      <c r="IJ118" s="0"/>
      <c r="IK118" s="0"/>
      <c r="IL118" s="0"/>
      <c r="IM118" s="0"/>
      <c r="IN118" s="0"/>
      <c r="IO118" s="0"/>
      <c r="IP118" s="0"/>
      <c r="IQ118" s="0"/>
      <c r="IR118" s="0"/>
      <c r="IS118" s="0"/>
      <c r="IT118" s="0"/>
      <c r="IU118" s="0"/>
      <c r="IV118" s="0"/>
      <c r="IW118" s="0"/>
    </row>
    <row r="119" customFormat="false" ht="12.6" hidden="false" customHeight="true" outlineLevel="0" collapsed="false">
      <c r="A119" s="5"/>
      <c r="B119" s="5"/>
      <c r="C119" s="5"/>
      <c r="D119" s="5"/>
      <c r="E119" s="5"/>
      <c r="F119" s="5"/>
      <c r="G119" s="5"/>
      <c r="H119" s="5"/>
      <c r="I119" s="5"/>
      <c r="J119" s="5"/>
      <c r="K119" s="5"/>
      <c r="L119" s="5"/>
      <c r="M119" s="5"/>
      <c r="N119" s="5"/>
      <c r="O119" s="5"/>
      <c r="P119" s="5"/>
      <c r="Q119" s="5"/>
      <c r="R119" s="5"/>
      <c r="S119" s="5"/>
      <c r="T119" s="5"/>
      <c r="U119" s="5"/>
      <c r="V119" s="5"/>
      <c r="W119" s="5"/>
      <c r="X119" s="0"/>
      <c r="Y119" s="0"/>
      <c r="Z119" s="0"/>
      <c r="AA119" s="0"/>
      <c r="AB119" s="0"/>
      <c r="AC119" s="0"/>
      <c r="AD119" s="0"/>
      <c r="AF119" s="0"/>
      <c r="AG119" s="0"/>
      <c r="AH119" s="0"/>
      <c r="AI119" s="0"/>
      <c r="AJ119" s="0"/>
      <c r="AK119" s="0"/>
      <c r="AL119" s="0"/>
      <c r="AM119" s="0"/>
      <c r="AN119" s="0"/>
      <c r="AO119" s="0"/>
      <c r="AP119" s="0"/>
      <c r="AQ119" s="0"/>
      <c r="AR119" s="0"/>
      <c r="AS119" s="0"/>
      <c r="AT119" s="0"/>
      <c r="AU119" s="0"/>
      <c r="AV119" s="0"/>
      <c r="AW119" s="0"/>
      <c r="AX119" s="0"/>
      <c r="AY119" s="0"/>
      <c r="AZ119" s="0"/>
      <c r="BA119" s="0"/>
      <c r="BB119" s="0"/>
      <c r="BC119" s="0"/>
      <c r="BD119" s="0"/>
      <c r="BE119" s="0"/>
      <c r="BF119" s="0"/>
      <c r="BG119" s="0"/>
      <c r="BH119" s="0"/>
      <c r="BI119" s="0"/>
      <c r="BJ119" s="0"/>
      <c r="BK119" s="0"/>
      <c r="BL119" s="0"/>
      <c r="BM119" s="0"/>
      <c r="BN119" s="0"/>
      <c r="BO119" s="0"/>
      <c r="BP119" s="0"/>
      <c r="BQ119" s="0"/>
      <c r="BR119" s="0"/>
      <c r="BS119" s="0"/>
      <c r="BT119" s="0"/>
      <c r="BU119" s="0"/>
      <c r="BV119" s="0"/>
      <c r="BW119" s="0"/>
      <c r="BX119" s="0"/>
      <c r="BY119" s="0"/>
      <c r="BZ119" s="0"/>
      <c r="CA119" s="0"/>
      <c r="CB119" s="0"/>
      <c r="CC119" s="0"/>
      <c r="CD119" s="0"/>
      <c r="CE119" s="0"/>
      <c r="CF119" s="0"/>
      <c r="CG119" s="0"/>
      <c r="CH119" s="0"/>
      <c r="CI119" s="0"/>
      <c r="CJ119" s="0"/>
      <c r="CK119" s="0"/>
      <c r="CL119" s="0"/>
      <c r="CM119" s="0"/>
      <c r="CN119" s="0"/>
      <c r="CO119" s="0"/>
      <c r="CP119" s="0"/>
      <c r="CQ119" s="0"/>
      <c r="CR119" s="0"/>
      <c r="CS119" s="0"/>
      <c r="CT119" s="0"/>
      <c r="CU119" s="0"/>
      <c r="CV119" s="0"/>
      <c r="CW119" s="0"/>
      <c r="CX119" s="0"/>
      <c r="CY119" s="0"/>
      <c r="CZ119" s="0"/>
      <c r="DA119" s="0"/>
      <c r="DB119" s="0"/>
      <c r="DC119" s="0"/>
      <c r="DD119" s="0"/>
      <c r="DE119" s="0"/>
      <c r="DF119" s="0"/>
      <c r="DG119" s="0"/>
      <c r="DH119" s="0"/>
      <c r="DI119" s="0"/>
      <c r="DJ119" s="0"/>
      <c r="DK119" s="0"/>
      <c r="DL119" s="0"/>
      <c r="DM119" s="0"/>
      <c r="DN119" s="0"/>
      <c r="DO119" s="0"/>
      <c r="DP119" s="0"/>
      <c r="DQ119" s="0"/>
      <c r="DR119" s="0"/>
      <c r="DS119" s="0"/>
      <c r="DT119" s="0"/>
      <c r="DU119" s="0"/>
      <c r="DV119" s="0"/>
      <c r="DW119" s="0"/>
      <c r="DX119" s="0"/>
      <c r="DY119" s="0"/>
      <c r="DZ119" s="0"/>
      <c r="EA119" s="0"/>
      <c r="EB119" s="0"/>
      <c r="EC119" s="0"/>
      <c r="ED119" s="0"/>
      <c r="EE119" s="0"/>
      <c r="EF119" s="0"/>
      <c r="EG119" s="0"/>
      <c r="EH119" s="0"/>
      <c r="EI119" s="0"/>
      <c r="EJ119" s="0"/>
      <c r="EK119" s="0"/>
      <c r="EL119" s="0"/>
      <c r="EM119" s="0"/>
      <c r="EN119" s="0"/>
      <c r="EO119" s="0"/>
      <c r="EP119" s="0"/>
      <c r="EQ119" s="0"/>
      <c r="ER119" s="0"/>
      <c r="ES119" s="0"/>
      <c r="ET119" s="0"/>
      <c r="EU119" s="0"/>
      <c r="EV119" s="0"/>
      <c r="EW119" s="0"/>
      <c r="EX119" s="0"/>
      <c r="EY119" s="0"/>
      <c r="EZ119" s="0"/>
      <c r="FA119" s="0"/>
      <c r="FB119" s="0"/>
      <c r="FC119" s="0"/>
      <c r="FD119" s="0"/>
      <c r="FE119" s="0"/>
      <c r="FF119" s="0"/>
      <c r="FG119" s="0"/>
      <c r="FH119" s="0"/>
      <c r="FI119" s="0"/>
      <c r="FJ119" s="0"/>
      <c r="FK119" s="0"/>
      <c r="FL119" s="0"/>
      <c r="FM119" s="0"/>
      <c r="FN119" s="0"/>
      <c r="FO119" s="0"/>
      <c r="FP119" s="0"/>
      <c r="FQ119" s="0"/>
      <c r="FR119" s="0"/>
      <c r="FS119" s="0"/>
      <c r="FT119" s="0"/>
      <c r="FU119" s="0"/>
      <c r="FV119" s="0"/>
      <c r="FW119" s="0"/>
      <c r="FX119" s="0"/>
      <c r="FY119" s="0"/>
      <c r="FZ119" s="0"/>
      <c r="GA119" s="0"/>
      <c r="GB119" s="0"/>
      <c r="GC119" s="0"/>
      <c r="GD119" s="0"/>
      <c r="GE119" s="0"/>
      <c r="GF119" s="0"/>
      <c r="GG119" s="0"/>
      <c r="GH119" s="0"/>
      <c r="GI119" s="0"/>
      <c r="GJ119" s="0"/>
      <c r="GK119" s="0"/>
      <c r="GL119" s="0"/>
      <c r="GM119" s="0"/>
      <c r="GN119" s="0"/>
      <c r="GO119" s="0"/>
      <c r="GP119" s="0"/>
      <c r="GQ119" s="0"/>
      <c r="GR119" s="0"/>
      <c r="GS119" s="0"/>
      <c r="GT119" s="0"/>
      <c r="GU119" s="0"/>
      <c r="GV119" s="0"/>
      <c r="GW119" s="0"/>
      <c r="GX119" s="0"/>
      <c r="GY119" s="0"/>
      <c r="GZ119" s="0"/>
      <c r="HA119" s="0"/>
      <c r="HB119" s="0"/>
      <c r="HC119" s="0"/>
      <c r="HD119" s="0"/>
      <c r="HE119" s="0"/>
      <c r="HF119" s="0"/>
      <c r="HG119" s="0"/>
      <c r="HH119" s="0"/>
      <c r="HI119" s="0"/>
      <c r="HJ119" s="0"/>
      <c r="HK119" s="0"/>
      <c r="HL119" s="0"/>
      <c r="HM119" s="0"/>
      <c r="HN119" s="0"/>
      <c r="HO119" s="0"/>
      <c r="HP119" s="0"/>
      <c r="HQ119" s="0"/>
      <c r="HR119" s="0"/>
      <c r="HS119" s="0"/>
      <c r="HT119" s="0"/>
      <c r="HU119" s="0"/>
      <c r="HV119" s="0"/>
      <c r="HW119" s="0"/>
      <c r="HX119" s="0"/>
      <c r="HY119" s="0"/>
      <c r="HZ119" s="0"/>
      <c r="IA119" s="0"/>
      <c r="IB119" s="0"/>
      <c r="IC119" s="0"/>
      <c r="ID119" s="0"/>
      <c r="IE119" s="0"/>
      <c r="IF119" s="0"/>
      <c r="IG119" s="0"/>
      <c r="IH119" s="0"/>
      <c r="II119" s="0"/>
      <c r="IJ119" s="0"/>
      <c r="IK119" s="0"/>
      <c r="IL119" s="0"/>
      <c r="IM119" s="0"/>
      <c r="IN119" s="0"/>
      <c r="IO119" s="0"/>
      <c r="IP119" s="0"/>
      <c r="IQ119" s="0"/>
      <c r="IR119" s="0"/>
      <c r="IS119" s="0"/>
      <c r="IT119" s="0"/>
      <c r="IU119" s="0"/>
      <c r="IV119" s="0"/>
      <c r="IW119" s="0"/>
    </row>
    <row r="120" customFormat="false" ht="12.6" hidden="false" customHeight="true" outlineLevel="0" collapsed="false">
      <c r="A120" s="5"/>
      <c r="B120" s="5"/>
      <c r="C120" s="5"/>
      <c r="D120" s="5"/>
      <c r="E120" s="5"/>
      <c r="F120" s="5"/>
      <c r="G120" s="5"/>
      <c r="H120" s="5"/>
      <c r="I120" s="5"/>
      <c r="J120" s="5"/>
      <c r="K120" s="5"/>
      <c r="L120" s="5"/>
      <c r="M120" s="5"/>
      <c r="N120" s="5"/>
      <c r="O120" s="5"/>
      <c r="P120" s="5"/>
      <c r="Q120" s="5"/>
      <c r="R120" s="5"/>
      <c r="S120" s="5"/>
      <c r="T120" s="5"/>
      <c r="U120" s="5"/>
      <c r="V120" s="5"/>
      <c r="W120" s="5"/>
      <c r="X120" s="0"/>
      <c r="Y120" s="0"/>
      <c r="Z120" s="0"/>
      <c r="AA120" s="0"/>
      <c r="AB120" s="0"/>
      <c r="AC120" s="0"/>
      <c r="AD120" s="0"/>
      <c r="AF120" s="0"/>
      <c r="AG120" s="0"/>
      <c r="AH120" s="0"/>
      <c r="AI120" s="0"/>
      <c r="AJ120" s="0"/>
      <c r="AK120" s="0"/>
      <c r="AL120" s="0"/>
      <c r="AM120" s="0"/>
      <c r="AN120" s="0"/>
      <c r="AO120" s="0"/>
      <c r="AP120" s="0"/>
      <c r="AQ120" s="0"/>
      <c r="AR120" s="0"/>
      <c r="AS120" s="0"/>
      <c r="AT120" s="0"/>
      <c r="AU120" s="0"/>
      <c r="AV120" s="0"/>
      <c r="AW120" s="0"/>
      <c r="AX120" s="0"/>
      <c r="AY120" s="0"/>
      <c r="AZ120" s="0"/>
      <c r="BA120" s="0"/>
      <c r="BB120" s="0"/>
      <c r="BC120" s="0"/>
      <c r="BD120" s="0"/>
      <c r="BE120" s="0"/>
      <c r="BF120" s="0"/>
      <c r="BG120" s="0"/>
      <c r="BH120" s="0"/>
      <c r="BI120" s="0"/>
      <c r="BJ120" s="0"/>
      <c r="BK120" s="0"/>
      <c r="BL120" s="0"/>
      <c r="BM120" s="0"/>
      <c r="BN120" s="0"/>
      <c r="BO120" s="0"/>
      <c r="BP120" s="0"/>
      <c r="BQ120" s="0"/>
      <c r="BR120" s="0"/>
      <c r="BS120" s="0"/>
      <c r="BT120" s="0"/>
      <c r="BU120" s="0"/>
      <c r="BV120" s="0"/>
      <c r="BW120" s="0"/>
      <c r="BX120" s="0"/>
      <c r="BY120" s="0"/>
      <c r="BZ120" s="0"/>
      <c r="CA120" s="0"/>
      <c r="CB120" s="0"/>
      <c r="CC120" s="0"/>
      <c r="CD120" s="0"/>
      <c r="CE120" s="0"/>
      <c r="CF120" s="0"/>
      <c r="CG120" s="0"/>
      <c r="CH120" s="0"/>
      <c r="CI120" s="0"/>
      <c r="CJ120" s="0"/>
      <c r="CK120" s="0"/>
      <c r="CL120" s="0"/>
      <c r="CM120" s="0"/>
      <c r="CN120" s="0"/>
      <c r="CO120" s="0"/>
      <c r="CP120" s="0"/>
      <c r="CQ120" s="0"/>
      <c r="CR120" s="0"/>
      <c r="CS120" s="0"/>
      <c r="CT120" s="0"/>
      <c r="CU120" s="0"/>
      <c r="CV120" s="0"/>
      <c r="CW120" s="0"/>
      <c r="CX120" s="0"/>
      <c r="CY120" s="0"/>
      <c r="CZ120" s="0"/>
      <c r="DA120" s="0"/>
      <c r="DB120" s="0"/>
      <c r="DC120" s="0"/>
      <c r="DD120" s="0"/>
      <c r="DE120" s="0"/>
      <c r="DF120" s="0"/>
      <c r="DG120" s="0"/>
      <c r="DH120" s="0"/>
      <c r="DI120" s="0"/>
      <c r="DJ120" s="0"/>
      <c r="DK120" s="0"/>
      <c r="DL120" s="0"/>
      <c r="DM120" s="0"/>
      <c r="DN120" s="0"/>
      <c r="DO120" s="0"/>
      <c r="DP120" s="0"/>
      <c r="DQ120" s="0"/>
      <c r="DR120" s="0"/>
      <c r="DS120" s="0"/>
      <c r="DT120" s="0"/>
      <c r="DU120" s="0"/>
      <c r="DV120" s="0"/>
      <c r="DW120" s="0"/>
      <c r="DX120" s="0"/>
      <c r="DY120" s="0"/>
      <c r="DZ120" s="0"/>
      <c r="EA120" s="0"/>
      <c r="EB120" s="0"/>
      <c r="EC120" s="0"/>
      <c r="ED120" s="0"/>
      <c r="EE120" s="0"/>
      <c r="EF120" s="0"/>
      <c r="EG120" s="0"/>
      <c r="EH120" s="0"/>
      <c r="EI120" s="0"/>
      <c r="EJ120" s="0"/>
      <c r="EK120" s="0"/>
      <c r="EL120" s="0"/>
      <c r="EM120" s="0"/>
      <c r="EN120" s="0"/>
      <c r="EO120" s="0"/>
      <c r="EP120" s="0"/>
      <c r="EQ120" s="0"/>
      <c r="ER120" s="0"/>
      <c r="ES120" s="0"/>
      <c r="ET120" s="0"/>
      <c r="EU120" s="0"/>
      <c r="EV120" s="0"/>
      <c r="EW120" s="0"/>
      <c r="EX120" s="0"/>
      <c r="EY120" s="0"/>
      <c r="EZ120" s="0"/>
      <c r="FA120" s="0"/>
      <c r="FB120" s="0"/>
      <c r="FC120" s="0"/>
      <c r="FD120" s="0"/>
      <c r="FE120" s="0"/>
      <c r="FF120" s="0"/>
      <c r="FG120" s="0"/>
      <c r="FH120" s="0"/>
      <c r="FI120" s="0"/>
      <c r="FJ120" s="0"/>
      <c r="FK120" s="0"/>
      <c r="FL120" s="0"/>
      <c r="FM120" s="0"/>
      <c r="FN120" s="0"/>
      <c r="FO120" s="0"/>
      <c r="FP120" s="0"/>
      <c r="FQ120" s="0"/>
      <c r="FR120" s="0"/>
      <c r="FS120" s="0"/>
      <c r="FT120" s="0"/>
      <c r="FU120" s="0"/>
      <c r="FV120" s="0"/>
      <c r="FW120" s="0"/>
      <c r="FX120" s="0"/>
      <c r="FY120" s="0"/>
      <c r="FZ120" s="0"/>
      <c r="GA120" s="0"/>
      <c r="GB120" s="0"/>
      <c r="GC120" s="0"/>
      <c r="GD120" s="0"/>
      <c r="GE120" s="0"/>
      <c r="GF120" s="0"/>
      <c r="GG120" s="0"/>
      <c r="GH120" s="0"/>
      <c r="GI120" s="0"/>
      <c r="GJ120" s="0"/>
      <c r="GK120" s="0"/>
      <c r="GL120" s="0"/>
      <c r="GM120" s="0"/>
      <c r="GN120" s="0"/>
      <c r="GO120" s="0"/>
      <c r="GP120" s="0"/>
      <c r="GQ120" s="0"/>
      <c r="GR120" s="0"/>
      <c r="GS120" s="0"/>
      <c r="GT120" s="0"/>
      <c r="GU120" s="0"/>
      <c r="GV120" s="0"/>
      <c r="GW120" s="0"/>
      <c r="GX120" s="0"/>
      <c r="GY120" s="0"/>
      <c r="GZ120" s="0"/>
      <c r="HA120" s="0"/>
      <c r="HB120" s="0"/>
      <c r="HC120" s="0"/>
      <c r="HD120" s="0"/>
      <c r="HE120" s="0"/>
      <c r="HF120" s="0"/>
      <c r="HG120" s="0"/>
      <c r="HH120" s="0"/>
      <c r="HI120" s="0"/>
      <c r="HJ120" s="0"/>
      <c r="HK120" s="0"/>
      <c r="HL120" s="0"/>
      <c r="HM120" s="0"/>
      <c r="HN120" s="0"/>
      <c r="HO120" s="0"/>
      <c r="HP120" s="0"/>
      <c r="HQ120" s="0"/>
      <c r="HR120" s="0"/>
      <c r="HS120" s="0"/>
      <c r="HT120" s="0"/>
      <c r="HU120" s="0"/>
      <c r="HV120" s="0"/>
      <c r="HW120" s="0"/>
      <c r="HX120" s="0"/>
      <c r="HY120" s="0"/>
      <c r="HZ120" s="0"/>
      <c r="IA120" s="0"/>
      <c r="IB120" s="0"/>
      <c r="IC120" s="0"/>
      <c r="ID120" s="0"/>
      <c r="IE120" s="0"/>
      <c r="IF120" s="0"/>
      <c r="IG120" s="0"/>
      <c r="IH120" s="0"/>
      <c r="II120" s="0"/>
      <c r="IJ120" s="0"/>
      <c r="IK120" s="0"/>
      <c r="IL120" s="0"/>
      <c r="IM120" s="0"/>
      <c r="IN120" s="0"/>
      <c r="IO120" s="0"/>
      <c r="IP120" s="0"/>
      <c r="IQ120" s="0"/>
      <c r="IR120" s="0"/>
      <c r="IS120" s="0"/>
      <c r="IT120" s="0"/>
      <c r="IU120" s="0"/>
      <c r="IV120" s="0"/>
      <c r="IW120" s="0"/>
    </row>
    <row r="121" customFormat="false" ht="12.6" hidden="false" customHeight="true" outlineLevel="0" collapsed="false">
      <c r="A121" s="5"/>
      <c r="B121" s="5"/>
      <c r="C121" s="5"/>
      <c r="D121" s="5"/>
      <c r="E121" s="5"/>
      <c r="F121" s="5"/>
      <c r="G121" s="5"/>
      <c r="H121" s="5"/>
      <c r="I121" s="5"/>
      <c r="J121" s="5"/>
      <c r="K121" s="5"/>
      <c r="L121" s="5"/>
      <c r="M121" s="5"/>
      <c r="N121" s="5"/>
      <c r="O121" s="5"/>
      <c r="P121" s="5"/>
      <c r="Q121" s="5"/>
      <c r="R121" s="5"/>
      <c r="S121" s="5"/>
      <c r="T121" s="5"/>
      <c r="U121" s="5"/>
      <c r="V121" s="5"/>
      <c r="W121" s="5"/>
      <c r="X121" s="0"/>
      <c r="Y121" s="0"/>
      <c r="Z121" s="0"/>
      <c r="AA121" s="0"/>
      <c r="AB121" s="0"/>
      <c r="AC121" s="0"/>
      <c r="AD121" s="0"/>
      <c r="AF121" s="0"/>
      <c r="AG121" s="0"/>
      <c r="AH121" s="0"/>
      <c r="AI121" s="0"/>
      <c r="AJ121" s="0"/>
      <c r="AK121" s="0"/>
      <c r="AL121" s="0"/>
      <c r="AM121" s="0"/>
      <c r="AN121" s="0"/>
      <c r="AO121" s="0"/>
      <c r="AP121" s="0"/>
      <c r="AQ121" s="0"/>
      <c r="AR121" s="0"/>
      <c r="AS121" s="0"/>
      <c r="AT121" s="0"/>
      <c r="AU121" s="0"/>
      <c r="AV121" s="0"/>
      <c r="AW121" s="0"/>
      <c r="AX121" s="0"/>
      <c r="AY121" s="0"/>
      <c r="AZ121" s="0"/>
      <c r="BA121" s="0"/>
      <c r="BB121" s="0"/>
      <c r="BC121" s="0"/>
      <c r="BD121" s="0"/>
      <c r="BE121" s="0"/>
      <c r="BF121" s="0"/>
      <c r="BG121" s="0"/>
      <c r="BH121" s="0"/>
      <c r="BI121" s="0"/>
      <c r="BJ121" s="0"/>
      <c r="BK121" s="0"/>
      <c r="BL121" s="0"/>
      <c r="BM121" s="0"/>
      <c r="BN121" s="0"/>
      <c r="BO121" s="0"/>
      <c r="BP121" s="0"/>
      <c r="BQ121" s="0"/>
      <c r="BR121" s="0"/>
      <c r="BS121" s="0"/>
      <c r="BT121" s="0"/>
      <c r="BU121" s="0"/>
      <c r="BV121" s="0"/>
      <c r="BW121" s="0"/>
      <c r="BX121" s="0"/>
      <c r="BY121" s="0"/>
      <c r="BZ121" s="0"/>
      <c r="CA121" s="0"/>
      <c r="CB121" s="0"/>
      <c r="CC121" s="0"/>
      <c r="CD121" s="0"/>
      <c r="CE121" s="0"/>
      <c r="CF121" s="0"/>
      <c r="CG121" s="0"/>
      <c r="CH121" s="0"/>
      <c r="CI121" s="0"/>
      <c r="CJ121" s="0"/>
      <c r="CK121" s="0"/>
      <c r="CL121" s="0"/>
      <c r="CM121" s="0"/>
      <c r="CN121" s="0"/>
      <c r="CO121" s="0"/>
      <c r="CP121" s="0"/>
      <c r="CQ121" s="0"/>
      <c r="CR121" s="0"/>
      <c r="CS121" s="0"/>
      <c r="CT121" s="0"/>
      <c r="CU121" s="0"/>
      <c r="CV121" s="0"/>
      <c r="CW121" s="0"/>
      <c r="CX121" s="0"/>
      <c r="CY121" s="0"/>
      <c r="CZ121" s="0"/>
      <c r="DA121" s="0"/>
      <c r="DB121" s="0"/>
      <c r="DC121" s="0"/>
      <c r="DD121" s="0"/>
      <c r="DE121" s="0"/>
      <c r="DF121" s="0"/>
      <c r="DG121" s="0"/>
      <c r="DH121" s="0"/>
      <c r="DI121" s="0"/>
      <c r="DJ121" s="0"/>
      <c r="DK121" s="0"/>
      <c r="DL121" s="0"/>
      <c r="DM121" s="0"/>
      <c r="DN121" s="0"/>
      <c r="DO121" s="0"/>
      <c r="DP121" s="0"/>
      <c r="DQ121" s="0"/>
      <c r="DR121" s="0"/>
      <c r="DS121" s="0"/>
      <c r="DT121" s="0"/>
      <c r="DU121" s="0"/>
      <c r="DV121" s="0"/>
      <c r="DW121" s="0"/>
      <c r="DX121" s="0"/>
      <c r="DY121" s="0"/>
      <c r="DZ121" s="0"/>
      <c r="EA121" s="0"/>
      <c r="EB121" s="0"/>
      <c r="EC121" s="0"/>
      <c r="ED121" s="0"/>
      <c r="EE121" s="0"/>
      <c r="EF121" s="0"/>
      <c r="EG121" s="0"/>
      <c r="EH121" s="0"/>
      <c r="EI121" s="0"/>
      <c r="EJ121" s="0"/>
      <c r="EK121" s="0"/>
      <c r="EL121" s="0"/>
      <c r="EM121" s="0"/>
      <c r="EN121" s="0"/>
      <c r="EO121" s="0"/>
      <c r="EP121" s="0"/>
      <c r="EQ121" s="0"/>
      <c r="ER121" s="0"/>
      <c r="ES121" s="0"/>
      <c r="ET121" s="0"/>
      <c r="EU121" s="0"/>
      <c r="EV121" s="0"/>
      <c r="EW121" s="0"/>
      <c r="EX121" s="0"/>
      <c r="EY121" s="0"/>
      <c r="EZ121" s="0"/>
      <c r="FA121" s="0"/>
      <c r="FB121" s="0"/>
      <c r="FC121" s="0"/>
      <c r="FD121" s="0"/>
      <c r="FE121" s="0"/>
      <c r="FF121" s="0"/>
      <c r="FG121" s="0"/>
      <c r="FH121" s="0"/>
      <c r="FI121" s="0"/>
      <c r="FJ121" s="0"/>
      <c r="FK121" s="0"/>
      <c r="FL121" s="0"/>
      <c r="FM121" s="0"/>
      <c r="FN121" s="0"/>
      <c r="FO121" s="0"/>
      <c r="FP121" s="0"/>
      <c r="FQ121" s="0"/>
      <c r="FR121" s="0"/>
      <c r="FS121" s="0"/>
      <c r="FT121" s="0"/>
      <c r="FU121" s="0"/>
      <c r="FV121" s="0"/>
      <c r="FW121" s="0"/>
      <c r="FX121" s="0"/>
      <c r="FY121" s="0"/>
      <c r="FZ121" s="0"/>
      <c r="GA121" s="0"/>
      <c r="GB121" s="0"/>
      <c r="GC121" s="0"/>
      <c r="GD121" s="0"/>
      <c r="GE121" s="0"/>
      <c r="GF121" s="0"/>
      <c r="GG121" s="0"/>
      <c r="GH121" s="0"/>
      <c r="GI121" s="0"/>
      <c r="GJ121" s="0"/>
      <c r="GK121" s="0"/>
      <c r="GL121" s="0"/>
      <c r="GM121" s="0"/>
      <c r="GN121" s="0"/>
      <c r="GO121" s="0"/>
      <c r="GP121" s="0"/>
      <c r="GQ121" s="0"/>
      <c r="GR121" s="0"/>
      <c r="GS121" s="0"/>
      <c r="GT121" s="0"/>
      <c r="GU121" s="0"/>
      <c r="GV121" s="0"/>
      <c r="GW121" s="0"/>
      <c r="GX121" s="0"/>
      <c r="GY121" s="0"/>
      <c r="GZ121" s="0"/>
      <c r="HA121" s="0"/>
      <c r="HB121" s="0"/>
      <c r="HC121" s="0"/>
      <c r="HD121" s="0"/>
      <c r="HE121" s="0"/>
      <c r="HF121" s="0"/>
      <c r="HG121" s="0"/>
      <c r="HH121" s="0"/>
      <c r="HI121" s="0"/>
      <c r="HJ121" s="0"/>
      <c r="HK121" s="0"/>
      <c r="HL121" s="0"/>
      <c r="HM121" s="0"/>
      <c r="HN121" s="0"/>
      <c r="HO121" s="0"/>
      <c r="HP121" s="0"/>
      <c r="HQ121" s="0"/>
      <c r="HR121" s="0"/>
      <c r="HS121" s="0"/>
      <c r="HT121" s="0"/>
      <c r="HU121" s="0"/>
      <c r="HV121" s="0"/>
      <c r="HW121" s="0"/>
      <c r="HX121" s="0"/>
      <c r="HY121" s="0"/>
      <c r="HZ121" s="0"/>
      <c r="IA121" s="0"/>
      <c r="IB121" s="0"/>
      <c r="IC121" s="0"/>
      <c r="ID121" s="0"/>
      <c r="IE121" s="0"/>
      <c r="IF121" s="0"/>
      <c r="IG121" s="0"/>
      <c r="IH121" s="0"/>
      <c r="II121" s="0"/>
      <c r="IJ121" s="0"/>
      <c r="IK121" s="0"/>
      <c r="IL121" s="0"/>
      <c r="IM121" s="0"/>
      <c r="IN121" s="0"/>
      <c r="IO121" s="0"/>
      <c r="IP121" s="0"/>
      <c r="IQ121" s="0"/>
      <c r="IR121" s="0"/>
      <c r="IS121" s="0"/>
      <c r="IT121" s="0"/>
      <c r="IU121" s="0"/>
      <c r="IV121" s="0"/>
      <c r="IW121" s="0"/>
    </row>
    <row r="122" customFormat="false" ht="12.6" hidden="false" customHeight="true" outlineLevel="0" collapsed="false">
      <c r="A122" s="5"/>
      <c r="B122" s="5"/>
      <c r="C122" s="5"/>
      <c r="D122" s="5"/>
      <c r="E122" s="5"/>
      <c r="F122" s="5"/>
      <c r="G122" s="5"/>
      <c r="H122" s="5"/>
      <c r="I122" s="5"/>
      <c r="J122" s="5"/>
      <c r="K122" s="5"/>
      <c r="L122" s="5"/>
      <c r="M122" s="5"/>
      <c r="N122" s="5"/>
      <c r="O122" s="5"/>
      <c r="P122" s="5"/>
      <c r="Q122" s="5"/>
      <c r="R122" s="5"/>
      <c r="S122" s="5"/>
      <c r="T122" s="5"/>
      <c r="U122" s="5"/>
      <c r="V122" s="5"/>
      <c r="W122" s="5"/>
      <c r="X122" s="0"/>
      <c r="Y122" s="0"/>
      <c r="Z122" s="0"/>
      <c r="AA122" s="0"/>
      <c r="AB122" s="0"/>
      <c r="AC122" s="0"/>
      <c r="AD122" s="0"/>
      <c r="AF122" s="0"/>
      <c r="AG122" s="0"/>
      <c r="AH122" s="0"/>
      <c r="AI122" s="0"/>
      <c r="AJ122" s="0"/>
      <c r="AK122" s="0"/>
      <c r="AL122" s="0"/>
      <c r="AM122" s="0"/>
      <c r="AN122" s="0"/>
      <c r="AO122" s="0"/>
      <c r="AP122" s="0"/>
      <c r="AQ122" s="0"/>
      <c r="AR122" s="0"/>
      <c r="AS122" s="0"/>
      <c r="AT122" s="0"/>
      <c r="AU122" s="0"/>
      <c r="AV122" s="0"/>
      <c r="AW122" s="0"/>
      <c r="AX122" s="0"/>
      <c r="AY122" s="0"/>
      <c r="AZ122" s="0"/>
      <c r="BA122" s="0"/>
      <c r="BB122" s="0"/>
      <c r="BC122" s="0"/>
      <c r="BD122" s="0"/>
      <c r="BE122" s="0"/>
      <c r="BF122" s="0"/>
      <c r="BG122" s="0"/>
      <c r="BH122" s="0"/>
      <c r="BI122" s="0"/>
      <c r="BJ122" s="0"/>
      <c r="BK122" s="0"/>
      <c r="BL122" s="0"/>
      <c r="BM122" s="0"/>
      <c r="BN122" s="0"/>
      <c r="BO122" s="0"/>
      <c r="BP122" s="0"/>
      <c r="BQ122" s="0"/>
      <c r="BR122" s="0"/>
      <c r="BS122" s="0"/>
      <c r="BT122" s="0"/>
      <c r="BU122" s="0"/>
      <c r="BV122" s="0"/>
      <c r="BW122" s="0"/>
      <c r="BX122" s="0"/>
      <c r="BY122" s="0"/>
      <c r="BZ122" s="0"/>
      <c r="CA122" s="0"/>
      <c r="CB122" s="0"/>
      <c r="CC122" s="0"/>
      <c r="CD122" s="0"/>
      <c r="CE122" s="0"/>
      <c r="CF122" s="0"/>
      <c r="CG122" s="0"/>
      <c r="CH122" s="0"/>
      <c r="CI122" s="0"/>
      <c r="CJ122" s="0"/>
      <c r="CK122" s="0"/>
      <c r="CL122" s="0"/>
      <c r="CM122" s="0"/>
      <c r="CN122" s="0"/>
      <c r="CO122" s="0"/>
      <c r="CP122" s="0"/>
      <c r="CQ122" s="0"/>
      <c r="CR122" s="0"/>
      <c r="CS122" s="0"/>
      <c r="CT122" s="0"/>
      <c r="CU122" s="0"/>
      <c r="CV122" s="0"/>
      <c r="CW122" s="0"/>
      <c r="CX122" s="0"/>
      <c r="CY122" s="0"/>
      <c r="CZ122" s="0"/>
      <c r="DA122" s="0"/>
      <c r="DB122" s="0"/>
      <c r="DC122" s="0"/>
      <c r="DD122" s="0"/>
      <c r="DE122" s="0"/>
      <c r="DF122" s="0"/>
      <c r="DG122" s="0"/>
      <c r="DH122" s="0"/>
      <c r="DI122" s="0"/>
      <c r="DJ122" s="0"/>
      <c r="DK122" s="0"/>
      <c r="DL122" s="0"/>
      <c r="DM122" s="0"/>
      <c r="DN122" s="0"/>
      <c r="DO122" s="0"/>
      <c r="DP122" s="0"/>
      <c r="DQ122" s="0"/>
      <c r="DR122" s="0"/>
      <c r="DS122" s="0"/>
      <c r="DT122" s="0"/>
      <c r="DU122" s="0"/>
      <c r="DV122" s="0"/>
      <c r="DW122" s="0"/>
      <c r="DX122" s="0"/>
      <c r="DY122" s="0"/>
      <c r="DZ122" s="0"/>
      <c r="EA122" s="0"/>
      <c r="EB122" s="0"/>
      <c r="EC122" s="0"/>
      <c r="ED122" s="0"/>
      <c r="EE122" s="0"/>
      <c r="EF122" s="0"/>
      <c r="EG122" s="0"/>
      <c r="EH122" s="0"/>
      <c r="EI122" s="0"/>
      <c r="EJ122" s="0"/>
      <c r="EK122" s="0"/>
      <c r="EL122" s="0"/>
      <c r="EM122" s="0"/>
      <c r="EN122" s="0"/>
      <c r="EO122" s="0"/>
      <c r="EP122" s="0"/>
      <c r="EQ122" s="0"/>
      <c r="ER122" s="0"/>
      <c r="ES122" s="0"/>
      <c r="ET122" s="0"/>
      <c r="EU122" s="0"/>
      <c r="EV122" s="0"/>
      <c r="EW122" s="0"/>
      <c r="EX122" s="0"/>
      <c r="EY122" s="0"/>
      <c r="EZ122" s="0"/>
      <c r="FA122" s="0"/>
      <c r="FB122" s="0"/>
      <c r="FC122" s="0"/>
      <c r="FD122" s="0"/>
      <c r="FE122" s="0"/>
      <c r="FF122" s="0"/>
      <c r="FG122" s="0"/>
      <c r="FH122" s="0"/>
      <c r="FI122" s="0"/>
      <c r="FJ122" s="0"/>
      <c r="FK122" s="0"/>
      <c r="FL122" s="0"/>
      <c r="FM122" s="0"/>
      <c r="FN122" s="0"/>
      <c r="FO122" s="0"/>
      <c r="FP122" s="0"/>
      <c r="FQ122" s="0"/>
      <c r="FR122" s="0"/>
      <c r="FS122" s="0"/>
      <c r="FT122" s="0"/>
      <c r="FU122" s="0"/>
      <c r="FV122" s="0"/>
      <c r="FW122" s="0"/>
      <c r="FX122" s="0"/>
      <c r="FY122" s="0"/>
      <c r="FZ122" s="0"/>
      <c r="GA122" s="0"/>
      <c r="GB122" s="0"/>
      <c r="GC122" s="0"/>
      <c r="GD122" s="0"/>
      <c r="GE122" s="0"/>
      <c r="GF122" s="0"/>
      <c r="GG122" s="0"/>
      <c r="GH122" s="0"/>
      <c r="GI122" s="0"/>
      <c r="GJ122" s="0"/>
      <c r="GK122" s="0"/>
      <c r="GL122" s="0"/>
      <c r="GM122" s="0"/>
      <c r="GN122" s="0"/>
      <c r="GO122" s="0"/>
      <c r="GP122" s="0"/>
      <c r="GQ122" s="0"/>
      <c r="GR122" s="0"/>
      <c r="GS122" s="0"/>
      <c r="GT122" s="0"/>
      <c r="GU122" s="0"/>
      <c r="GV122" s="0"/>
      <c r="GW122" s="0"/>
      <c r="GX122" s="0"/>
      <c r="GY122" s="0"/>
      <c r="GZ122" s="0"/>
      <c r="HA122" s="0"/>
      <c r="HB122" s="0"/>
      <c r="HC122" s="0"/>
      <c r="HD122" s="0"/>
      <c r="HE122" s="0"/>
      <c r="HF122" s="0"/>
      <c r="HG122" s="0"/>
      <c r="HH122" s="0"/>
      <c r="HI122" s="0"/>
      <c r="HJ122" s="0"/>
      <c r="HK122" s="0"/>
      <c r="HL122" s="0"/>
      <c r="HM122" s="0"/>
      <c r="HN122" s="0"/>
      <c r="HO122" s="0"/>
      <c r="HP122" s="0"/>
      <c r="HQ122" s="0"/>
      <c r="HR122" s="0"/>
      <c r="HS122" s="0"/>
      <c r="HT122" s="0"/>
      <c r="HU122" s="0"/>
      <c r="HV122" s="0"/>
      <c r="HW122" s="0"/>
      <c r="HX122" s="0"/>
      <c r="HY122" s="0"/>
      <c r="HZ122" s="0"/>
      <c r="IA122" s="0"/>
      <c r="IB122" s="0"/>
      <c r="IC122" s="0"/>
      <c r="ID122" s="0"/>
      <c r="IE122" s="0"/>
      <c r="IF122" s="0"/>
      <c r="IG122" s="0"/>
      <c r="IH122" s="0"/>
      <c r="II122" s="0"/>
      <c r="IJ122" s="0"/>
      <c r="IK122" s="0"/>
      <c r="IL122" s="0"/>
      <c r="IM122" s="0"/>
      <c r="IN122" s="0"/>
      <c r="IO122" s="0"/>
      <c r="IP122" s="0"/>
      <c r="IQ122" s="0"/>
      <c r="IR122" s="0"/>
      <c r="IS122" s="0"/>
      <c r="IT122" s="0"/>
      <c r="IU122" s="0"/>
      <c r="IV122" s="0"/>
      <c r="IW122" s="0"/>
    </row>
    <row r="123" customFormat="false" ht="12.6" hidden="false" customHeight="true" outlineLevel="0" collapsed="false">
      <c r="A123" s="5"/>
      <c r="B123" s="5"/>
      <c r="C123" s="5"/>
      <c r="D123" s="5"/>
      <c r="E123" s="5"/>
      <c r="F123" s="5"/>
      <c r="G123" s="5"/>
      <c r="H123" s="5"/>
      <c r="I123" s="5"/>
      <c r="J123" s="5"/>
      <c r="K123" s="5"/>
      <c r="L123" s="5"/>
      <c r="M123" s="5"/>
      <c r="N123" s="5"/>
      <c r="O123" s="5"/>
      <c r="P123" s="5"/>
      <c r="Q123" s="5"/>
      <c r="R123" s="5"/>
      <c r="S123" s="5"/>
      <c r="T123" s="5"/>
      <c r="U123" s="5"/>
      <c r="V123" s="5"/>
      <c r="W123" s="5"/>
      <c r="X123" s="0"/>
      <c r="Y123" s="0"/>
      <c r="Z123" s="0"/>
      <c r="AA123" s="0"/>
      <c r="AB123" s="0"/>
      <c r="AC123" s="0"/>
      <c r="AD123" s="0"/>
      <c r="AF123" s="0"/>
      <c r="AG123" s="0"/>
      <c r="AH123" s="0"/>
      <c r="AI123" s="0"/>
      <c r="AJ123" s="0"/>
      <c r="AK123" s="0"/>
      <c r="AL123" s="0"/>
      <c r="AM123" s="0"/>
      <c r="AN123" s="0"/>
      <c r="AO123" s="0"/>
      <c r="AP123" s="0"/>
      <c r="AQ123" s="0"/>
      <c r="AR123" s="0"/>
      <c r="AS123" s="0"/>
      <c r="AT123" s="0"/>
      <c r="AU123" s="0"/>
      <c r="AV123" s="0"/>
      <c r="AW123" s="0"/>
      <c r="AX123" s="0"/>
      <c r="AY123" s="0"/>
      <c r="AZ123" s="0"/>
      <c r="BA123" s="0"/>
      <c r="BB123" s="0"/>
      <c r="BC123" s="0"/>
      <c r="BD123" s="0"/>
      <c r="BE123" s="0"/>
      <c r="BF123" s="0"/>
      <c r="BG123" s="0"/>
      <c r="BH123" s="0"/>
      <c r="BI123" s="0"/>
      <c r="BJ123" s="0"/>
      <c r="BK123" s="0"/>
      <c r="BL123" s="0"/>
      <c r="BM123" s="0"/>
      <c r="BN123" s="0"/>
      <c r="BO123" s="0"/>
      <c r="BP123" s="0"/>
      <c r="BQ123" s="0"/>
      <c r="BR123" s="0"/>
      <c r="BS123" s="0"/>
      <c r="BT123" s="0"/>
      <c r="BU123" s="0"/>
      <c r="BV123" s="0"/>
      <c r="BW123" s="0"/>
      <c r="BX123" s="0"/>
      <c r="BY123" s="0"/>
      <c r="BZ123" s="0"/>
      <c r="CA123" s="0"/>
      <c r="CB123" s="0"/>
      <c r="CC123" s="0"/>
      <c r="CD123" s="0"/>
      <c r="CE123" s="0"/>
      <c r="CF123" s="0"/>
      <c r="CG123" s="0"/>
      <c r="CH123" s="0"/>
      <c r="CI123" s="0"/>
      <c r="CJ123" s="0"/>
      <c r="CK123" s="0"/>
      <c r="CL123" s="0"/>
      <c r="CM123" s="0"/>
      <c r="CN123" s="0"/>
      <c r="CO123" s="0"/>
      <c r="CP123" s="0"/>
      <c r="CQ123" s="0"/>
      <c r="CR123" s="0"/>
      <c r="CS123" s="0"/>
      <c r="CT123" s="0"/>
      <c r="CU123" s="0"/>
      <c r="CV123" s="0"/>
      <c r="CW123" s="0"/>
      <c r="CX123" s="0"/>
      <c r="CY123" s="0"/>
      <c r="CZ123" s="0"/>
      <c r="DA123" s="0"/>
      <c r="DB123" s="0"/>
      <c r="DC123" s="0"/>
      <c r="DD123" s="0"/>
      <c r="DE123" s="0"/>
      <c r="DF123" s="0"/>
      <c r="DG123" s="0"/>
      <c r="DH123" s="0"/>
      <c r="DI123" s="0"/>
      <c r="DJ123" s="0"/>
      <c r="DK123" s="0"/>
      <c r="DL123" s="0"/>
      <c r="DM123" s="0"/>
      <c r="DN123" s="0"/>
      <c r="DO123" s="0"/>
      <c r="DP123" s="0"/>
      <c r="DQ123" s="0"/>
      <c r="DR123" s="0"/>
      <c r="DS123" s="0"/>
      <c r="DT123" s="0"/>
      <c r="DU123" s="0"/>
      <c r="DV123" s="0"/>
      <c r="DW123" s="0"/>
      <c r="DX123" s="0"/>
      <c r="DY123" s="0"/>
      <c r="DZ123" s="0"/>
      <c r="EA123" s="0"/>
      <c r="EB123" s="0"/>
      <c r="EC123" s="0"/>
      <c r="ED123" s="0"/>
      <c r="EE123" s="0"/>
      <c r="EF123" s="0"/>
      <c r="EG123" s="0"/>
      <c r="EH123" s="0"/>
      <c r="EI123" s="0"/>
      <c r="EJ123" s="0"/>
      <c r="EK123" s="0"/>
      <c r="EL123" s="0"/>
      <c r="EM123" s="0"/>
      <c r="EN123" s="0"/>
      <c r="EO123" s="0"/>
      <c r="EP123" s="0"/>
      <c r="EQ123" s="0"/>
      <c r="ER123" s="0"/>
      <c r="ES123" s="0"/>
      <c r="ET123" s="0"/>
      <c r="EU123" s="0"/>
      <c r="EV123" s="0"/>
      <c r="EW123" s="0"/>
      <c r="EX123" s="0"/>
      <c r="EY123" s="0"/>
      <c r="EZ123" s="0"/>
      <c r="FA123" s="0"/>
      <c r="FB123" s="0"/>
      <c r="FC123" s="0"/>
      <c r="FD123" s="0"/>
      <c r="FE123" s="0"/>
      <c r="FF123" s="0"/>
      <c r="FG123" s="0"/>
      <c r="FH123" s="0"/>
      <c r="FI123" s="0"/>
      <c r="FJ123" s="0"/>
      <c r="FK123" s="0"/>
      <c r="FL123" s="0"/>
      <c r="FM123" s="0"/>
      <c r="FN123" s="0"/>
      <c r="FO123" s="0"/>
      <c r="FP123" s="0"/>
      <c r="FQ123" s="0"/>
      <c r="FR123" s="0"/>
      <c r="FS123" s="0"/>
      <c r="FT123" s="0"/>
      <c r="FU123" s="0"/>
      <c r="FV123" s="0"/>
      <c r="FW123" s="0"/>
      <c r="FX123" s="0"/>
      <c r="FY123" s="0"/>
      <c r="FZ123" s="0"/>
      <c r="GA123" s="0"/>
      <c r="GB123" s="0"/>
      <c r="GC123" s="0"/>
      <c r="GD123" s="0"/>
      <c r="GE123" s="0"/>
      <c r="GF123" s="0"/>
      <c r="GG123" s="0"/>
      <c r="GH123" s="0"/>
      <c r="GI123" s="0"/>
      <c r="GJ123" s="0"/>
      <c r="GK123" s="0"/>
      <c r="GL123" s="0"/>
      <c r="GM123" s="0"/>
      <c r="GN123" s="0"/>
      <c r="GO123" s="0"/>
      <c r="GP123" s="0"/>
      <c r="GQ123" s="0"/>
      <c r="GR123" s="0"/>
      <c r="GS123" s="0"/>
      <c r="GT123" s="0"/>
      <c r="GU123" s="0"/>
      <c r="GV123" s="0"/>
      <c r="GW123" s="0"/>
      <c r="GX123" s="0"/>
      <c r="GY123" s="0"/>
      <c r="GZ123" s="0"/>
      <c r="HA123" s="0"/>
      <c r="HB123" s="0"/>
      <c r="HC123" s="0"/>
      <c r="HD123" s="0"/>
      <c r="HE123" s="0"/>
      <c r="HF123" s="0"/>
      <c r="HG123" s="0"/>
      <c r="HH123" s="0"/>
      <c r="HI123" s="0"/>
      <c r="HJ123" s="0"/>
      <c r="HK123" s="0"/>
      <c r="HL123" s="0"/>
      <c r="HM123" s="0"/>
      <c r="HN123" s="0"/>
      <c r="HO123" s="0"/>
      <c r="HP123" s="0"/>
      <c r="HQ123" s="0"/>
      <c r="HR123" s="0"/>
      <c r="HS123" s="0"/>
      <c r="HT123" s="0"/>
      <c r="HU123" s="0"/>
      <c r="HV123" s="0"/>
      <c r="HW123" s="0"/>
      <c r="HX123" s="0"/>
      <c r="HY123" s="0"/>
      <c r="HZ123" s="0"/>
      <c r="IA123" s="0"/>
      <c r="IB123" s="0"/>
      <c r="IC123" s="0"/>
      <c r="ID123" s="0"/>
      <c r="IE123" s="0"/>
      <c r="IF123" s="0"/>
      <c r="IG123" s="0"/>
      <c r="IH123" s="0"/>
      <c r="II123" s="0"/>
      <c r="IJ123" s="0"/>
      <c r="IK123" s="0"/>
      <c r="IL123" s="0"/>
      <c r="IM123" s="0"/>
      <c r="IN123" s="0"/>
      <c r="IO123" s="0"/>
      <c r="IP123" s="0"/>
      <c r="IQ123" s="0"/>
      <c r="IR123" s="0"/>
      <c r="IS123" s="0"/>
      <c r="IT123" s="0"/>
      <c r="IU123" s="0"/>
      <c r="IV123" s="0"/>
      <c r="IW123" s="0"/>
    </row>
    <row r="124" customFormat="false" ht="12.6" hidden="false" customHeight="true" outlineLevel="0" collapsed="false">
      <c r="A124" s="5"/>
      <c r="B124" s="5"/>
      <c r="C124" s="5"/>
      <c r="D124" s="5"/>
      <c r="E124" s="5"/>
      <c r="F124" s="5"/>
      <c r="G124" s="5"/>
      <c r="H124" s="5"/>
      <c r="I124" s="5"/>
      <c r="J124" s="5"/>
      <c r="K124" s="5"/>
      <c r="L124" s="5"/>
      <c r="M124" s="5"/>
      <c r="N124" s="5"/>
      <c r="O124" s="5"/>
      <c r="P124" s="5"/>
      <c r="Q124" s="5"/>
      <c r="R124" s="5"/>
      <c r="S124" s="5"/>
      <c r="T124" s="5"/>
      <c r="U124" s="5"/>
      <c r="V124" s="5"/>
      <c r="W124" s="5"/>
      <c r="X124" s="0"/>
      <c r="Y124" s="0"/>
      <c r="Z124" s="0"/>
      <c r="AA124" s="0"/>
      <c r="AB124" s="0"/>
      <c r="AC124" s="0"/>
      <c r="AD124" s="0"/>
      <c r="AF124" s="0"/>
      <c r="AG124" s="0"/>
      <c r="AH124" s="0"/>
      <c r="AI124" s="0"/>
      <c r="AJ124" s="0"/>
      <c r="AK124" s="0"/>
      <c r="AL124" s="0"/>
      <c r="AM124" s="0"/>
      <c r="AN124" s="0"/>
      <c r="AO124" s="0"/>
      <c r="AP124" s="0"/>
      <c r="AQ124" s="0"/>
      <c r="AR124" s="0"/>
      <c r="AS124" s="0"/>
      <c r="AT124" s="0"/>
      <c r="AU124" s="0"/>
      <c r="AV124" s="0"/>
      <c r="AW124" s="0"/>
      <c r="AX124" s="0"/>
      <c r="AY124" s="0"/>
      <c r="AZ124" s="0"/>
      <c r="BA124" s="0"/>
      <c r="BB124" s="0"/>
      <c r="BC124" s="0"/>
      <c r="BD124" s="0"/>
      <c r="BE124" s="0"/>
      <c r="BF124" s="0"/>
      <c r="BG124" s="0"/>
      <c r="BH124" s="0"/>
      <c r="BI124" s="0"/>
      <c r="BJ124" s="0"/>
      <c r="BK124" s="0"/>
      <c r="BL124" s="0"/>
      <c r="BM124" s="0"/>
      <c r="BN124" s="0"/>
      <c r="BO124" s="0"/>
      <c r="BP124" s="0"/>
      <c r="BQ124" s="0"/>
      <c r="BR124" s="0"/>
      <c r="BS124" s="0"/>
      <c r="BT124" s="0"/>
      <c r="BU124" s="0"/>
      <c r="BV124" s="0"/>
      <c r="BW124" s="0"/>
      <c r="BX124" s="0"/>
      <c r="BY124" s="0"/>
      <c r="BZ124" s="0"/>
      <c r="CA124" s="0"/>
      <c r="CB124" s="0"/>
      <c r="CC124" s="0"/>
      <c r="CD124" s="0"/>
      <c r="CE124" s="0"/>
      <c r="CF124" s="0"/>
      <c r="CG124" s="0"/>
      <c r="CH124" s="0"/>
      <c r="CI124" s="0"/>
      <c r="CJ124" s="0"/>
      <c r="CK124" s="0"/>
      <c r="CL124" s="0"/>
      <c r="CM124" s="0"/>
      <c r="CN124" s="0"/>
      <c r="CO124" s="0"/>
      <c r="CP124" s="0"/>
      <c r="CQ124" s="0"/>
      <c r="CR124" s="0"/>
      <c r="CS124" s="0"/>
      <c r="CT124" s="0"/>
      <c r="CU124" s="0"/>
      <c r="CV124" s="0"/>
      <c r="CW124" s="0"/>
      <c r="CX124" s="0"/>
      <c r="CY124" s="0"/>
      <c r="CZ124" s="0"/>
      <c r="DA124" s="0"/>
      <c r="DB124" s="0"/>
      <c r="DC124" s="0"/>
      <c r="DD124" s="0"/>
      <c r="DE124" s="0"/>
      <c r="DF124" s="0"/>
      <c r="DG124" s="0"/>
      <c r="DH124" s="0"/>
      <c r="DI124" s="0"/>
      <c r="DJ124" s="0"/>
      <c r="DK124" s="0"/>
      <c r="DL124" s="0"/>
      <c r="DM124" s="0"/>
      <c r="DN124" s="0"/>
      <c r="DO124" s="0"/>
      <c r="DP124" s="0"/>
      <c r="DQ124" s="0"/>
      <c r="DR124" s="0"/>
      <c r="DS124" s="0"/>
      <c r="DT124" s="0"/>
      <c r="DU124" s="0"/>
      <c r="DV124" s="0"/>
      <c r="DW124" s="0"/>
      <c r="DX124" s="0"/>
      <c r="DY124" s="0"/>
      <c r="DZ124" s="0"/>
      <c r="EA124" s="0"/>
      <c r="EB124" s="0"/>
      <c r="EC124" s="0"/>
      <c r="ED124" s="0"/>
      <c r="EE124" s="0"/>
      <c r="EF124" s="0"/>
      <c r="EG124" s="0"/>
      <c r="EH124" s="0"/>
      <c r="EI124" s="0"/>
      <c r="EJ124" s="0"/>
      <c r="EK124" s="0"/>
      <c r="EL124" s="0"/>
      <c r="EM124" s="0"/>
      <c r="EN124" s="0"/>
      <c r="EO124" s="0"/>
      <c r="EP124" s="0"/>
      <c r="EQ124" s="0"/>
      <c r="ER124" s="0"/>
      <c r="ES124" s="0"/>
      <c r="ET124" s="0"/>
      <c r="EU124" s="0"/>
      <c r="EV124" s="0"/>
      <c r="EW124" s="0"/>
      <c r="EX124" s="0"/>
      <c r="EY124" s="0"/>
      <c r="EZ124" s="0"/>
      <c r="FA124" s="0"/>
      <c r="FB124" s="0"/>
      <c r="FC124" s="0"/>
      <c r="FD124" s="0"/>
      <c r="FE124" s="0"/>
      <c r="FF124" s="0"/>
      <c r="FG124" s="0"/>
      <c r="FH124" s="0"/>
      <c r="FI124" s="0"/>
      <c r="FJ124" s="0"/>
      <c r="FK124" s="0"/>
      <c r="FL124" s="0"/>
      <c r="FM124" s="0"/>
      <c r="FN124" s="0"/>
      <c r="FO124" s="0"/>
      <c r="FP124" s="0"/>
      <c r="FQ124" s="0"/>
      <c r="FR124" s="0"/>
      <c r="FS124" s="0"/>
      <c r="FT124" s="0"/>
      <c r="FU124" s="0"/>
      <c r="FV124" s="0"/>
      <c r="FW124" s="0"/>
      <c r="FX124" s="0"/>
      <c r="FY124" s="0"/>
      <c r="FZ124" s="0"/>
      <c r="GA124" s="0"/>
      <c r="GB124" s="0"/>
      <c r="GC124" s="0"/>
      <c r="GD124" s="0"/>
      <c r="GE124" s="0"/>
      <c r="GF124" s="0"/>
      <c r="GG124" s="0"/>
      <c r="GH124" s="0"/>
      <c r="GI124" s="0"/>
      <c r="GJ124" s="0"/>
      <c r="GK124" s="0"/>
      <c r="GL124" s="0"/>
      <c r="GM124" s="0"/>
      <c r="GN124" s="0"/>
      <c r="GO124" s="0"/>
      <c r="GP124" s="0"/>
      <c r="GQ124" s="0"/>
      <c r="GR124" s="0"/>
      <c r="GS124" s="0"/>
      <c r="GT124" s="0"/>
      <c r="GU124" s="0"/>
      <c r="GV124" s="0"/>
      <c r="GW124" s="0"/>
      <c r="GX124" s="0"/>
      <c r="GY124" s="0"/>
      <c r="GZ124" s="0"/>
      <c r="HA124" s="0"/>
      <c r="HB124" s="0"/>
      <c r="HC124" s="0"/>
      <c r="HD124" s="0"/>
      <c r="HE124" s="0"/>
      <c r="HF124" s="0"/>
      <c r="HG124" s="0"/>
      <c r="HH124" s="0"/>
      <c r="HI124" s="0"/>
      <c r="HJ124" s="0"/>
      <c r="HK124" s="0"/>
      <c r="HL124" s="0"/>
      <c r="HM124" s="0"/>
      <c r="HN124" s="0"/>
      <c r="HO124" s="0"/>
      <c r="HP124" s="0"/>
      <c r="HQ124" s="0"/>
      <c r="HR124" s="0"/>
      <c r="HS124" s="0"/>
      <c r="HT124" s="0"/>
      <c r="HU124" s="0"/>
      <c r="HV124" s="0"/>
      <c r="HW124" s="0"/>
      <c r="HX124" s="0"/>
      <c r="HY124" s="0"/>
      <c r="HZ124" s="0"/>
      <c r="IA124" s="0"/>
      <c r="IB124" s="0"/>
      <c r="IC124" s="0"/>
      <c r="ID124" s="0"/>
      <c r="IE124" s="0"/>
      <c r="IF124" s="0"/>
      <c r="IG124" s="0"/>
      <c r="IH124" s="0"/>
      <c r="II124" s="0"/>
      <c r="IJ124" s="0"/>
      <c r="IK124" s="0"/>
      <c r="IL124" s="0"/>
      <c r="IM124" s="0"/>
      <c r="IN124" s="0"/>
      <c r="IO124" s="0"/>
      <c r="IP124" s="0"/>
      <c r="IQ124" s="0"/>
      <c r="IR124" s="0"/>
      <c r="IS124" s="0"/>
      <c r="IT124" s="0"/>
      <c r="IU124" s="0"/>
      <c r="IV124" s="0"/>
      <c r="IW124" s="0"/>
    </row>
    <row r="125" customFormat="false" ht="12.6" hidden="false" customHeight="true" outlineLevel="0" collapsed="false">
      <c r="A125" s="5"/>
      <c r="B125" s="5"/>
      <c r="C125" s="5"/>
      <c r="D125" s="5"/>
      <c r="E125" s="5"/>
      <c r="F125" s="5"/>
      <c r="G125" s="5"/>
      <c r="H125" s="5"/>
      <c r="I125" s="5"/>
      <c r="J125" s="5"/>
      <c r="K125" s="5"/>
      <c r="L125" s="5"/>
      <c r="M125" s="5"/>
      <c r="N125" s="5"/>
      <c r="O125" s="5"/>
      <c r="P125" s="5"/>
      <c r="Q125" s="5"/>
      <c r="R125" s="5"/>
      <c r="S125" s="5"/>
      <c r="T125" s="5"/>
      <c r="U125" s="5"/>
      <c r="V125" s="5"/>
      <c r="W125" s="5"/>
      <c r="X125" s="0"/>
      <c r="Y125" s="0"/>
      <c r="Z125" s="0"/>
      <c r="AA125" s="0"/>
      <c r="AB125" s="0"/>
      <c r="AC125" s="0"/>
      <c r="AD125" s="0"/>
      <c r="AF125" s="0"/>
      <c r="AG125" s="0"/>
      <c r="AH125" s="0"/>
      <c r="AI125" s="0"/>
      <c r="AJ125" s="0"/>
      <c r="AK125" s="0"/>
      <c r="AL125" s="0"/>
      <c r="AM125" s="0"/>
      <c r="AN125" s="0"/>
      <c r="AO125" s="0"/>
      <c r="AP125" s="0"/>
      <c r="AQ125" s="0"/>
      <c r="AR125" s="0"/>
      <c r="AS125" s="0"/>
      <c r="AT125" s="0"/>
      <c r="AU125" s="0"/>
      <c r="AV125" s="0"/>
      <c r="AW125" s="0"/>
      <c r="AX125" s="0"/>
      <c r="AY125" s="0"/>
      <c r="AZ125" s="0"/>
      <c r="BA125" s="0"/>
      <c r="BB125" s="0"/>
      <c r="BC125" s="0"/>
      <c r="BD125" s="0"/>
      <c r="BE125" s="0"/>
      <c r="BF125" s="0"/>
      <c r="BG125" s="0"/>
      <c r="BH125" s="0"/>
      <c r="BI125" s="0"/>
      <c r="BJ125" s="0"/>
      <c r="BK125" s="0"/>
      <c r="BL125" s="0"/>
      <c r="BM125" s="0"/>
      <c r="BN125" s="0"/>
      <c r="BO125" s="0"/>
      <c r="BP125" s="0"/>
      <c r="BQ125" s="0"/>
      <c r="BR125" s="0"/>
      <c r="BS125" s="0"/>
      <c r="BT125" s="0"/>
      <c r="BU125" s="0"/>
      <c r="BV125" s="0"/>
      <c r="BW125" s="0"/>
      <c r="BX125" s="0"/>
      <c r="BY125" s="0"/>
      <c r="BZ125" s="0"/>
      <c r="CA125" s="0"/>
      <c r="CB125" s="0"/>
      <c r="CC125" s="0"/>
      <c r="CD125" s="0"/>
      <c r="CE125" s="0"/>
      <c r="CF125" s="0"/>
      <c r="CG125" s="0"/>
      <c r="CH125" s="0"/>
      <c r="CI125" s="0"/>
      <c r="CJ125" s="0"/>
      <c r="CK125" s="0"/>
      <c r="CL125" s="0"/>
      <c r="CM125" s="0"/>
      <c r="CN125" s="0"/>
      <c r="CO125" s="0"/>
      <c r="CP125" s="0"/>
      <c r="CQ125" s="0"/>
      <c r="CR125" s="0"/>
      <c r="CS125" s="0"/>
      <c r="CT125" s="0"/>
      <c r="CU125" s="0"/>
      <c r="CV125" s="0"/>
      <c r="CW125" s="0"/>
      <c r="CX125" s="0"/>
      <c r="CY125" s="0"/>
      <c r="CZ125" s="0"/>
      <c r="DA125" s="0"/>
      <c r="DB125" s="0"/>
      <c r="DC125" s="0"/>
      <c r="DD125" s="0"/>
      <c r="DE125" s="0"/>
      <c r="DF125" s="0"/>
      <c r="DG125" s="0"/>
      <c r="DH125" s="0"/>
      <c r="DI125" s="0"/>
      <c r="DJ125" s="0"/>
      <c r="DK125" s="0"/>
      <c r="DL125" s="0"/>
      <c r="DM125" s="0"/>
      <c r="DN125" s="0"/>
      <c r="DO125" s="0"/>
      <c r="DP125" s="0"/>
      <c r="DQ125" s="0"/>
      <c r="DR125" s="0"/>
      <c r="DS125" s="0"/>
      <c r="DT125" s="0"/>
      <c r="DU125" s="0"/>
      <c r="DV125" s="0"/>
      <c r="DW125" s="0"/>
      <c r="DX125" s="0"/>
      <c r="DY125" s="0"/>
      <c r="DZ125" s="0"/>
      <c r="EA125" s="0"/>
      <c r="EB125" s="0"/>
      <c r="EC125" s="0"/>
      <c r="ED125" s="0"/>
      <c r="EE125" s="0"/>
      <c r="EF125" s="0"/>
      <c r="EG125" s="0"/>
      <c r="EH125" s="0"/>
      <c r="EI125" s="0"/>
      <c r="EJ125" s="0"/>
      <c r="EK125" s="0"/>
      <c r="EL125" s="0"/>
      <c r="EM125" s="0"/>
      <c r="EN125" s="0"/>
      <c r="EO125" s="0"/>
      <c r="EP125" s="0"/>
      <c r="EQ125" s="0"/>
      <c r="ER125" s="0"/>
      <c r="ES125" s="0"/>
      <c r="ET125" s="0"/>
      <c r="EU125" s="0"/>
      <c r="EV125" s="0"/>
      <c r="EW125" s="0"/>
      <c r="EX125" s="0"/>
      <c r="EY125" s="0"/>
      <c r="EZ125" s="0"/>
      <c r="FA125" s="0"/>
      <c r="FB125" s="0"/>
      <c r="FC125" s="0"/>
      <c r="FD125" s="0"/>
      <c r="FE125" s="0"/>
      <c r="FF125" s="0"/>
      <c r="FG125" s="0"/>
      <c r="FH125" s="0"/>
      <c r="FI125" s="0"/>
      <c r="FJ125" s="0"/>
      <c r="FK125" s="0"/>
      <c r="FL125" s="0"/>
      <c r="FM125" s="0"/>
      <c r="FN125" s="0"/>
      <c r="FO125" s="0"/>
      <c r="FP125" s="0"/>
      <c r="FQ125" s="0"/>
      <c r="FR125" s="0"/>
      <c r="FS125" s="0"/>
      <c r="FT125" s="0"/>
      <c r="FU125" s="0"/>
      <c r="FV125" s="0"/>
      <c r="FW125" s="0"/>
      <c r="FX125" s="0"/>
      <c r="FY125" s="0"/>
      <c r="FZ125" s="0"/>
      <c r="GA125" s="0"/>
      <c r="GB125" s="0"/>
      <c r="GC125" s="0"/>
      <c r="GD125" s="0"/>
      <c r="GE125" s="0"/>
      <c r="GF125" s="0"/>
      <c r="GG125" s="0"/>
      <c r="GH125" s="0"/>
      <c r="GI125" s="0"/>
      <c r="GJ125" s="0"/>
      <c r="GK125" s="0"/>
      <c r="GL125" s="0"/>
      <c r="GM125" s="0"/>
      <c r="GN125" s="0"/>
      <c r="GO125" s="0"/>
      <c r="GP125" s="0"/>
      <c r="GQ125" s="0"/>
      <c r="GR125" s="0"/>
      <c r="GS125" s="0"/>
      <c r="GT125" s="0"/>
      <c r="GU125" s="0"/>
      <c r="GV125" s="0"/>
      <c r="GW125" s="0"/>
      <c r="GX125" s="0"/>
      <c r="GY125" s="0"/>
      <c r="GZ125" s="0"/>
      <c r="HA125" s="0"/>
      <c r="HB125" s="0"/>
      <c r="HC125" s="0"/>
      <c r="HD125" s="0"/>
      <c r="HE125" s="0"/>
      <c r="HF125" s="0"/>
      <c r="HG125" s="0"/>
      <c r="HH125" s="0"/>
      <c r="HI125" s="0"/>
      <c r="HJ125" s="0"/>
      <c r="HK125" s="0"/>
      <c r="HL125" s="0"/>
      <c r="HM125" s="0"/>
      <c r="HN125" s="0"/>
      <c r="HO125" s="0"/>
      <c r="HP125" s="0"/>
      <c r="HQ125" s="0"/>
      <c r="HR125" s="0"/>
      <c r="HS125" s="0"/>
      <c r="HT125" s="0"/>
      <c r="HU125" s="0"/>
      <c r="HV125" s="0"/>
      <c r="HW125" s="0"/>
      <c r="HX125" s="0"/>
      <c r="HY125" s="0"/>
      <c r="HZ125" s="0"/>
      <c r="IA125" s="0"/>
      <c r="IB125" s="0"/>
      <c r="IC125" s="0"/>
      <c r="ID125" s="0"/>
      <c r="IE125" s="0"/>
      <c r="IF125" s="0"/>
      <c r="IG125" s="0"/>
      <c r="IH125" s="0"/>
      <c r="II125" s="0"/>
      <c r="IJ125" s="0"/>
      <c r="IK125" s="0"/>
      <c r="IL125" s="0"/>
      <c r="IM125" s="0"/>
      <c r="IN125" s="0"/>
      <c r="IO125" s="0"/>
      <c r="IP125" s="0"/>
      <c r="IQ125" s="0"/>
      <c r="IR125" s="0"/>
      <c r="IS125" s="0"/>
      <c r="IT125" s="0"/>
      <c r="IU125" s="0"/>
      <c r="IV125" s="0"/>
      <c r="IW125" s="0"/>
    </row>
    <row r="126" customFormat="false" ht="12.6" hidden="false" customHeight="true" outlineLevel="0" collapsed="false">
      <c r="A126" s="5"/>
      <c r="B126" s="5"/>
      <c r="C126" s="5"/>
      <c r="D126" s="5"/>
      <c r="E126" s="5"/>
      <c r="F126" s="5"/>
      <c r="G126" s="5"/>
      <c r="H126" s="5"/>
      <c r="I126" s="5"/>
      <c r="J126" s="5"/>
      <c r="K126" s="5"/>
      <c r="L126" s="5"/>
      <c r="M126" s="5"/>
      <c r="N126" s="5"/>
      <c r="O126" s="5"/>
      <c r="P126" s="5"/>
      <c r="Q126" s="5"/>
      <c r="R126" s="5"/>
      <c r="S126" s="5"/>
      <c r="T126" s="5"/>
      <c r="U126" s="5"/>
      <c r="V126" s="5"/>
      <c r="W126" s="5"/>
      <c r="X126" s="0"/>
      <c r="Y126" s="0"/>
      <c r="Z126" s="0"/>
      <c r="AA126" s="0"/>
      <c r="AB126" s="0"/>
      <c r="AC126" s="0"/>
      <c r="AD126" s="0"/>
      <c r="AF126" s="0"/>
      <c r="AG126" s="0"/>
      <c r="AH126" s="0"/>
      <c r="AI126" s="0"/>
      <c r="AJ126" s="0"/>
      <c r="AK126" s="0"/>
      <c r="AL126" s="0"/>
      <c r="AM126" s="0"/>
      <c r="AN126" s="0"/>
      <c r="AO126" s="0"/>
      <c r="AP126" s="0"/>
      <c r="AQ126" s="0"/>
      <c r="AR126" s="0"/>
      <c r="AS126" s="0"/>
      <c r="AT126" s="0"/>
      <c r="AU126" s="0"/>
      <c r="AV126" s="0"/>
      <c r="AW126" s="0"/>
      <c r="AX126" s="0"/>
      <c r="AY126" s="0"/>
      <c r="AZ126" s="0"/>
      <c r="BA126" s="0"/>
      <c r="BB126" s="0"/>
      <c r="BC126" s="0"/>
      <c r="BD126" s="0"/>
      <c r="BE126" s="0"/>
      <c r="BF126" s="0"/>
      <c r="BG126" s="0"/>
      <c r="BH126" s="0"/>
      <c r="BI126" s="0"/>
      <c r="BJ126" s="0"/>
      <c r="BK126" s="0"/>
      <c r="BL126" s="0"/>
      <c r="BM126" s="0"/>
      <c r="BN126" s="0"/>
      <c r="BO126" s="0"/>
      <c r="BP126" s="0"/>
      <c r="BQ126" s="0"/>
      <c r="BR126" s="0"/>
      <c r="BS126" s="0"/>
      <c r="BT126" s="0"/>
      <c r="BU126" s="0"/>
      <c r="BV126" s="0"/>
      <c r="BW126" s="0"/>
      <c r="BX126" s="0"/>
      <c r="BY126" s="0"/>
      <c r="BZ126" s="0"/>
      <c r="CA126" s="0"/>
      <c r="CB126" s="0"/>
      <c r="CC126" s="0"/>
      <c r="CD126" s="0"/>
      <c r="CE126" s="0"/>
      <c r="CF126" s="0"/>
      <c r="CG126" s="0"/>
      <c r="CH126" s="0"/>
      <c r="CI126" s="0"/>
      <c r="CJ126" s="0"/>
      <c r="CK126" s="0"/>
      <c r="CL126" s="0"/>
      <c r="CM126" s="0"/>
      <c r="CN126" s="0"/>
      <c r="CO126" s="0"/>
      <c r="CP126" s="0"/>
      <c r="CQ126" s="0"/>
      <c r="CR126" s="0"/>
      <c r="CS126" s="0"/>
      <c r="CT126" s="0"/>
      <c r="CU126" s="0"/>
      <c r="CV126" s="0"/>
      <c r="CW126" s="0"/>
      <c r="CX126" s="0"/>
      <c r="CY126" s="0"/>
      <c r="CZ126" s="0"/>
      <c r="DA126" s="0"/>
      <c r="DB126" s="0"/>
      <c r="DC126" s="0"/>
      <c r="DD126" s="0"/>
      <c r="DE126" s="0"/>
      <c r="DF126" s="0"/>
      <c r="DG126" s="0"/>
      <c r="DH126" s="0"/>
      <c r="DI126" s="0"/>
      <c r="DJ126" s="0"/>
      <c r="DK126" s="0"/>
      <c r="DL126" s="0"/>
      <c r="DM126" s="0"/>
      <c r="DN126" s="0"/>
      <c r="DO126" s="0"/>
      <c r="DP126" s="0"/>
      <c r="DQ126" s="0"/>
      <c r="DR126" s="0"/>
      <c r="DS126" s="0"/>
      <c r="DT126" s="0"/>
      <c r="DU126" s="0"/>
      <c r="DV126" s="0"/>
      <c r="DW126" s="0"/>
      <c r="DX126" s="0"/>
      <c r="DY126" s="0"/>
      <c r="DZ126" s="0"/>
      <c r="EA126" s="0"/>
      <c r="EB126" s="0"/>
      <c r="EC126" s="0"/>
      <c r="ED126" s="0"/>
      <c r="EE126" s="0"/>
      <c r="EF126" s="0"/>
      <c r="EG126" s="0"/>
      <c r="EH126" s="0"/>
      <c r="EI126" s="0"/>
      <c r="EJ126" s="0"/>
      <c r="EK126" s="0"/>
      <c r="EL126" s="0"/>
      <c r="EM126" s="0"/>
      <c r="EN126" s="0"/>
      <c r="EO126" s="0"/>
      <c r="EP126" s="0"/>
      <c r="EQ126" s="0"/>
      <c r="ER126" s="0"/>
      <c r="ES126" s="0"/>
      <c r="ET126" s="0"/>
      <c r="EU126" s="0"/>
      <c r="EV126" s="0"/>
      <c r="EW126" s="0"/>
      <c r="EX126" s="0"/>
      <c r="EY126" s="0"/>
      <c r="EZ126" s="0"/>
      <c r="FA126" s="0"/>
      <c r="FB126" s="0"/>
      <c r="FC126" s="0"/>
      <c r="FD126" s="0"/>
      <c r="FE126" s="0"/>
      <c r="FF126" s="0"/>
      <c r="FG126" s="0"/>
      <c r="FH126" s="0"/>
      <c r="FI126" s="0"/>
      <c r="FJ126" s="0"/>
      <c r="FK126" s="0"/>
      <c r="FL126" s="0"/>
      <c r="FM126" s="0"/>
      <c r="FN126" s="0"/>
      <c r="FO126" s="0"/>
      <c r="FP126" s="0"/>
      <c r="FQ126" s="0"/>
      <c r="FR126" s="0"/>
      <c r="FS126" s="0"/>
      <c r="FT126" s="0"/>
      <c r="FU126" s="0"/>
      <c r="FV126" s="0"/>
      <c r="FW126" s="0"/>
      <c r="FX126" s="0"/>
      <c r="FY126" s="0"/>
      <c r="FZ126" s="0"/>
      <c r="GA126" s="0"/>
      <c r="GB126" s="0"/>
      <c r="GC126" s="0"/>
      <c r="GD126" s="0"/>
      <c r="GE126" s="0"/>
      <c r="GF126" s="0"/>
      <c r="GG126" s="0"/>
      <c r="GH126" s="0"/>
      <c r="GI126" s="0"/>
      <c r="GJ126" s="0"/>
      <c r="GK126" s="0"/>
      <c r="GL126" s="0"/>
      <c r="GM126" s="0"/>
      <c r="GN126" s="0"/>
      <c r="GO126" s="0"/>
      <c r="GP126" s="0"/>
      <c r="GQ126" s="0"/>
      <c r="GR126" s="0"/>
      <c r="GS126" s="0"/>
      <c r="GT126" s="0"/>
      <c r="GU126" s="0"/>
      <c r="GV126" s="0"/>
      <c r="GW126" s="0"/>
      <c r="GX126" s="0"/>
      <c r="GY126" s="0"/>
      <c r="GZ126" s="0"/>
      <c r="HA126" s="0"/>
      <c r="HB126" s="0"/>
      <c r="HC126" s="0"/>
      <c r="HD126" s="0"/>
      <c r="HE126" s="0"/>
      <c r="HF126" s="0"/>
      <c r="HG126" s="0"/>
      <c r="HH126" s="0"/>
      <c r="HI126" s="0"/>
      <c r="HJ126" s="0"/>
      <c r="HK126" s="0"/>
      <c r="HL126" s="0"/>
      <c r="HM126" s="0"/>
      <c r="HN126" s="0"/>
      <c r="HO126" s="0"/>
      <c r="HP126" s="0"/>
      <c r="HQ126" s="0"/>
      <c r="HR126" s="0"/>
      <c r="HS126" s="0"/>
      <c r="HT126" s="0"/>
      <c r="HU126" s="0"/>
      <c r="HV126" s="0"/>
      <c r="HW126" s="0"/>
      <c r="HX126" s="0"/>
      <c r="HY126" s="0"/>
      <c r="HZ126" s="0"/>
      <c r="IA126" s="0"/>
      <c r="IB126" s="0"/>
      <c r="IC126" s="0"/>
      <c r="ID126" s="0"/>
      <c r="IE126" s="0"/>
      <c r="IF126" s="0"/>
      <c r="IG126" s="0"/>
      <c r="IH126" s="0"/>
      <c r="II126" s="0"/>
      <c r="IJ126" s="0"/>
      <c r="IK126" s="0"/>
      <c r="IL126" s="0"/>
      <c r="IM126" s="0"/>
      <c r="IN126" s="0"/>
      <c r="IO126" s="0"/>
      <c r="IP126" s="0"/>
      <c r="IQ126" s="0"/>
      <c r="IR126" s="0"/>
      <c r="IS126" s="0"/>
      <c r="IT126" s="0"/>
      <c r="IU126" s="0"/>
      <c r="IV126" s="0"/>
      <c r="IW126" s="0"/>
    </row>
    <row r="127" customFormat="false" ht="12.6" hidden="false" customHeight="true" outlineLevel="0" collapsed="false">
      <c r="A127" s="5"/>
      <c r="B127" s="5"/>
      <c r="C127" s="5"/>
      <c r="D127" s="5"/>
      <c r="E127" s="5"/>
      <c r="F127" s="5"/>
      <c r="G127" s="5"/>
      <c r="H127" s="5"/>
      <c r="I127" s="5"/>
      <c r="J127" s="5"/>
      <c r="K127" s="5"/>
      <c r="L127" s="5"/>
      <c r="M127" s="5"/>
      <c r="N127" s="5"/>
      <c r="O127" s="5"/>
      <c r="P127" s="5"/>
      <c r="Q127" s="5"/>
      <c r="R127" s="5"/>
      <c r="S127" s="5"/>
      <c r="T127" s="5"/>
      <c r="U127" s="5"/>
      <c r="V127" s="5"/>
      <c r="W127" s="5"/>
      <c r="X127" s="0"/>
      <c r="Y127" s="0"/>
      <c r="Z127" s="0"/>
      <c r="AA127" s="0"/>
      <c r="AB127" s="0"/>
      <c r="AC127" s="0"/>
      <c r="AD127" s="0"/>
      <c r="AF127" s="0"/>
      <c r="AG127" s="0"/>
      <c r="AH127" s="0"/>
      <c r="AI127" s="0"/>
      <c r="AJ127" s="0"/>
      <c r="AK127" s="0"/>
      <c r="AL127" s="0"/>
      <c r="AM127" s="0"/>
      <c r="AN127" s="0"/>
      <c r="AO127" s="0"/>
      <c r="AP127" s="0"/>
      <c r="AQ127" s="0"/>
      <c r="AR127" s="0"/>
      <c r="AS127" s="0"/>
      <c r="AT127" s="0"/>
      <c r="AU127" s="0"/>
      <c r="AV127" s="0"/>
      <c r="AW127" s="0"/>
      <c r="AX127" s="0"/>
      <c r="AY127" s="0"/>
      <c r="AZ127" s="0"/>
      <c r="BA127" s="0"/>
      <c r="BB127" s="0"/>
      <c r="BC127" s="0"/>
      <c r="BD127" s="0"/>
      <c r="BE127" s="0"/>
      <c r="BF127" s="0"/>
      <c r="BG127" s="0"/>
      <c r="BH127" s="0"/>
      <c r="BI127" s="0"/>
      <c r="BJ127" s="0"/>
      <c r="BK127" s="0"/>
      <c r="BL127" s="0"/>
      <c r="BM127" s="0"/>
      <c r="BN127" s="0"/>
      <c r="BO127" s="0"/>
      <c r="BP127" s="0"/>
      <c r="BQ127" s="0"/>
      <c r="BR127" s="0"/>
      <c r="BS127" s="0"/>
      <c r="BT127" s="0"/>
      <c r="BU127" s="0"/>
      <c r="BV127" s="0"/>
      <c r="BW127" s="0"/>
      <c r="BX127" s="0"/>
      <c r="BY127" s="0"/>
      <c r="BZ127" s="0"/>
      <c r="CA127" s="0"/>
      <c r="CB127" s="0"/>
      <c r="CC127" s="0"/>
      <c r="CD127" s="0"/>
      <c r="CE127" s="0"/>
      <c r="CF127" s="0"/>
      <c r="CG127" s="0"/>
      <c r="CH127" s="0"/>
      <c r="CI127" s="0"/>
      <c r="CJ127" s="0"/>
      <c r="CK127" s="0"/>
      <c r="CL127" s="0"/>
      <c r="CM127" s="0"/>
      <c r="CN127" s="0"/>
      <c r="CO127" s="0"/>
      <c r="CP127" s="0"/>
      <c r="CQ127" s="0"/>
      <c r="CR127" s="0"/>
      <c r="CS127" s="0"/>
      <c r="CT127" s="0"/>
      <c r="CU127" s="0"/>
      <c r="CV127" s="0"/>
      <c r="CW127" s="0"/>
      <c r="CX127" s="0"/>
      <c r="CY127" s="0"/>
      <c r="CZ127" s="0"/>
      <c r="DA127" s="0"/>
      <c r="DB127" s="0"/>
      <c r="DC127" s="0"/>
      <c r="DD127" s="0"/>
      <c r="DE127" s="0"/>
      <c r="DF127" s="0"/>
      <c r="DG127" s="0"/>
      <c r="DH127" s="0"/>
      <c r="DI127" s="0"/>
      <c r="DJ127" s="0"/>
      <c r="DK127" s="0"/>
      <c r="DL127" s="0"/>
      <c r="DM127" s="0"/>
      <c r="DN127" s="0"/>
      <c r="DO127" s="0"/>
      <c r="DP127" s="0"/>
      <c r="DQ127" s="0"/>
      <c r="DR127" s="0"/>
      <c r="DS127" s="0"/>
      <c r="DT127" s="0"/>
      <c r="DU127" s="0"/>
      <c r="DV127" s="0"/>
      <c r="DW127" s="0"/>
      <c r="DX127" s="0"/>
      <c r="DY127" s="0"/>
      <c r="DZ127" s="0"/>
      <c r="EA127" s="0"/>
      <c r="EB127" s="0"/>
      <c r="EC127" s="0"/>
      <c r="ED127" s="0"/>
      <c r="EE127" s="0"/>
      <c r="EF127" s="0"/>
      <c r="EG127" s="0"/>
      <c r="EH127" s="0"/>
      <c r="EI127" s="0"/>
      <c r="EJ127" s="0"/>
      <c r="EK127" s="0"/>
      <c r="EL127" s="0"/>
      <c r="EM127" s="0"/>
      <c r="EN127" s="0"/>
      <c r="EO127" s="0"/>
      <c r="EP127" s="0"/>
      <c r="EQ127" s="0"/>
      <c r="ER127" s="0"/>
      <c r="ES127" s="0"/>
      <c r="ET127" s="0"/>
      <c r="EU127" s="0"/>
      <c r="EV127" s="0"/>
      <c r="EW127" s="0"/>
      <c r="EX127" s="0"/>
      <c r="EY127" s="0"/>
      <c r="EZ127" s="0"/>
      <c r="FA127" s="0"/>
      <c r="FB127" s="0"/>
      <c r="FC127" s="0"/>
      <c r="FD127" s="0"/>
      <c r="FE127" s="0"/>
      <c r="FF127" s="0"/>
      <c r="FG127" s="0"/>
      <c r="FH127" s="0"/>
      <c r="FI127" s="0"/>
      <c r="FJ127" s="0"/>
      <c r="FK127" s="0"/>
      <c r="FL127" s="0"/>
      <c r="FM127" s="0"/>
      <c r="FN127" s="0"/>
      <c r="FO127" s="0"/>
      <c r="FP127" s="0"/>
      <c r="FQ127" s="0"/>
      <c r="FR127" s="0"/>
      <c r="FS127" s="0"/>
      <c r="FT127" s="0"/>
      <c r="FU127" s="0"/>
      <c r="FV127" s="0"/>
      <c r="FW127" s="0"/>
      <c r="FX127" s="0"/>
      <c r="FY127" s="0"/>
      <c r="FZ127" s="0"/>
      <c r="GA127" s="0"/>
      <c r="GB127" s="0"/>
      <c r="GC127" s="0"/>
      <c r="GD127" s="0"/>
      <c r="GE127" s="0"/>
      <c r="GF127" s="0"/>
      <c r="GG127" s="0"/>
      <c r="GH127" s="0"/>
      <c r="GI127" s="0"/>
      <c r="GJ127" s="0"/>
      <c r="GK127" s="0"/>
      <c r="GL127" s="0"/>
      <c r="GM127" s="0"/>
      <c r="GN127" s="0"/>
      <c r="GO127" s="0"/>
      <c r="GP127" s="0"/>
      <c r="GQ127" s="0"/>
      <c r="GR127" s="0"/>
      <c r="GS127" s="0"/>
      <c r="GT127" s="0"/>
      <c r="GU127" s="0"/>
      <c r="GV127" s="0"/>
      <c r="GW127" s="0"/>
      <c r="GX127" s="0"/>
      <c r="GY127" s="0"/>
      <c r="GZ127" s="0"/>
      <c r="HA127" s="0"/>
      <c r="HB127" s="0"/>
      <c r="HC127" s="0"/>
      <c r="HD127" s="0"/>
      <c r="HE127" s="0"/>
      <c r="HF127" s="0"/>
      <c r="HG127" s="0"/>
      <c r="HH127" s="0"/>
      <c r="HI127" s="0"/>
      <c r="HJ127" s="0"/>
      <c r="HK127" s="0"/>
      <c r="HL127" s="0"/>
      <c r="HM127" s="0"/>
      <c r="HN127" s="0"/>
      <c r="HO127" s="0"/>
      <c r="HP127" s="0"/>
      <c r="HQ127" s="0"/>
      <c r="HR127" s="0"/>
      <c r="HS127" s="0"/>
      <c r="HT127" s="0"/>
      <c r="HU127" s="0"/>
      <c r="HV127" s="0"/>
      <c r="HW127" s="0"/>
      <c r="HX127" s="0"/>
      <c r="HY127" s="0"/>
      <c r="HZ127" s="0"/>
      <c r="IA127" s="0"/>
      <c r="IB127" s="0"/>
      <c r="IC127" s="0"/>
      <c r="ID127" s="0"/>
      <c r="IE127" s="0"/>
      <c r="IF127" s="0"/>
      <c r="IG127" s="0"/>
      <c r="IH127" s="0"/>
      <c r="II127" s="0"/>
      <c r="IJ127" s="0"/>
      <c r="IK127" s="0"/>
      <c r="IL127" s="0"/>
      <c r="IM127" s="0"/>
      <c r="IN127" s="0"/>
      <c r="IO127" s="0"/>
      <c r="IP127" s="0"/>
      <c r="IQ127" s="0"/>
      <c r="IR127" s="0"/>
      <c r="IS127" s="0"/>
      <c r="IT127" s="0"/>
      <c r="IU127" s="0"/>
      <c r="IV127" s="0"/>
      <c r="IW127" s="0"/>
    </row>
    <row r="128" customFormat="false" ht="12.6" hidden="false" customHeight="true" outlineLevel="0" collapsed="false">
      <c r="A128" s="5"/>
      <c r="B128" s="5"/>
      <c r="C128" s="5"/>
      <c r="D128" s="5"/>
      <c r="E128" s="5"/>
      <c r="F128" s="5"/>
      <c r="G128" s="5"/>
      <c r="H128" s="5"/>
      <c r="I128" s="5"/>
      <c r="J128" s="5"/>
      <c r="K128" s="5"/>
      <c r="L128" s="5"/>
      <c r="M128" s="5"/>
      <c r="N128" s="5"/>
      <c r="O128" s="5"/>
      <c r="P128" s="5"/>
      <c r="Q128" s="5"/>
      <c r="R128" s="5"/>
      <c r="S128" s="5"/>
      <c r="T128" s="5"/>
      <c r="U128" s="5"/>
      <c r="V128" s="5"/>
      <c r="W128" s="5"/>
      <c r="X128" s="0"/>
      <c r="Y128" s="0"/>
      <c r="Z128" s="0"/>
      <c r="AA128" s="0"/>
      <c r="AB128" s="0"/>
      <c r="AC128" s="0"/>
      <c r="AD128" s="0"/>
      <c r="AF128" s="0"/>
      <c r="AG128" s="0"/>
      <c r="AH128" s="0"/>
      <c r="AI128" s="0"/>
      <c r="AJ128" s="0"/>
      <c r="AK128" s="0"/>
      <c r="AL128" s="0"/>
      <c r="AM128" s="0"/>
      <c r="AN128" s="0"/>
      <c r="AO128" s="0"/>
      <c r="AP128" s="0"/>
      <c r="AQ128" s="0"/>
      <c r="AR128" s="0"/>
      <c r="AS128" s="0"/>
      <c r="AT128" s="0"/>
      <c r="AU128" s="0"/>
      <c r="AV128" s="0"/>
      <c r="AW128" s="0"/>
      <c r="AX128" s="0"/>
      <c r="AY128" s="0"/>
      <c r="AZ128" s="0"/>
      <c r="BA128" s="0"/>
      <c r="BB128" s="0"/>
      <c r="BC128" s="0"/>
      <c r="BD128" s="0"/>
      <c r="BE128" s="0"/>
      <c r="BF128" s="0"/>
      <c r="BG128" s="0"/>
      <c r="BH128" s="0"/>
      <c r="BI128" s="0"/>
      <c r="BJ128" s="0"/>
      <c r="BK128" s="0"/>
      <c r="BL128" s="0"/>
      <c r="BM128" s="0"/>
      <c r="BN128" s="0"/>
      <c r="BO128" s="0"/>
      <c r="BP128" s="0"/>
      <c r="BQ128" s="0"/>
      <c r="BR128" s="0"/>
      <c r="BS128" s="0"/>
      <c r="BT128" s="0"/>
      <c r="BU128" s="0"/>
      <c r="BV128" s="0"/>
      <c r="BW128" s="0"/>
      <c r="BX128" s="0"/>
      <c r="BY128" s="0"/>
      <c r="BZ128" s="0"/>
      <c r="CA128" s="0"/>
      <c r="CB128" s="0"/>
      <c r="CC128" s="0"/>
      <c r="CD128" s="0"/>
      <c r="CE128" s="0"/>
      <c r="CF128" s="0"/>
      <c r="CG128" s="0"/>
      <c r="CH128" s="0"/>
      <c r="CI128" s="0"/>
      <c r="CJ128" s="0"/>
      <c r="CK128" s="0"/>
      <c r="CL128" s="0"/>
      <c r="CM128" s="0"/>
      <c r="CN128" s="0"/>
      <c r="CO128" s="0"/>
      <c r="CP128" s="0"/>
      <c r="CQ128" s="0"/>
      <c r="CR128" s="0"/>
      <c r="CS128" s="0"/>
      <c r="CT128" s="0"/>
      <c r="CU128" s="0"/>
      <c r="CV128" s="0"/>
      <c r="CW128" s="0"/>
      <c r="CX128" s="0"/>
      <c r="CY128" s="0"/>
      <c r="CZ128" s="0"/>
      <c r="DA128" s="0"/>
      <c r="DB128" s="0"/>
      <c r="DC128" s="0"/>
      <c r="DD128" s="0"/>
      <c r="DE128" s="0"/>
      <c r="DF128" s="0"/>
      <c r="DG128" s="0"/>
      <c r="DH128" s="0"/>
      <c r="DI128" s="0"/>
      <c r="DJ128" s="0"/>
      <c r="DK128" s="0"/>
      <c r="DL128" s="0"/>
      <c r="DM128" s="0"/>
      <c r="DN128" s="0"/>
      <c r="DO128" s="0"/>
      <c r="DP128" s="0"/>
      <c r="DQ128" s="0"/>
      <c r="DR128" s="0"/>
      <c r="DS128" s="0"/>
      <c r="DT128" s="0"/>
      <c r="DU128" s="0"/>
      <c r="DV128" s="0"/>
      <c r="DW128" s="0"/>
      <c r="DX128" s="0"/>
      <c r="DY128" s="0"/>
      <c r="DZ128" s="0"/>
      <c r="EA128" s="0"/>
      <c r="EB128" s="0"/>
      <c r="EC128" s="0"/>
      <c r="ED128" s="0"/>
      <c r="EE128" s="0"/>
      <c r="EF128" s="0"/>
      <c r="EG128" s="0"/>
      <c r="EH128" s="0"/>
      <c r="EI128" s="0"/>
      <c r="EJ128" s="0"/>
      <c r="EK128" s="0"/>
      <c r="EL128" s="0"/>
      <c r="EM128" s="0"/>
      <c r="EN128" s="0"/>
      <c r="EO128" s="0"/>
      <c r="EP128" s="0"/>
      <c r="EQ128" s="0"/>
      <c r="ER128" s="0"/>
      <c r="ES128" s="0"/>
      <c r="ET128" s="0"/>
      <c r="EU128" s="0"/>
      <c r="EV128" s="0"/>
      <c r="EW128" s="0"/>
      <c r="EX128" s="0"/>
      <c r="EY128" s="0"/>
      <c r="EZ128" s="0"/>
      <c r="FA128" s="0"/>
      <c r="FB128" s="0"/>
      <c r="FC128" s="0"/>
      <c r="FD128" s="0"/>
      <c r="FE128" s="0"/>
      <c r="FF128" s="0"/>
      <c r="FG128" s="0"/>
      <c r="FH128" s="0"/>
      <c r="FI128" s="0"/>
      <c r="FJ128" s="0"/>
      <c r="FK128" s="0"/>
      <c r="FL128" s="0"/>
      <c r="FM128" s="0"/>
      <c r="FN128" s="0"/>
      <c r="FO128" s="0"/>
      <c r="FP128" s="0"/>
      <c r="FQ128" s="0"/>
      <c r="FR128" s="0"/>
      <c r="FS128" s="0"/>
      <c r="FT128" s="0"/>
      <c r="FU128" s="0"/>
      <c r="FV128" s="0"/>
      <c r="FW128" s="0"/>
      <c r="FX128" s="0"/>
      <c r="FY128" s="0"/>
      <c r="FZ128" s="0"/>
      <c r="GA128" s="0"/>
      <c r="GB128" s="0"/>
      <c r="GC128" s="0"/>
      <c r="GD128" s="0"/>
      <c r="GE128" s="0"/>
      <c r="GF128" s="0"/>
      <c r="GG128" s="0"/>
      <c r="GH128" s="0"/>
      <c r="GI128" s="0"/>
      <c r="GJ128" s="0"/>
      <c r="GK128" s="0"/>
      <c r="GL128" s="0"/>
      <c r="GM128" s="0"/>
      <c r="GN128" s="0"/>
      <c r="GO128" s="0"/>
      <c r="GP128" s="0"/>
      <c r="GQ128" s="0"/>
      <c r="GR128" s="0"/>
      <c r="GS128" s="0"/>
      <c r="GT128" s="0"/>
      <c r="GU128" s="0"/>
      <c r="GV128" s="0"/>
      <c r="GW128" s="0"/>
      <c r="GX128" s="0"/>
      <c r="GY128" s="0"/>
      <c r="GZ128" s="0"/>
      <c r="HA128" s="0"/>
      <c r="HB128" s="0"/>
      <c r="HC128" s="0"/>
      <c r="HD128" s="0"/>
      <c r="HE128" s="0"/>
      <c r="HF128" s="0"/>
      <c r="HG128" s="0"/>
      <c r="HH128" s="0"/>
      <c r="HI128" s="0"/>
      <c r="HJ128" s="0"/>
      <c r="HK128" s="0"/>
      <c r="HL128" s="0"/>
      <c r="HM128" s="0"/>
      <c r="HN128" s="0"/>
      <c r="HO128" s="0"/>
      <c r="HP128" s="0"/>
      <c r="HQ128" s="0"/>
      <c r="HR128" s="0"/>
      <c r="HS128" s="0"/>
      <c r="HT128" s="0"/>
      <c r="HU128" s="0"/>
      <c r="HV128" s="0"/>
      <c r="HW128" s="0"/>
      <c r="HX128" s="0"/>
      <c r="HY128" s="0"/>
      <c r="HZ128" s="0"/>
      <c r="IA128" s="0"/>
      <c r="IB128" s="0"/>
      <c r="IC128" s="0"/>
      <c r="ID128" s="0"/>
      <c r="IE128" s="0"/>
      <c r="IF128" s="0"/>
      <c r="IG128" s="0"/>
      <c r="IH128" s="0"/>
      <c r="II128" s="0"/>
      <c r="IJ128" s="0"/>
      <c r="IK128" s="0"/>
      <c r="IL128" s="0"/>
      <c r="IM128" s="0"/>
      <c r="IN128" s="0"/>
      <c r="IO128" s="0"/>
      <c r="IP128" s="0"/>
      <c r="IQ128" s="0"/>
      <c r="IR128" s="0"/>
      <c r="IS128" s="0"/>
      <c r="IT128" s="0"/>
      <c r="IU128" s="0"/>
      <c r="IV128" s="0"/>
      <c r="IW128" s="0"/>
    </row>
    <row r="129" customFormat="false" ht="12.6" hidden="false" customHeight="true" outlineLevel="0" collapsed="false">
      <c r="A129" s="5"/>
      <c r="B129" s="5"/>
      <c r="C129" s="5"/>
      <c r="D129" s="5"/>
      <c r="E129" s="5"/>
      <c r="F129" s="5"/>
      <c r="G129" s="5"/>
      <c r="H129" s="5"/>
      <c r="I129" s="5"/>
      <c r="J129" s="5"/>
      <c r="K129" s="5"/>
      <c r="L129" s="5"/>
      <c r="M129" s="5"/>
      <c r="N129" s="5"/>
      <c r="O129" s="5"/>
      <c r="P129" s="5"/>
      <c r="Q129" s="5"/>
      <c r="R129" s="5"/>
      <c r="S129" s="5"/>
      <c r="T129" s="5"/>
      <c r="U129" s="5"/>
      <c r="V129" s="5"/>
      <c r="W129" s="5"/>
      <c r="X129" s="0"/>
      <c r="Y129" s="0"/>
      <c r="Z129" s="0"/>
      <c r="AA129" s="0"/>
      <c r="AB129" s="0"/>
      <c r="AC129" s="0"/>
      <c r="AD129" s="0"/>
      <c r="AF129" s="0"/>
      <c r="AG129" s="0"/>
      <c r="AH129" s="0"/>
      <c r="AI129" s="0"/>
      <c r="AJ129" s="0"/>
      <c r="AK129" s="0"/>
      <c r="AL129" s="0"/>
      <c r="AM129" s="0"/>
      <c r="AN129" s="0"/>
      <c r="AO129" s="0"/>
      <c r="AP129" s="0"/>
      <c r="AQ129" s="0"/>
      <c r="AR129" s="0"/>
      <c r="AS129" s="0"/>
      <c r="AT129" s="0"/>
      <c r="AU129" s="0"/>
      <c r="AV129" s="0"/>
      <c r="AW129" s="0"/>
      <c r="AX129" s="0"/>
      <c r="AY129" s="0"/>
      <c r="AZ129" s="0"/>
      <c r="BA129" s="0"/>
      <c r="BB129" s="0"/>
      <c r="BC129" s="0"/>
      <c r="BD129" s="0"/>
      <c r="BE129" s="0"/>
      <c r="BF129" s="0"/>
      <c r="BG129" s="0"/>
      <c r="BH129" s="0"/>
      <c r="BI129" s="0"/>
      <c r="BJ129" s="0"/>
      <c r="BK129" s="0"/>
      <c r="BL129" s="0"/>
      <c r="BM129" s="0"/>
      <c r="BN129" s="0"/>
      <c r="BO129" s="0"/>
      <c r="BP129" s="0"/>
      <c r="BQ129" s="0"/>
      <c r="BR129" s="0"/>
      <c r="BS129" s="0"/>
      <c r="BT129" s="0"/>
      <c r="BU129" s="0"/>
      <c r="BV129" s="0"/>
      <c r="BW129" s="0"/>
      <c r="BX129" s="0"/>
      <c r="BY129" s="0"/>
      <c r="BZ129" s="0"/>
      <c r="CA129" s="0"/>
      <c r="CB129" s="0"/>
      <c r="CC129" s="0"/>
      <c r="CD129" s="0"/>
      <c r="CE129" s="0"/>
      <c r="CF129" s="0"/>
      <c r="CG129" s="0"/>
      <c r="CH129" s="0"/>
      <c r="CI129" s="0"/>
      <c r="CJ129" s="0"/>
      <c r="CK129" s="0"/>
      <c r="CL129" s="0"/>
      <c r="CM129" s="0"/>
      <c r="CN129" s="0"/>
      <c r="CO129" s="0"/>
      <c r="CP129" s="0"/>
      <c r="CQ129" s="0"/>
      <c r="CR129" s="0"/>
      <c r="CS129" s="0"/>
      <c r="CT129" s="0"/>
      <c r="CU129" s="0"/>
      <c r="CV129" s="0"/>
      <c r="CW129" s="0"/>
      <c r="CX129" s="0"/>
      <c r="CY129" s="0"/>
      <c r="CZ129" s="0"/>
      <c r="DA129" s="0"/>
      <c r="DB129" s="0"/>
      <c r="DC129" s="0"/>
      <c r="DD129" s="0"/>
      <c r="DE129" s="0"/>
      <c r="DF129" s="0"/>
      <c r="DG129" s="0"/>
      <c r="DH129" s="0"/>
      <c r="DI129" s="0"/>
      <c r="DJ129" s="0"/>
      <c r="DK129" s="0"/>
      <c r="DL129" s="0"/>
      <c r="DM129" s="0"/>
      <c r="DN129" s="0"/>
      <c r="DO129" s="0"/>
      <c r="DP129" s="0"/>
      <c r="DQ129" s="0"/>
      <c r="DR129" s="0"/>
      <c r="DS129" s="0"/>
      <c r="DT129" s="0"/>
      <c r="DU129" s="0"/>
      <c r="DV129" s="0"/>
      <c r="DW129" s="0"/>
      <c r="DX129" s="0"/>
      <c r="DY129" s="0"/>
      <c r="DZ129" s="0"/>
      <c r="EA129" s="0"/>
      <c r="EB129" s="0"/>
      <c r="EC129" s="0"/>
      <c r="ED129" s="0"/>
      <c r="EE129" s="0"/>
      <c r="EF129" s="0"/>
      <c r="EG129" s="0"/>
      <c r="EH129" s="0"/>
      <c r="EI129" s="0"/>
      <c r="EJ129" s="0"/>
      <c r="EK129" s="0"/>
      <c r="EL129" s="0"/>
      <c r="EM129" s="0"/>
      <c r="EN129" s="0"/>
      <c r="EO129" s="0"/>
      <c r="EP129" s="0"/>
      <c r="EQ129" s="0"/>
      <c r="ER129" s="0"/>
      <c r="ES129" s="0"/>
      <c r="ET129" s="0"/>
      <c r="EU129" s="0"/>
      <c r="EV129" s="0"/>
      <c r="EW129" s="0"/>
      <c r="EX129" s="0"/>
      <c r="EY129" s="0"/>
      <c r="EZ129" s="0"/>
      <c r="FA129" s="0"/>
      <c r="FB129" s="0"/>
      <c r="FC129" s="0"/>
      <c r="FD129" s="0"/>
      <c r="FE129" s="0"/>
      <c r="FF129" s="0"/>
      <c r="FG129" s="0"/>
      <c r="FH129" s="0"/>
      <c r="FI129" s="0"/>
      <c r="FJ129" s="0"/>
      <c r="FK129" s="0"/>
      <c r="FL129" s="0"/>
      <c r="FM129" s="0"/>
      <c r="FN129" s="0"/>
      <c r="FO129" s="0"/>
      <c r="FP129" s="0"/>
      <c r="FQ129" s="0"/>
      <c r="FR129" s="0"/>
      <c r="FS129" s="0"/>
      <c r="FT129" s="0"/>
      <c r="FU129" s="0"/>
      <c r="FV129" s="0"/>
      <c r="FW129" s="0"/>
      <c r="FX129" s="0"/>
      <c r="FY129" s="0"/>
      <c r="FZ129" s="0"/>
      <c r="GA129" s="0"/>
      <c r="GB129" s="0"/>
      <c r="GC129" s="0"/>
      <c r="GD129" s="0"/>
      <c r="GE129" s="0"/>
      <c r="GF129" s="0"/>
      <c r="GG129" s="0"/>
      <c r="GH129" s="0"/>
      <c r="GI129" s="0"/>
      <c r="GJ129" s="0"/>
      <c r="GK129" s="0"/>
      <c r="GL129" s="0"/>
      <c r="GM129" s="0"/>
      <c r="GN129" s="0"/>
      <c r="GO129" s="0"/>
      <c r="GP129" s="0"/>
      <c r="GQ129" s="0"/>
      <c r="GR129" s="0"/>
      <c r="GS129" s="0"/>
      <c r="GT129" s="0"/>
      <c r="GU129" s="0"/>
      <c r="GV129" s="0"/>
      <c r="GW129" s="0"/>
      <c r="GX129" s="0"/>
      <c r="GY129" s="0"/>
      <c r="GZ129" s="0"/>
      <c r="HA129" s="0"/>
      <c r="HB129" s="0"/>
      <c r="HC129" s="0"/>
      <c r="HD129" s="0"/>
      <c r="HE129" s="0"/>
      <c r="HF129" s="0"/>
      <c r="HG129" s="0"/>
      <c r="HH129" s="0"/>
      <c r="HI129" s="0"/>
      <c r="HJ129" s="0"/>
      <c r="HK129" s="0"/>
      <c r="HL129" s="0"/>
      <c r="HM129" s="0"/>
      <c r="HN129" s="0"/>
      <c r="HO129" s="0"/>
      <c r="HP129" s="0"/>
      <c r="HQ129" s="0"/>
      <c r="HR129" s="0"/>
      <c r="HS129" s="0"/>
      <c r="HT129" s="0"/>
      <c r="HU129" s="0"/>
      <c r="HV129" s="0"/>
      <c r="HW129" s="0"/>
      <c r="HX129" s="0"/>
      <c r="HY129" s="0"/>
      <c r="HZ129" s="0"/>
      <c r="IA129" s="0"/>
      <c r="IB129" s="0"/>
      <c r="IC129" s="0"/>
      <c r="ID129" s="0"/>
      <c r="IE129" s="0"/>
      <c r="IF129" s="0"/>
      <c r="IG129" s="0"/>
      <c r="IH129" s="0"/>
      <c r="II129" s="0"/>
      <c r="IJ129" s="0"/>
      <c r="IK129" s="0"/>
      <c r="IL129" s="0"/>
      <c r="IM129" s="0"/>
      <c r="IN129" s="0"/>
      <c r="IO129" s="0"/>
      <c r="IP129" s="0"/>
      <c r="IQ129" s="0"/>
      <c r="IR129" s="0"/>
      <c r="IS129" s="0"/>
      <c r="IT129" s="0"/>
      <c r="IU129" s="0"/>
      <c r="IV129" s="0"/>
      <c r="IW129" s="0"/>
    </row>
    <row r="130" customFormat="false" ht="12.6" hidden="false" customHeight="true" outlineLevel="0" collapsed="false">
      <c r="A130" s="5"/>
      <c r="B130" s="5"/>
      <c r="C130" s="5"/>
      <c r="D130" s="5"/>
      <c r="E130" s="5"/>
      <c r="F130" s="5"/>
      <c r="G130" s="5"/>
      <c r="H130" s="5"/>
      <c r="I130" s="5"/>
      <c r="J130" s="5"/>
      <c r="K130" s="5"/>
      <c r="L130" s="5"/>
      <c r="M130" s="5"/>
      <c r="N130" s="5"/>
      <c r="O130" s="5"/>
      <c r="P130" s="5"/>
      <c r="Q130" s="5"/>
      <c r="R130" s="5"/>
      <c r="S130" s="5"/>
      <c r="T130" s="5"/>
      <c r="U130" s="5"/>
      <c r="V130" s="5"/>
      <c r="W130" s="5"/>
      <c r="X130" s="0"/>
      <c r="Y130" s="0"/>
      <c r="Z130" s="0"/>
      <c r="AA130" s="0"/>
      <c r="AB130" s="0"/>
      <c r="AC130" s="0"/>
      <c r="AD130" s="0"/>
      <c r="AF130" s="0"/>
      <c r="AG130" s="0"/>
      <c r="AH130" s="0"/>
      <c r="AI130" s="0"/>
      <c r="AJ130" s="0"/>
      <c r="AK130" s="0"/>
      <c r="AL130" s="0"/>
      <c r="AM130" s="0"/>
      <c r="AN130" s="0"/>
      <c r="AO130" s="0"/>
      <c r="AP130" s="0"/>
      <c r="AQ130" s="0"/>
      <c r="AR130" s="0"/>
      <c r="AS130" s="0"/>
      <c r="AT130" s="0"/>
      <c r="AU130" s="0"/>
      <c r="AV130" s="0"/>
      <c r="AW130" s="0"/>
      <c r="AX130" s="0"/>
      <c r="AY130" s="0"/>
      <c r="AZ130" s="0"/>
      <c r="BA130" s="0"/>
      <c r="BB130" s="0"/>
      <c r="BC130" s="0"/>
      <c r="BD130" s="0"/>
      <c r="BE130" s="0"/>
      <c r="BF130" s="0"/>
      <c r="BG130" s="0"/>
      <c r="BH130" s="0"/>
      <c r="BI130" s="0"/>
      <c r="BJ130" s="0"/>
      <c r="BK130" s="0"/>
      <c r="BL130" s="0"/>
      <c r="BM130" s="0"/>
      <c r="BN130" s="0"/>
      <c r="BO130" s="0"/>
      <c r="BP130" s="0"/>
      <c r="BQ130" s="0"/>
      <c r="BR130" s="0"/>
      <c r="BS130" s="0"/>
      <c r="BT130" s="0"/>
      <c r="BU130" s="0"/>
      <c r="BV130" s="0"/>
      <c r="BW130" s="0"/>
      <c r="BX130" s="0"/>
      <c r="BY130" s="0"/>
      <c r="BZ130" s="0"/>
      <c r="CA130" s="0"/>
      <c r="CB130" s="0"/>
      <c r="CC130" s="0"/>
      <c r="CD130" s="0"/>
      <c r="CE130" s="0"/>
      <c r="CF130" s="0"/>
      <c r="CG130" s="0"/>
      <c r="CH130" s="0"/>
      <c r="CI130" s="0"/>
      <c r="CJ130" s="0"/>
      <c r="CK130" s="0"/>
      <c r="CL130" s="0"/>
      <c r="CM130" s="0"/>
      <c r="CN130" s="0"/>
      <c r="CO130" s="0"/>
      <c r="CP130" s="0"/>
      <c r="CQ130" s="0"/>
      <c r="CR130" s="0"/>
      <c r="CS130" s="0"/>
      <c r="CT130" s="0"/>
      <c r="CU130" s="0"/>
      <c r="CV130" s="0"/>
      <c r="CW130" s="0"/>
      <c r="CX130" s="0"/>
      <c r="CY130" s="0"/>
      <c r="CZ130" s="0"/>
      <c r="DA130" s="0"/>
      <c r="DB130" s="0"/>
      <c r="DC130" s="0"/>
      <c r="DD130" s="0"/>
      <c r="DE130" s="0"/>
      <c r="DF130" s="0"/>
      <c r="DG130" s="0"/>
      <c r="DH130" s="0"/>
      <c r="DI130" s="0"/>
      <c r="DJ130" s="0"/>
      <c r="DK130" s="0"/>
      <c r="DL130" s="0"/>
      <c r="DM130" s="0"/>
      <c r="DN130" s="0"/>
      <c r="DO130" s="0"/>
      <c r="DP130" s="0"/>
      <c r="DQ130" s="0"/>
      <c r="DR130" s="0"/>
      <c r="DS130" s="0"/>
      <c r="DT130" s="0"/>
      <c r="DU130" s="0"/>
      <c r="DV130" s="0"/>
      <c r="DW130" s="0"/>
      <c r="DX130" s="0"/>
      <c r="DY130" s="0"/>
      <c r="DZ130" s="0"/>
      <c r="EA130" s="0"/>
      <c r="EB130" s="0"/>
      <c r="EC130" s="0"/>
      <c r="ED130" s="0"/>
      <c r="EE130" s="0"/>
      <c r="EF130" s="0"/>
      <c r="EG130" s="0"/>
      <c r="EH130" s="0"/>
      <c r="EI130" s="0"/>
      <c r="EJ130" s="0"/>
      <c r="EK130" s="0"/>
      <c r="EL130" s="0"/>
      <c r="EM130" s="0"/>
      <c r="EN130" s="0"/>
      <c r="EO130" s="0"/>
      <c r="EP130" s="0"/>
      <c r="EQ130" s="0"/>
      <c r="ER130" s="0"/>
      <c r="ES130" s="0"/>
      <c r="ET130" s="0"/>
      <c r="EU130" s="0"/>
      <c r="EV130" s="0"/>
      <c r="EW130" s="0"/>
      <c r="EX130" s="0"/>
      <c r="EY130" s="0"/>
      <c r="EZ130" s="0"/>
      <c r="FA130" s="0"/>
      <c r="FB130" s="0"/>
      <c r="FC130" s="0"/>
      <c r="FD130" s="0"/>
      <c r="FE130" s="0"/>
      <c r="FF130" s="0"/>
      <c r="FG130" s="0"/>
      <c r="FH130" s="0"/>
      <c r="FI130" s="0"/>
      <c r="FJ130" s="0"/>
      <c r="FK130" s="0"/>
      <c r="FL130" s="0"/>
      <c r="FM130" s="0"/>
      <c r="FN130" s="0"/>
      <c r="FO130" s="0"/>
      <c r="FP130" s="0"/>
      <c r="FQ130" s="0"/>
      <c r="FR130" s="0"/>
      <c r="FS130" s="0"/>
      <c r="FT130" s="0"/>
      <c r="FU130" s="0"/>
      <c r="FV130" s="0"/>
      <c r="FW130" s="0"/>
      <c r="FX130" s="0"/>
      <c r="FY130" s="0"/>
      <c r="FZ130" s="0"/>
      <c r="GA130" s="0"/>
      <c r="GB130" s="0"/>
      <c r="GC130" s="0"/>
      <c r="GD130" s="0"/>
      <c r="GE130" s="0"/>
      <c r="GF130" s="0"/>
      <c r="GG130" s="0"/>
      <c r="GH130" s="0"/>
      <c r="GI130" s="0"/>
      <c r="GJ130" s="0"/>
      <c r="GK130" s="0"/>
      <c r="GL130" s="0"/>
      <c r="GM130" s="0"/>
      <c r="GN130" s="0"/>
      <c r="GO130" s="0"/>
      <c r="GP130" s="0"/>
      <c r="GQ130" s="0"/>
      <c r="GR130" s="0"/>
      <c r="GS130" s="0"/>
      <c r="GT130" s="0"/>
      <c r="GU130" s="0"/>
      <c r="GV130" s="0"/>
      <c r="GW130" s="0"/>
      <c r="GX130" s="0"/>
      <c r="GY130" s="0"/>
      <c r="GZ130" s="0"/>
      <c r="HA130" s="0"/>
      <c r="HB130" s="0"/>
      <c r="HC130" s="0"/>
      <c r="HD130" s="0"/>
      <c r="HE130" s="0"/>
      <c r="HF130" s="0"/>
      <c r="HG130" s="0"/>
      <c r="HH130" s="0"/>
      <c r="HI130" s="0"/>
      <c r="HJ130" s="0"/>
      <c r="HK130" s="0"/>
      <c r="HL130" s="0"/>
      <c r="HM130" s="0"/>
      <c r="HN130" s="0"/>
      <c r="HO130" s="0"/>
      <c r="HP130" s="0"/>
      <c r="HQ130" s="0"/>
      <c r="HR130" s="0"/>
      <c r="HS130" s="0"/>
      <c r="HT130" s="0"/>
      <c r="HU130" s="0"/>
      <c r="HV130" s="0"/>
      <c r="HW130" s="0"/>
      <c r="HX130" s="0"/>
      <c r="HY130" s="0"/>
      <c r="HZ130" s="0"/>
      <c r="IA130" s="0"/>
      <c r="IB130" s="0"/>
      <c r="IC130" s="0"/>
      <c r="ID130" s="0"/>
      <c r="IE130" s="0"/>
      <c r="IF130" s="0"/>
      <c r="IG130" s="0"/>
      <c r="IH130" s="0"/>
      <c r="II130" s="0"/>
      <c r="IJ130" s="0"/>
      <c r="IK130" s="0"/>
      <c r="IL130" s="0"/>
      <c r="IM130" s="0"/>
      <c r="IN130" s="0"/>
      <c r="IO130" s="0"/>
      <c r="IP130" s="0"/>
      <c r="IQ130" s="0"/>
      <c r="IR130" s="0"/>
      <c r="IS130" s="0"/>
      <c r="IT130" s="0"/>
      <c r="IU130" s="0"/>
      <c r="IV130" s="0"/>
      <c r="IW130" s="0"/>
    </row>
    <row r="131" customFormat="false" ht="12.6" hidden="false" customHeight="true" outlineLevel="0" collapsed="false">
      <c r="A131" s="5"/>
      <c r="B131" s="5"/>
      <c r="C131" s="5"/>
      <c r="D131" s="5"/>
      <c r="E131" s="5"/>
      <c r="F131" s="5"/>
      <c r="G131" s="5"/>
      <c r="H131" s="5"/>
      <c r="I131" s="5"/>
      <c r="J131" s="5"/>
      <c r="K131" s="5"/>
      <c r="L131" s="5"/>
      <c r="M131" s="5"/>
      <c r="N131" s="5"/>
      <c r="O131" s="5"/>
      <c r="P131" s="5"/>
      <c r="Q131" s="5"/>
      <c r="R131" s="5"/>
      <c r="S131" s="5"/>
      <c r="T131" s="5"/>
      <c r="U131" s="5"/>
      <c r="V131" s="5"/>
      <c r="W131" s="5"/>
      <c r="X131" s="0"/>
      <c r="Y131" s="0"/>
      <c r="Z131" s="0"/>
      <c r="AA131" s="0"/>
      <c r="AB131" s="0"/>
      <c r="AC131" s="0"/>
      <c r="AD131" s="0"/>
      <c r="AF131" s="0"/>
      <c r="AG131" s="0"/>
      <c r="AH131" s="0"/>
      <c r="AI131" s="0"/>
      <c r="AJ131" s="0"/>
      <c r="AK131" s="0"/>
      <c r="AL131" s="0"/>
      <c r="AM131" s="0"/>
      <c r="AN131" s="0"/>
      <c r="AO131" s="0"/>
      <c r="AP131" s="0"/>
      <c r="AQ131" s="0"/>
      <c r="AR131" s="0"/>
      <c r="AS131" s="0"/>
      <c r="AT131" s="0"/>
      <c r="AU131" s="0"/>
      <c r="AV131" s="0"/>
      <c r="AW131" s="0"/>
      <c r="AX131" s="0"/>
      <c r="AY131" s="0"/>
      <c r="AZ131" s="0"/>
      <c r="BA131" s="0"/>
      <c r="BB131" s="0"/>
      <c r="BC131" s="0"/>
      <c r="BD131" s="0"/>
      <c r="BE131" s="0"/>
      <c r="BF131" s="0"/>
      <c r="BG131" s="0"/>
      <c r="BH131" s="0"/>
      <c r="BI131" s="0"/>
      <c r="BJ131" s="0"/>
      <c r="BK131" s="0"/>
      <c r="BL131" s="0"/>
      <c r="BM131" s="0"/>
      <c r="BN131" s="0"/>
      <c r="BO131" s="0"/>
      <c r="BP131" s="0"/>
      <c r="BQ131" s="0"/>
      <c r="BR131" s="0"/>
      <c r="BS131" s="0"/>
      <c r="BT131" s="0"/>
      <c r="BU131" s="0"/>
      <c r="BV131" s="0"/>
      <c r="BW131" s="0"/>
      <c r="BX131" s="0"/>
      <c r="BY131" s="0"/>
      <c r="BZ131" s="0"/>
      <c r="CA131" s="0"/>
      <c r="CB131" s="0"/>
      <c r="CC131" s="0"/>
      <c r="CD131" s="0"/>
      <c r="CE131" s="0"/>
      <c r="CF131" s="0"/>
      <c r="CG131" s="0"/>
      <c r="CH131" s="0"/>
      <c r="CI131" s="0"/>
      <c r="CJ131" s="0"/>
      <c r="CK131" s="0"/>
      <c r="CL131" s="0"/>
      <c r="CM131" s="0"/>
      <c r="CN131" s="0"/>
      <c r="CO131" s="0"/>
      <c r="CP131" s="0"/>
      <c r="CQ131" s="0"/>
      <c r="CR131" s="0"/>
      <c r="CS131" s="0"/>
      <c r="CT131" s="0"/>
      <c r="CU131" s="0"/>
      <c r="CV131" s="0"/>
      <c r="CW131" s="0"/>
      <c r="CX131" s="0"/>
      <c r="CY131" s="0"/>
      <c r="CZ131" s="0"/>
      <c r="DA131" s="0"/>
      <c r="DB131" s="0"/>
      <c r="DC131" s="0"/>
      <c r="DD131" s="0"/>
      <c r="DE131" s="0"/>
      <c r="DF131" s="0"/>
      <c r="DG131" s="0"/>
      <c r="DH131" s="0"/>
      <c r="DI131" s="0"/>
      <c r="DJ131" s="0"/>
      <c r="DK131" s="0"/>
      <c r="DL131" s="0"/>
      <c r="DM131" s="0"/>
      <c r="DN131" s="0"/>
      <c r="DO131" s="0"/>
      <c r="DP131" s="0"/>
      <c r="DQ131" s="0"/>
      <c r="DR131" s="0"/>
      <c r="DS131" s="0"/>
      <c r="DT131" s="0"/>
      <c r="DU131" s="0"/>
      <c r="DV131" s="0"/>
      <c r="DW131" s="0"/>
      <c r="DX131" s="0"/>
      <c r="DY131" s="0"/>
      <c r="DZ131" s="0"/>
      <c r="EA131" s="0"/>
      <c r="EB131" s="0"/>
      <c r="EC131" s="0"/>
      <c r="ED131" s="0"/>
      <c r="EE131" s="0"/>
      <c r="EF131" s="0"/>
      <c r="EG131" s="0"/>
      <c r="EH131" s="0"/>
      <c r="EI131" s="0"/>
      <c r="EJ131" s="0"/>
      <c r="EK131" s="0"/>
      <c r="EL131" s="0"/>
      <c r="EM131" s="0"/>
      <c r="EN131" s="0"/>
      <c r="EO131" s="0"/>
      <c r="EP131" s="0"/>
      <c r="EQ131" s="0"/>
      <c r="ER131" s="0"/>
      <c r="ES131" s="0"/>
      <c r="ET131" s="0"/>
      <c r="EU131" s="0"/>
      <c r="EV131" s="0"/>
      <c r="EW131" s="0"/>
      <c r="EX131" s="0"/>
      <c r="EY131" s="0"/>
      <c r="EZ131" s="0"/>
      <c r="FA131" s="0"/>
      <c r="FB131" s="0"/>
      <c r="FC131" s="0"/>
      <c r="FD131" s="0"/>
      <c r="FE131" s="0"/>
      <c r="FF131" s="0"/>
      <c r="FG131" s="0"/>
      <c r="FH131" s="0"/>
      <c r="FI131" s="0"/>
      <c r="FJ131" s="0"/>
      <c r="FK131" s="0"/>
      <c r="FL131" s="0"/>
      <c r="FM131" s="0"/>
      <c r="FN131" s="0"/>
      <c r="FO131" s="0"/>
      <c r="FP131" s="0"/>
      <c r="FQ131" s="0"/>
      <c r="FR131" s="0"/>
      <c r="FS131" s="0"/>
      <c r="FT131" s="0"/>
      <c r="FU131" s="0"/>
      <c r="FV131" s="0"/>
      <c r="FW131" s="0"/>
      <c r="FX131" s="0"/>
      <c r="FY131" s="0"/>
      <c r="FZ131" s="0"/>
      <c r="GA131" s="0"/>
      <c r="GB131" s="0"/>
      <c r="GC131" s="0"/>
      <c r="GD131" s="0"/>
      <c r="GE131" s="0"/>
      <c r="GF131" s="0"/>
      <c r="GG131" s="0"/>
      <c r="GH131" s="0"/>
      <c r="GI131" s="0"/>
      <c r="GJ131" s="0"/>
      <c r="GK131" s="0"/>
      <c r="GL131" s="0"/>
      <c r="GM131" s="0"/>
      <c r="GN131" s="0"/>
      <c r="GO131" s="0"/>
      <c r="GP131" s="0"/>
      <c r="GQ131" s="0"/>
      <c r="GR131" s="0"/>
      <c r="GS131" s="0"/>
      <c r="GT131" s="0"/>
      <c r="GU131" s="0"/>
      <c r="GV131" s="0"/>
      <c r="GW131" s="0"/>
      <c r="GX131" s="0"/>
      <c r="GY131" s="0"/>
      <c r="GZ131" s="0"/>
      <c r="HA131" s="0"/>
      <c r="HB131" s="0"/>
      <c r="HC131" s="0"/>
      <c r="HD131" s="0"/>
      <c r="HE131" s="0"/>
      <c r="HF131" s="0"/>
      <c r="HG131" s="0"/>
      <c r="HH131" s="0"/>
      <c r="HI131" s="0"/>
      <c r="HJ131" s="0"/>
      <c r="HK131" s="0"/>
      <c r="HL131" s="0"/>
      <c r="HM131" s="0"/>
      <c r="HN131" s="0"/>
      <c r="HO131" s="0"/>
      <c r="HP131" s="0"/>
      <c r="HQ131" s="0"/>
      <c r="HR131" s="0"/>
      <c r="HS131" s="0"/>
      <c r="HT131" s="0"/>
      <c r="HU131" s="0"/>
      <c r="HV131" s="0"/>
      <c r="HW131" s="0"/>
      <c r="HX131" s="0"/>
      <c r="HY131" s="0"/>
      <c r="HZ131" s="0"/>
      <c r="IA131" s="0"/>
      <c r="IB131" s="0"/>
      <c r="IC131" s="0"/>
      <c r="ID131" s="0"/>
      <c r="IE131" s="0"/>
      <c r="IF131" s="0"/>
      <c r="IG131" s="0"/>
      <c r="IH131" s="0"/>
      <c r="II131" s="0"/>
      <c r="IJ131" s="0"/>
      <c r="IK131" s="0"/>
      <c r="IL131" s="0"/>
      <c r="IM131" s="0"/>
      <c r="IN131" s="0"/>
      <c r="IO131" s="0"/>
      <c r="IP131" s="0"/>
      <c r="IQ131" s="0"/>
      <c r="IR131" s="0"/>
      <c r="IS131" s="0"/>
      <c r="IT131" s="0"/>
      <c r="IU131" s="0"/>
      <c r="IV131" s="0"/>
      <c r="IW131" s="0"/>
    </row>
    <row r="132" customFormat="false" ht="12.6" hidden="false" customHeight="true" outlineLevel="0" collapsed="false">
      <c r="A132" s="5"/>
      <c r="B132" s="5"/>
      <c r="C132" s="5"/>
      <c r="D132" s="5"/>
      <c r="E132" s="5"/>
      <c r="F132" s="5"/>
      <c r="G132" s="5"/>
      <c r="H132" s="5"/>
      <c r="I132" s="5"/>
      <c r="J132" s="5"/>
      <c r="K132" s="5"/>
      <c r="L132" s="5"/>
      <c r="M132" s="5"/>
      <c r="N132" s="5"/>
      <c r="O132" s="5"/>
      <c r="P132" s="5"/>
      <c r="Q132" s="5"/>
      <c r="R132" s="5"/>
      <c r="S132" s="5"/>
      <c r="T132" s="5"/>
      <c r="U132" s="5"/>
      <c r="V132" s="5"/>
      <c r="W132" s="5"/>
      <c r="X132" s="0"/>
      <c r="Y132" s="0"/>
      <c r="Z132" s="0"/>
      <c r="AA132" s="0"/>
      <c r="AB132" s="0"/>
      <c r="AC132" s="0"/>
      <c r="AD132" s="0"/>
      <c r="AF132" s="0"/>
      <c r="AG132" s="0"/>
      <c r="AH132" s="0"/>
      <c r="AI132" s="0"/>
      <c r="AJ132" s="0"/>
      <c r="AK132" s="0"/>
      <c r="AL132" s="0"/>
      <c r="AM132" s="0"/>
      <c r="AN132" s="0"/>
      <c r="AO132" s="0"/>
      <c r="AP132" s="0"/>
      <c r="AQ132" s="0"/>
      <c r="AR132" s="0"/>
      <c r="AS132" s="0"/>
      <c r="AT132" s="0"/>
      <c r="AU132" s="0"/>
      <c r="AV132" s="0"/>
      <c r="AW132" s="0"/>
      <c r="AX132" s="0"/>
      <c r="AY132" s="0"/>
      <c r="AZ132" s="0"/>
      <c r="BA132" s="0"/>
      <c r="BB132" s="0"/>
      <c r="BC132" s="0"/>
      <c r="BD132" s="0"/>
      <c r="BE132" s="0"/>
      <c r="BF132" s="0"/>
      <c r="BG132" s="0"/>
      <c r="BH132" s="0"/>
      <c r="BI132" s="0"/>
      <c r="BJ132" s="0"/>
      <c r="BK132" s="0"/>
      <c r="BL132" s="0"/>
      <c r="BM132" s="0"/>
      <c r="BN132" s="0"/>
      <c r="BO132" s="0"/>
      <c r="BP132" s="0"/>
      <c r="BQ132" s="0"/>
      <c r="BR132" s="0"/>
      <c r="BS132" s="0"/>
      <c r="BT132" s="0"/>
      <c r="BU132" s="0"/>
      <c r="BV132" s="0"/>
      <c r="BW132" s="0"/>
      <c r="BX132" s="0"/>
      <c r="BY132" s="0"/>
      <c r="BZ132" s="0"/>
      <c r="CA132" s="0"/>
      <c r="CB132" s="0"/>
      <c r="CC132" s="0"/>
      <c r="CD132" s="0"/>
      <c r="CE132" s="0"/>
      <c r="CF132" s="0"/>
      <c r="CG132" s="0"/>
      <c r="CH132" s="0"/>
      <c r="CI132" s="0"/>
      <c r="CJ132" s="0"/>
      <c r="CK132" s="0"/>
      <c r="CL132" s="0"/>
      <c r="CM132" s="0"/>
      <c r="CN132" s="0"/>
      <c r="CO132" s="0"/>
      <c r="CP132" s="0"/>
      <c r="CQ132" s="0"/>
      <c r="CR132" s="0"/>
      <c r="CS132" s="0"/>
      <c r="CT132" s="0"/>
      <c r="CU132" s="0"/>
      <c r="CV132" s="0"/>
      <c r="CW132" s="0"/>
      <c r="CX132" s="0"/>
      <c r="CY132" s="0"/>
      <c r="CZ132" s="0"/>
      <c r="DA132" s="0"/>
      <c r="DB132" s="0"/>
      <c r="DC132" s="0"/>
      <c r="DD132" s="0"/>
      <c r="DE132" s="0"/>
      <c r="DF132" s="0"/>
      <c r="DG132" s="0"/>
      <c r="DH132" s="0"/>
      <c r="DI132" s="0"/>
      <c r="DJ132" s="0"/>
      <c r="DK132" s="0"/>
      <c r="DL132" s="0"/>
      <c r="DM132" s="0"/>
      <c r="DN132" s="0"/>
      <c r="DO132" s="0"/>
      <c r="DP132" s="0"/>
      <c r="DQ132" s="0"/>
      <c r="DR132" s="0"/>
      <c r="DS132" s="0"/>
      <c r="DT132" s="0"/>
      <c r="DU132" s="0"/>
      <c r="DV132" s="0"/>
      <c r="DW132" s="0"/>
      <c r="DX132" s="0"/>
      <c r="DY132" s="0"/>
      <c r="DZ132" s="0"/>
      <c r="EA132" s="0"/>
      <c r="EB132" s="0"/>
      <c r="EC132" s="0"/>
      <c r="ED132" s="0"/>
      <c r="EE132" s="0"/>
      <c r="EF132" s="0"/>
      <c r="EG132" s="0"/>
      <c r="EH132" s="0"/>
      <c r="EI132" s="0"/>
      <c r="EJ132" s="0"/>
      <c r="EK132" s="0"/>
      <c r="EL132" s="0"/>
      <c r="EM132" s="0"/>
      <c r="EN132" s="0"/>
      <c r="EO132" s="0"/>
      <c r="EP132" s="0"/>
      <c r="EQ132" s="0"/>
      <c r="ER132" s="0"/>
      <c r="ES132" s="0"/>
      <c r="ET132" s="0"/>
      <c r="EU132" s="0"/>
      <c r="EV132" s="0"/>
      <c r="EW132" s="0"/>
      <c r="EX132" s="0"/>
      <c r="EY132" s="0"/>
      <c r="EZ132" s="0"/>
      <c r="FA132" s="0"/>
      <c r="FB132" s="0"/>
      <c r="FC132" s="0"/>
      <c r="FD132" s="0"/>
      <c r="FE132" s="0"/>
      <c r="FF132" s="0"/>
      <c r="FG132" s="0"/>
      <c r="FH132" s="0"/>
      <c r="FI132" s="0"/>
      <c r="FJ132" s="0"/>
      <c r="FK132" s="0"/>
      <c r="FL132" s="0"/>
      <c r="FM132" s="0"/>
      <c r="FN132" s="0"/>
      <c r="FO132" s="0"/>
      <c r="FP132" s="0"/>
      <c r="FQ132" s="0"/>
      <c r="FR132" s="0"/>
      <c r="FS132" s="0"/>
      <c r="FT132" s="0"/>
      <c r="FU132" s="0"/>
      <c r="FV132" s="0"/>
      <c r="FW132" s="0"/>
      <c r="FX132" s="0"/>
      <c r="FY132" s="0"/>
      <c r="FZ132" s="0"/>
      <c r="GA132" s="0"/>
      <c r="GB132" s="0"/>
      <c r="GC132" s="0"/>
      <c r="GD132" s="0"/>
      <c r="GE132" s="0"/>
      <c r="GF132" s="0"/>
      <c r="GG132" s="0"/>
      <c r="GH132" s="0"/>
      <c r="GI132" s="0"/>
      <c r="GJ132" s="0"/>
      <c r="GK132" s="0"/>
      <c r="GL132" s="0"/>
      <c r="GM132" s="0"/>
      <c r="GN132" s="0"/>
      <c r="GO132" s="0"/>
      <c r="GP132" s="0"/>
      <c r="GQ132" s="0"/>
      <c r="GR132" s="0"/>
      <c r="GS132" s="0"/>
      <c r="GT132" s="0"/>
      <c r="GU132" s="0"/>
      <c r="GV132" s="0"/>
      <c r="GW132" s="0"/>
      <c r="GX132" s="0"/>
      <c r="GY132" s="0"/>
      <c r="GZ132" s="0"/>
      <c r="HA132" s="0"/>
      <c r="HB132" s="0"/>
      <c r="HC132" s="0"/>
      <c r="HD132" s="0"/>
      <c r="HE132" s="0"/>
      <c r="HF132" s="0"/>
      <c r="HG132" s="0"/>
      <c r="HH132" s="0"/>
      <c r="HI132" s="0"/>
      <c r="HJ132" s="0"/>
      <c r="HK132" s="0"/>
      <c r="HL132" s="0"/>
      <c r="HM132" s="0"/>
      <c r="HN132" s="0"/>
      <c r="HO132" s="0"/>
      <c r="HP132" s="0"/>
      <c r="HQ132" s="0"/>
      <c r="HR132" s="0"/>
      <c r="HS132" s="0"/>
      <c r="HT132" s="0"/>
      <c r="HU132" s="0"/>
      <c r="HV132" s="0"/>
      <c r="HW132" s="0"/>
      <c r="HX132" s="0"/>
      <c r="HY132" s="0"/>
      <c r="HZ132" s="0"/>
      <c r="IA132" s="0"/>
      <c r="IB132" s="0"/>
      <c r="IC132" s="0"/>
      <c r="ID132" s="0"/>
      <c r="IE132" s="0"/>
      <c r="IF132" s="0"/>
      <c r="IG132" s="0"/>
      <c r="IH132" s="0"/>
      <c r="II132" s="0"/>
      <c r="IJ132" s="0"/>
      <c r="IK132" s="0"/>
      <c r="IL132" s="0"/>
      <c r="IM132" s="0"/>
      <c r="IN132" s="0"/>
      <c r="IO132" s="0"/>
      <c r="IP132" s="0"/>
      <c r="IQ132" s="0"/>
      <c r="IR132" s="0"/>
      <c r="IS132" s="0"/>
      <c r="IT132" s="0"/>
      <c r="IU132" s="0"/>
      <c r="IV132" s="0"/>
      <c r="IW132" s="0"/>
    </row>
    <row r="133" customFormat="false" ht="12.6" hidden="false" customHeight="true" outlineLevel="0" collapsed="false">
      <c r="A133" s="5"/>
      <c r="B133" s="5"/>
      <c r="C133" s="5"/>
      <c r="D133" s="5"/>
      <c r="E133" s="5"/>
      <c r="F133" s="5"/>
      <c r="G133" s="5"/>
      <c r="H133" s="5"/>
      <c r="I133" s="5"/>
      <c r="J133" s="5"/>
      <c r="K133" s="5"/>
      <c r="L133" s="5"/>
      <c r="M133" s="5"/>
      <c r="N133" s="5"/>
      <c r="O133" s="5"/>
      <c r="P133" s="5"/>
      <c r="Q133" s="5"/>
      <c r="R133" s="5"/>
      <c r="S133" s="5"/>
      <c r="T133" s="5"/>
      <c r="U133" s="5"/>
      <c r="V133" s="5"/>
      <c r="W133" s="5"/>
      <c r="X133" s="0"/>
      <c r="Y133" s="0"/>
      <c r="Z133" s="0"/>
      <c r="AA133" s="0"/>
      <c r="AB133" s="0"/>
      <c r="AC133" s="0"/>
      <c r="AD133" s="0"/>
      <c r="AF133" s="0"/>
      <c r="AG133" s="0"/>
      <c r="AH133" s="0"/>
      <c r="AI133" s="0"/>
      <c r="AJ133" s="0"/>
      <c r="AK133" s="0"/>
      <c r="AL133" s="0"/>
      <c r="AM133" s="0"/>
      <c r="AN133" s="0"/>
      <c r="AO133" s="0"/>
      <c r="AP133" s="0"/>
      <c r="AQ133" s="0"/>
      <c r="AR133" s="0"/>
      <c r="AS133" s="0"/>
      <c r="AT133" s="0"/>
      <c r="AU133" s="0"/>
      <c r="AV133" s="0"/>
      <c r="AW133" s="0"/>
      <c r="AX133" s="0"/>
      <c r="AY133" s="0"/>
      <c r="AZ133" s="0"/>
      <c r="BA133" s="0"/>
      <c r="BB133" s="0"/>
      <c r="BC133" s="0"/>
      <c r="BD133" s="0"/>
      <c r="BE133" s="0"/>
      <c r="BF133" s="0"/>
      <c r="BG133" s="0"/>
      <c r="BH133" s="0"/>
      <c r="BI133" s="0"/>
      <c r="BJ133" s="0"/>
      <c r="BK133" s="0"/>
      <c r="BL133" s="0"/>
      <c r="BM133" s="0"/>
      <c r="BN133" s="0"/>
      <c r="BO133" s="0"/>
      <c r="BP133" s="0"/>
      <c r="BQ133" s="0"/>
      <c r="BR133" s="0"/>
      <c r="BS133" s="0"/>
      <c r="BT133" s="0"/>
      <c r="BU133" s="0"/>
      <c r="BV133" s="0"/>
      <c r="BW133" s="0"/>
      <c r="BX133" s="0"/>
      <c r="BY133" s="0"/>
      <c r="BZ133" s="0"/>
      <c r="CA133" s="0"/>
      <c r="CB133" s="0"/>
      <c r="CC133" s="0"/>
      <c r="CD133" s="0"/>
      <c r="CE133" s="0"/>
      <c r="CF133" s="0"/>
      <c r="CG133" s="0"/>
      <c r="CH133" s="0"/>
      <c r="CI133" s="0"/>
      <c r="CJ133" s="0"/>
      <c r="CK133" s="0"/>
      <c r="CL133" s="0"/>
      <c r="CM133" s="0"/>
      <c r="CN133" s="0"/>
      <c r="CO133" s="0"/>
      <c r="CP133" s="0"/>
      <c r="CQ133" s="0"/>
      <c r="CR133" s="0"/>
      <c r="CS133" s="0"/>
      <c r="CT133" s="0"/>
      <c r="CU133" s="0"/>
      <c r="CV133" s="0"/>
      <c r="CW133" s="0"/>
      <c r="CX133" s="0"/>
      <c r="CY133" s="0"/>
      <c r="CZ133" s="0"/>
      <c r="DA133" s="0"/>
      <c r="DB133" s="0"/>
      <c r="DC133" s="0"/>
      <c r="DD133" s="0"/>
      <c r="DE133" s="0"/>
      <c r="DF133" s="0"/>
      <c r="DG133" s="0"/>
      <c r="DH133" s="0"/>
      <c r="DI133" s="0"/>
      <c r="DJ133" s="0"/>
      <c r="DK133" s="0"/>
      <c r="DL133" s="0"/>
      <c r="DM133" s="0"/>
      <c r="DN133" s="0"/>
      <c r="DO133" s="0"/>
      <c r="DP133" s="0"/>
      <c r="DQ133" s="0"/>
      <c r="DR133" s="0"/>
      <c r="DS133" s="0"/>
      <c r="DT133" s="0"/>
      <c r="DU133" s="0"/>
      <c r="DV133" s="0"/>
      <c r="DW133" s="0"/>
      <c r="DX133" s="0"/>
      <c r="DY133" s="0"/>
      <c r="DZ133" s="0"/>
      <c r="EA133" s="0"/>
      <c r="EB133" s="0"/>
      <c r="EC133" s="0"/>
      <c r="ED133" s="0"/>
      <c r="EE133" s="0"/>
      <c r="EF133" s="0"/>
      <c r="EG133" s="0"/>
      <c r="EH133" s="0"/>
      <c r="EI133" s="0"/>
      <c r="EJ133" s="0"/>
      <c r="EK133" s="0"/>
      <c r="EL133" s="0"/>
      <c r="EM133" s="0"/>
      <c r="EN133" s="0"/>
      <c r="EO133" s="0"/>
      <c r="EP133" s="0"/>
      <c r="EQ133" s="0"/>
      <c r="ER133" s="0"/>
      <c r="ES133" s="0"/>
      <c r="ET133" s="0"/>
      <c r="EU133" s="0"/>
      <c r="EV133" s="0"/>
      <c r="EW133" s="0"/>
      <c r="EX133" s="0"/>
      <c r="EY133" s="0"/>
      <c r="EZ133" s="0"/>
      <c r="FA133" s="0"/>
      <c r="FB133" s="0"/>
      <c r="FC133" s="0"/>
      <c r="FD133" s="0"/>
      <c r="FE133" s="0"/>
      <c r="FF133" s="0"/>
      <c r="FG133" s="0"/>
      <c r="FH133" s="0"/>
      <c r="FI133" s="0"/>
      <c r="FJ133" s="0"/>
      <c r="FK133" s="0"/>
      <c r="FL133" s="0"/>
      <c r="FM133" s="0"/>
      <c r="FN133" s="0"/>
      <c r="FO133" s="0"/>
      <c r="FP133" s="0"/>
      <c r="FQ133" s="0"/>
      <c r="FR133" s="0"/>
      <c r="FS133" s="0"/>
      <c r="FT133" s="0"/>
      <c r="FU133" s="0"/>
      <c r="FV133" s="0"/>
      <c r="FW133" s="0"/>
      <c r="FX133" s="0"/>
      <c r="FY133" s="0"/>
      <c r="FZ133" s="0"/>
      <c r="GA133" s="0"/>
      <c r="GB133" s="0"/>
      <c r="GC133" s="0"/>
      <c r="GD133" s="0"/>
      <c r="GE133" s="0"/>
      <c r="GF133" s="0"/>
      <c r="GG133" s="0"/>
      <c r="GH133" s="0"/>
      <c r="GI133" s="0"/>
      <c r="GJ133" s="0"/>
      <c r="GK133" s="0"/>
      <c r="GL133" s="0"/>
      <c r="GM133" s="0"/>
      <c r="GN133" s="0"/>
      <c r="GO133" s="0"/>
      <c r="GP133" s="0"/>
      <c r="GQ133" s="0"/>
      <c r="GR133" s="0"/>
      <c r="GS133" s="0"/>
      <c r="GT133" s="0"/>
      <c r="GU133" s="0"/>
      <c r="GV133" s="0"/>
      <c r="GW133" s="0"/>
      <c r="GX133" s="0"/>
      <c r="GY133" s="0"/>
      <c r="GZ133" s="0"/>
      <c r="HA133" s="0"/>
      <c r="HB133" s="0"/>
      <c r="HC133" s="0"/>
      <c r="HD133" s="0"/>
      <c r="HE133" s="0"/>
      <c r="HF133" s="0"/>
      <c r="HG133" s="0"/>
      <c r="HH133" s="0"/>
      <c r="HI133" s="0"/>
      <c r="HJ133" s="0"/>
      <c r="HK133" s="0"/>
      <c r="HL133" s="0"/>
      <c r="HM133" s="0"/>
      <c r="HN133" s="0"/>
      <c r="HO133" s="0"/>
      <c r="HP133" s="0"/>
      <c r="HQ133" s="0"/>
      <c r="HR133" s="0"/>
      <c r="HS133" s="0"/>
      <c r="HT133" s="0"/>
      <c r="HU133" s="0"/>
      <c r="HV133" s="0"/>
      <c r="HW133" s="0"/>
      <c r="HX133" s="0"/>
      <c r="HY133" s="0"/>
      <c r="HZ133" s="0"/>
      <c r="IA133" s="0"/>
      <c r="IB133" s="0"/>
      <c r="IC133" s="0"/>
      <c r="ID133" s="0"/>
      <c r="IE133" s="0"/>
      <c r="IF133" s="0"/>
      <c r="IG133" s="0"/>
      <c r="IH133" s="0"/>
      <c r="II133" s="0"/>
      <c r="IJ133" s="0"/>
      <c r="IK133" s="0"/>
      <c r="IL133" s="0"/>
      <c r="IM133" s="0"/>
      <c r="IN133" s="0"/>
      <c r="IO133" s="0"/>
      <c r="IP133" s="0"/>
      <c r="IQ133" s="0"/>
      <c r="IR133" s="0"/>
      <c r="IS133" s="0"/>
      <c r="IT133" s="0"/>
      <c r="IU133" s="0"/>
      <c r="IV133" s="0"/>
      <c r="IW133" s="0"/>
    </row>
    <row r="134" customFormat="false" ht="12.6" hidden="false" customHeight="true" outlineLevel="0" collapsed="false">
      <c r="A134" s="5"/>
      <c r="B134" s="5"/>
      <c r="C134" s="5"/>
      <c r="D134" s="5"/>
      <c r="E134" s="5"/>
      <c r="F134" s="5"/>
      <c r="G134" s="5"/>
      <c r="H134" s="5"/>
      <c r="I134" s="5"/>
      <c r="J134" s="5"/>
      <c r="K134" s="5"/>
      <c r="L134" s="5"/>
      <c r="M134" s="5"/>
      <c r="N134" s="5"/>
      <c r="O134" s="5"/>
      <c r="P134" s="5"/>
      <c r="Q134" s="5"/>
      <c r="R134" s="5"/>
      <c r="S134" s="5"/>
      <c r="T134" s="5"/>
      <c r="U134" s="5"/>
      <c r="V134" s="5"/>
      <c r="W134" s="5"/>
      <c r="X134" s="0"/>
      <c r="Y134" s="0"/>
      <c r="Z134" s="0"/>
      <c r="AA134" s="0"/>
      <c r="AB134" s="0"/>
      <c r="AC134" s="0"/>
      <c r="AD134" s="0"/>
      <c r="AF134" s="0"/>
      <c r="AG134" s="0"/>
      <c r="AH134" s="0"/>
      <c r="AI134" s="0"/>
      <c r="AJ134" s="0"/>
      <c r="AK134" s="0"/>
      <c r="AL134" s="0"/>
      <c r="AM134" s="0"/>
      <c r="AN134" s="0"/>
      <c r="AO134" s="0"/>
      <c r="AP134" s="0"/>
      <c r="AQ134" s="0"/>
      <c r="AR134" s="0"/>
      <c r="AS134" s="0"/>
      <c r="AT134" s="0"/>
      <c r="AU134" s="0"/>
      <c r="AV134" s="0"/>
      <c r="AW134" s="0"/>
      <c r="AX134" s="0"/>
      <c r="AY134" s="0"/>
      <c r="AZ134" s="0"/>
      <c r="BA134" s="0"/>
      <c r="BB134" s="0"/>
      <c r="BC134" s="0"/>
      <c r="BD134" s="0"/>
      <c r="BE134" s="0"/>
      <c r="BF134" s="0"/>
      <c r="BG134" s="0"/>
      <c r="BH134" s="0"/>
      <c r="BI134" s="0"/>
      <c r="BJ134" s="0"/>
      <c r="BK134" s="0"/>
      <c r="BL134" s="0"/>
      <c r="BM134" s="0"/>
      <c r="BN134" s="0"/>
      <c r="BO134" s="0"/>
      <c r="BP134" s="0"/>
      <c r="BQ134" s="0"/>
      <c r="BR134" s="0"/>
      <c r="BS134" s="0"/>
      <c r="BT134" s="0"/>
      <c r="BU134" s="0"/>
      <c r="BV134" s="0"/>
      <c r="BW134" s="0"/>
      <c r="BX134" s="0"/>
      <c r="BY134" s="0"/>
      <c r="BZ134" s="0"/>
      <c r="CA134" s="0"/>
      <c r="CB134" s="0"/>
      <c r="CC134" s="0"/>
      <c r="CD134" s="0"/>
      <c r="CE134" s="0"/>
      <c r="CF134" s="0"/>
      <c r="CG134" s="0"/>
      <c r="CH134" s="0"/>
      <c r="CI134" s="0"/>
      <c r="CJ134" s="0"/>
      <c r="CK134" s="0"/>
      <c r="CL134" s="0"/>
      <c r="CM134" s="0"/>
      <c r="CN134" s="0"/>
      <c r="CO134" s="0"/>
      <c r="CP134" s="0"/>
      <c r="CQ134" s="0"/>
      <c r="CR134" s="0"/>
      <c r="CS134" s="0"/>
      <c r="CT134" s="0"/>
      <c r="CU134" s="0"/>
      <c r="CV134" s="0"/>
      <c r="CW134" s="0"/>
      <c r="CX134" s="0"/>
      <c r="CY134" s="0"/>
      <c r="CZ134" s="0"/>
      <c r="DA134" s="0"/>
      <c r="DB134" s="0"/>
      <c r="DC134" s="0"/>
      <c r="DD134" s="0"/>
      <c r="DE134" s="0"/>
      <c r="DF134" s="0"/>
      <c r="DG134" s="0"/>
      <c r="DH134" s="0"/>
      <c r="DI134" s="0"/>
      <c r="DJ134" s="0"/>
      <c r="DK134" s="0"/>
      <c r="DL134" s="0"/>
      <c r="DM134" s="0"/>
      <c r="DN134" s="0"/>
      <c r="DO134" s="0"/>
      <c r="DP134" s="0"/>
      <c r="DQ134" s="0"/>
      <c r="DR134" s="0"/>
      <c r="DS134" s="0"/>
      <c r="DT134" s="0"/>
      <c r="DU134" s="0"/>
      <c r="DV134" s="0"/>
      <c r="DW134" s="0"/>
      <c r="DX134" s="0"/>
      <c r="DY134" s="0"/>
      <c r="DZ134" s="0"/>
      <c r="EA134" s="0"/>
      <c r="EB134" s="0"/>
      <c r="EC134" s="0"/>
      <c r="ED134" s="0"/>
      <c r="EE134" s="0"/>
      <c r="EF134" s="0"/>
      <c r="EG134" s="0"/>
      <c r="EH134" s="0"/>
      <c r="EI134" s="0"/>
      <c r="EJ134" s="0"/>
      <c r="EK134" s="0"/>
      <c r="EL134" s="0"/>
      <c r="EM134" s="0"/>
      <c r="EN134" s="0"/>
      <c r="EO134" s="0"/>
      <c r="EP134" s="0"/>
      <c r="EQ134" s="0"/>
      <c r="ER134" s="0"/>
      <c r="ES134" s="0"/>
      <c r="ET134" s="0"/>
      <c r="EU134" s="0"/>
      <c r="EV134" s="0"/>
      <c r="EW134" s="0"/>
      <c r="EX134" s="0"/>
      <c r="EY134" s="0"/>
      <c r="EZ134" s="0"/>
      <c r="FA134" s="0"/>
      <c r="FB134" s="0"/>
      <c r="FC134" s="0"/>
      <c r="FD134" s="0"/>
      <c r="FE134" s="0"/>
      <c r="FF134" s="0"/>
      <c r="FG134" s="0"/>
      <c r="FH134" s="0"/>
      <c r="FI134" s="0"/>
      <c r="FJ134" s="0"/>
      <c r="FK134" s="0"/>
      <c r="FL134" s="0"/>
      <c r="FM134" s="0"/>
      <c r="FN134" s="0"/>
      <c r="FO134" s="0"/>
      <c r="FP134" s="0"/>
      <c r="FQ134" s="0"/>
      <c r="FR134" s="0"/>
      <c r="FS134" s="0"/>
      <c r="FT134" s="0"/>
      <c r="FU134" s="0"/>
      <c r="FV134" s="0"/>
      <c r="FW134" s="0"/>
      <c r="FX134" s="0"/>
      <c r="FY134" s="0"/>
      <c r="FZ134" s="0"/>
      <c r="GA134" s="0"/>
      <c r="GB134" s="0"/>
      <c r="GC134" s="0"/>
      <c r="GD134" s="0"/>
      <c r="GE134" s="0"/>
      <c r="GF134" s="0"/>
      <c r="GG134" s="0"/>
      <c r="GH134" s="0"/>
      <c r="GI134" s="0"/>
      <c r="GJ134" s="0"/>
      <c r="GK134" s="0"/>
      <c r="GL134" s="0"/>
      <c r="GM134" s="0"/>
      <c r="GN134" s="0"/>
      <c r="GO134" s="0"/>
      <c r="GP134" s="0"/>
      <c r="GQ134" s="0"/>
      <c r="GR134" s="0"/>
      <c r="GS134" s="0"/>
      <c r="GT134" s="0"/>
      <c r="GU134" s="0"/>
      <c r="GV134" s="0"/>
      <c r="GW134" s="0"/>
      <c r="GX134" s="0"/>
      <c r="GY134" s="0"/>
      <c r="GZ134" s="0"/>
      <c r="HA134" s="0"/>
      <c r="HB134" s="0"/>
      <c r="HC134" s="0"/>
      <c r="HD134" s="0"/>
      <c r="HE134" s="0"/>
      <c r="HF134" s="0"/>
      <c r="HG134" s="0"/>
      <c r="HH134" s="0"/>
      <c r="HI134" s="0"/>
      <c r="HJ134" s="0"/>
      <c r="HK134" s="0"/>
      <c r="HL134" s="0"/>
      <c r="HM134" s="0"/>
      <c r="HN134" s="0"/>
      <c r="HO134" s="0"/>
      <c r="HP134" s="0"/>
      <c r="HQ134" s="0"/>
      <c r="HR134" s="0"/>
      <c r="HS134" s="0"/>
      <c r="HT134" s="0"/>
      <c r="HU134" s="0"/>
      <c r="HV134" s="0"/>
      <c r="HW134" s="0"/>
      <c r="HX134" s="0"/>
      <c r="HY134" s="0"/>
      <c r="HZ134" s="0"/>
      <c r="IA134" s="0"/>
      <c r="IB134" s="0"/>
      <c r="IC134" s="0"/>
      <c r="ID134" s="0"/>
      <c r="IE134" s="0"/>
      <c r="IF134" s="0"/>
      <c r="IG134" s="0"/>
      <c r="IH134" s="0"/>
      <c r="II134" s="0"/>
      <c r="IJ134" s="0"/>
      <c r="IK134" s="0"/>
      <c r="IL134" s="0"/>
      <c r="IM134" s="0"/>
      <c r="IN134" s="0"/>
      <c r="IO134" s="0"/>
      <c r="IP134" s="0"/>
      <c r="IQ134" s="0"/>
      <c r="IR134" s="0"/>
      <c r="IS134" s="0"/>
      <c r="IT134" s="0"/>
      <c r="IU134" s="0"/>
      <c r="IV134" s="0"/>
      <c r="IW134" s="0"/>
    </row>
    <row r="135" customFormat="false" ht="12.6" hidden="false" customHeight="true" outlineLevel="0" collapsed="false">
      <c r="A135" s="5"/>
      <c r="B135" s="5"/>
      <c r="C135" s="5"/>
      <c r="D135" s="5"/>
      <c r="E135" s="5"/>
      <c r="F135" s="5"/>
      <c r="G135" s="5"/>
      <c r="H135" s="5"/>
      <c r="I135" s="5"/>
      <c r="J135" s="5"/>
      <c r="K135" s="5"/>
      <c r="L135" s="5"/>
      <c r="M135" s="5"/>
      <c r="N135" s="5"/>
      <c r="O135" s="5"/>
      <c r="P135" s="5"/>
      <c r="Q135" s="5"/>
      <c r="R135" s="5"/>
      <c r="S135" s="5"/>
      <c r="T135" s="5"/>
      <c r="U135" s="5"/>
      <c r="V135" s="5"/>
      <c r="W135" s="5"/>
      <c r="X135" s="0"/>
      <c r="Y135" s="0"/>
      <c r="Z135" s="0"/>
      <c r="AA135" s="0"/>
      <c r="AB135" s="0"/>
      <c r="AC135" s="0"/>
      <c r="AD135" s="0"/>
      <c r="AF135" s="0"/>
      <c r="AG135" s="0"/>
      <c r="AH135" s="0"/>
      <c r="AI135" s="0"/>
      <c r="AJ135" s="0"/>
      <c r="AK135" s="0"/>
      <c r="AL135" s="0"/>
      <c r="AM135" s="0"/>
      <c r="AN135" s="0"/>
      <c r="AO135" s="0"/>
      <c r="AP135" s="0"/>
      <c r="AQ135" s="0"/>
      <c r="AR135" s="0"/>
      <c r="AS135" s="0"/>
      <c r="AT135" s="0"/>
      <c r="AU135" s="0"/>
      <c r="AV135" s="0"/>
      <c r="AW135" s="0"/>
      <c r="AX135" s="0"/>
      <c r="AY135" s="0"/>
      <c r="AZ135" s="0"/>
      <c r="BA135" s="0"/>
      <c r="BB135" s="0"/>
      <c r="BC135" s="0"/>
      <c r="BD135" s="0"/>
      <c r="BE135" s="0"/>
      <c r="BF135" s="0"/>
      <c r="BG135" s="0"/>
      <c r="BH135" s="0"/>
      <c r="BI135" s="0"/>
      <c r="BJ135" s="0"/>
      <c r="BK135" s="0"/>
      <c r="BL135" s="0"/>
      <c r="BM135" s="0"/>
      <c r="BN135" s="0"/>
      <c r="BO135" s="0"/>
      <c r="BP135" s="0"/>
      <c r="BQ135" s="0"/>
      <c r="BR135" s="0"/>
      <c r="BS135" s="0"/>
      <c r="BT135" s="0"/>
      <c r="BU135" s="0"/>
      <c r="BV135" s="0"/>
      <c r="BW135" s="0"/>
      <c r="BX135" s="0"/>
      <c r="BY135" s="0"/>
      <c r="BZ135" s="0"/>
      <c r="CA135" s="0"/>
      <c r="CB135" s="0"/>
      <c r="CC135" s="0"/>
      <c r="CD135" s="0"/>
      <c r="CE135" s="0"/>
      <c r="CF135" s="0"/>
      <c r="CG135" s="0"/>
      <c r="CH135" s="0"/>
      <c r="CI135" s="0"/>
      <c r="CJ135" s="0"/>
      <c r="CK135" s="0"/>
      <c r="CL135" s="0"/>
      <c r="CM135" s="0"/>
      <c r="CN135" s="0"/>
      <c r="CO135" s="0"/>
      <c r="CP135" s="0"/>
      <c r="CQ135" s="0"/>
      <c r="CR135" s="0"/>
      <c r="CS135" s="0"/>
      <c r="CT135" s="0"/>
      <c r="CU135" s="0"/>
      <c r="CV135" s="0"/>
      <c r="CW135" s="0"/>
      <c r="CX135" s="0"/>
      <c r="CY135" s="0"/>
      <c r="CZ135" s="0"/>
      <c r="DA135" s="0"/>
      <c r="DB135" s="0"/>
      <c r="DC135" s="0"/>
      <c r="DD135" s="0"/>
      <c r="DE135" s="0"/>
      <c r="DF135" s="0"/>
      <c r="DG135" s="0"/>
      <c r="DH135" s="0"/>
      <c r="DI135" s="0"/>
      <c r="DJ135" s="0"/>
      <c r="DK135" s="0"/>
      <c r="DL135" s="0"/>
      <c r="DM135" s="0"/>
      <c r="DN135" s="0"/>
      <c r="DO135" s="0"/>
      <c r="DP135" s="0"/>
      <c r="DQ135" s="0"/>
      <c r="DR135" s="0"/>
      <c r="DS135" s="0"/>
      <c r="DT135" s="0"/>
      <c r="DU135" s="0"/>
      <c r="DV135" s="0"/>
      <c r="DW135" s="0"/>
      <c r="DX135" s="0"/>
      <c r="DY135" s="0"/>
      <c r="DZ135" s="0"/>
      <c r="EA135" s="0"/>
      <c r="EB135" s="0"/>
      <c r="EC135" s="0"/>
      <c r="ED135" s="0"/>
      <c r="EE135" s="0"/>
      <c r="EF135" s="0"/>
      <c r="EG135" s="0"/>
      <c r="EH135" s="0"/>
      <c r="EI135" s="0"/>
      <c r="EJ135" s="0"/>
      <c r="EK135" s="0"/>
      <c r="EL135" s="0"/>
      <c r="EM135" s="0"/>
      <c r="EN135" s="0"/>
      <c r="EO135" s="0"/>
      <c r="EP135" s="0"/>
      <c r="EQ135" s="0"/>
      <c r="ER135" s="0"/>
      <c r="ES135" s="0"/>
      <c r="ET135" s="0"/>
      <c r="EU135" s="0"/>
      <c r="EV135" s="0"/>
      <c r="EW135" s="0"/>
      <c r="EX135" s="0"/>
      <c r="EY135" s="0"/>
      <c r="EZ135" s="0"/>
      <c r="FA135" s="0"/>
      <c r="FB135" s="0"/>
      <c r="FC135" s="0"/>
      <c r="FD135" s="0"/>
      <c r="FE135" s="0"/>
      <c r="FF135" s="0"/>
      <c r="FG135" s="0"/>
      <c r="FH135" s="0"/>
      <c r="FI135" s="0"/>
      <c r="FJ135" s="0"/>
      <c r="FK135" s="0"/>
      <c r="FL135" s="0"/>
      <c r="FM135" s="0"/>
      <c r="FN135" s="0"/>
      <c r="FO135" s="0"/>
      <c r="FP135" s="0"/>
      <c r="FQ135" s="0"/>
      <c r="FR135" s="0"/>
      <c r="FS135" s="0"/>
      <c r="FT135" s="0"/>
      <c r="FU135" s="0"/>
      <c r="FV135" s="0"/>
      <c r="FW135" s="0"/>
      <c r="FX135" s="0"/>
      <c r="FY135" s="0"/>
      <c r="FZ135" s="0"/>
      <c r="GA135" s="0"/>
      <c r="GB135" s="0"/>
      <c r="GC135" s="0"/>
      <c r="GD135" s="0"/>
      <c r="GE135" s="0"/>
      <c r="GF135" s="0"/>
      <c r="GG135" s="0"/>
      <c r="GH135" s="0"/>
      <c r="GI135" s="0"/>
      <c r="GJ135" s="0"/>
      <c r="GK135" s="0"/>
      <c r="GL135" s="0"/>
      <c r="GM135" s="0"/>
      <c r="GN135" s="0"/>
      <c r="GO135" s="0"/>
      <c r="GP135" s="0"/>
      <c r="GQ135" s="0"/>
      <c r="GR135" s="0"/>
      <c r="GS135" s="0"/>
      <c r="GT135" s="0"/>
      <c r="GU135" s="0"/>
      <c r="GV135" s="0"/>
      <c r="GW135" s="0"/>
      <c r="GX135" s="0"/>
      <c r="GY135" s="0"/>
      <c r="GZ135" s="0"/>
      <c r="HA135" s="0"/>
      <c r="HB135" s="0"/>
      <c r="HC135" s="0"/>
      <c r="HD135" s="0"/>
      <c r="HE135" s="0"/>
      <c r="HF135" s="0"/>
      <c r="HG135" s="0"/>
      <c r="HH135" s="0"/>
      <c r="HI135" s="0"/>
      <c r="HJ135" s="0"/>
      <c r="HK135" s="0"/>
      <c r="HL135" s="0"/>
      <c r="HM135" s="0"/>
      <c r="HN135" s="0"/>
      <c r="HO135" s="0"/>
      <c r="HP135" s="0"/>
      <c r="HQ135" s="0"/>
      <c r="HR135" s="0"/>
      <c r="HS135" s="0"/>
      <c r="HT135" s="0"/>
      <c r="HU135" s="0"/>
      <c r="HV135" s="0"/>
      <c r="HW135" s="0"/>
      <c r="HX135" s="0"/>
      <c r="HY135" s="0"/>
      <c r="HZ135" s="0"/>
      <c r="IA135" s="0"/>
      <c r="IB135" s="0"/>
      <c r="IC135" s="0"/>
      <c r="ID135" s="0"/>
      <c r="IE135" s="0"/>
      <c r="IF135" s="0"/>
      <c r="IG135" s="0"/>
      <c r="IH135" s="0"/>
      <c r="II135" s="0"/>
      <c r="IJ135" s="0"/>
      <c r="IK135" s="0"/>
      <c r="IL135" s="0"/>
      <c r="IM135" s="0"/>
      <c r="IN135" s="0"/>
      <c r="IO135" s="0"/>
      <c r="IP135" s="0"/>
      <c r="IQ135" s="0"/>
      <c r="IR135" s="0"/>
      <c r="IS135" s="0"/>
      <c r="IT135" s="0"/>
      <c r="IU135" s="0"/>
      <c r="IV135" s="0"/>
      <c r="IW135" s="0"/>
    </row>
    <row r="136" customFormat="false" ht="12.6" hidden="false" customHeight="true" outlineLevel="0" collapsed="false">
      <c r="A136" s="5"/>
      <c r="B136" s="5"/>
      <c r="C136" s="5"/>
      <c r="D136" s="5"/>
      <c r="E136" s="5"/>
      <c r="F136" s="5"/>
      <c r="G136" s="5"/>
      <c r="H136" s="5"/>
      <c r="I136" s="5"/>
      <c r="J136" s="5"/>
      <c r="K136" s="5"/>
      <c r="L136" s="5"/>
      <c r="M136" s="5"/>
      <c r="N136" s="5"/>
      <c r="O136" s="5"/>
      <c r="P136" s="5"/>
      <c r="Q136" s="5"/>
      <c r="R136" s="5"/>
      <c r="S136" s="5"/>
      <c r="T136" s="5"/>
      <c r="U136" s="5"/>
      <c r="V136" s="5"/>
      <c r="W136" s="5"/>
      <c r="X136" s="0"/>
      <c r="Y136" s="0"/>
      <c r="Z136" s="0"/>
      <c r="AA136" s="0"/>
      <c r="AB136" s="0"/>
      <c r="AC136" s="0"/>
      <c r="AD136" s="0"/>
      <c r="AF136" s="0"/>
      <c r="AG136" s="0"/>
      <c r="AH136" s="0"/>
      <c r="AI136" s="0"/>
      <c r="AJ136" s="0"/>
      <c r="AK136" s="0"/>
      <c r="AL136" s="0"/>
      <c r="AM136" s="0"/>
      <c r="AN136" s="0"/>
      <c r="AO136" s="0"/>
      <c r="AP136" s="0"/>
      <c r="AQ136" s="0"/>
      <c r="AR136" s="0"/>
      <c r="AS136" s="0"/>
      <c r="AT136" s="0"/>
      <c r="AU136" s="0"/>
      <c r="AV136" s="0"/>
      <c r="AW136" s="0"/>
      <c r="AX136" s="0"/>
      <c r="AY136" s="0"/>
      <c r="AZ136" s="0"/>
      <c r="BA136" s="0"/>
      <c r="BB136" s="0"/>
      <c r="BC136" s="0"/>
      <c r="BD136" s="0"/>
      <c r="BE136" s="0"/>
      <c r="BF136" s="0"/>
      <c r="BG136" s="0"/>
      <c r="BH136" s="0"/>
      <c r="BI136" s="0"/>
      <c r="BJ136" s="0"/>
      <c r="BK136" s="0"/>
      <c r="BL136" s="0"/>
      <c r="BM136" s="0"/>
      <c r="BN136" s="0"/>
      <c r="BO136" s="0"/>
      <c r="BP136" s="0"/>
      <c r="BQ136" s="0"/>
      <c r="BR136" s="0"/>
      <c r="BS136" s="0"/>
      <c r="BT136" s="0"/>
      <c r="BU136" s="0"/>
      <c r="BV136" s="0"/>
      <c r="BW136" s="0"/>
      <c r="BX136" s="0"/>
      <c r="BY136" s="0"/>
      <c r="BZ136" s="0"/>
      <c r="CA136" s="0"/>
      <c r="CB136" s="0"/>
      <c r="CC136" s="0"/>
      <c r="CD136" s="0"/>
      <c r="CE136" s="0"/>
      <c r="CF136" s="0"/>
      <c r="CG136" s="0"/>
      <c r="CH136" s="0"/>
      <c r="CI136" s="0"/>
      <c r="CJ136" s="0"/>
      <c r="CK136" s="0"/>
      <c r="CL136" s="0"/>
      <c r="CM136" s="0"/>
      <c r="CN136" s="0"/>
      <c r="CO136" s="0"/>
      <c r="CP136" s="0"/>
      <c r="CQ136" s="0"/>
      <c r="CR136" s="0"/>
      <c r="CS136" s="0"/>
      <c r="CT136" s="0"/>
      <c r="CU136" s="0"/>
      <c r="CV136" s="0"/>
      <c r="CW136" s="0"/>
      <c r="CX136" s="0"/>
      <c r="CY136" s="0"/>
      <c r="CZ136" s="0"/>
      <c r="DA136" s="0"/>
      <c r="DB136" s="0"/>
      <c r="DC136" s="0"/>
      <c r="DD136" s="0"/>
      <c r="DE136" s="0"/>
      <c r="DF136" s="0"/>
      <c r="DG136" s="0"/>
      <c r="DH136" s="0"/>
      <c r="DI136" s="0"/>
      <c r="DJ136" s="0"/>
      <c r="DK136" s="0"/>
      <c r="DL136" s="0"/>
      <c r="DM136" s="0"/>
      <c r="DN136" s="0"/>
      <c r="DO136" s="0"/>
      <c r="DP136" s="0"/>
      <c r="DQ136" s="0"/>
      <c r="DR136" s="0"/>
      <c r="DS136" s="0"/>
      <c r="DT136" s="0"/>
      <c r="DU136" s="0"/>
      <c r="DV136" s="0"/>
      <c r="DW136" s="0"/>
      <c r="DX136" s="0"/>
      <c r="DY136" s="0"/>
      <c r="DZ136" s="0"/>
      <c r="EA136" s="0"/>
      <c r="EB136" s="0"/>
      <c r="EC136" s="0"/>
      <c r="ED136" s="0"/>
      <c r="EE136" s="0"/>
      <c r="EF136" s="0"/>
      <c r="EG136" s="0"/>
      <c r="EH136" s="0"/>
      <c r="EI136" s="0"/>
      <c r="EJ136" s="0"/>
      <c r="EK136" s="0"/>
      <c r="EL136" s="0"/>
      <c r="EM136" s="0"/>
      <c r="EN136" s="0"/>
      <c r="EO136" s="0"/>
      <c r="EP136" s="0"/>
      <c r="EQ136" s="0"/>
      <c r="ER136" s="0"/>
      <c r="ES136" s="0"/>
      <c r="ET136" s="0"/>
      <c r="EU136" s="0"/>
      <c r="EV136" s="0"/>
      <c r="EW136" s="0"/>
      <c r="EX136" s="0"/>
      <c r="EY136" s="0"/>
      <c r="EZ136" s="0"/>
      <c r="FA136" s="0"/>
      <c r="FB136" s="0"/>
      <c r="FC136" s="0"/>
      <c r="FD136" s="0"/>
      <c r="FE136" s="0"/>
      <c r="FF136" s="0"/>
      <c r="FG136" s="0"/>
      <c r="FH136" s="0"/>
      <c r="FI136" s="0"/>
      <c r="FJ136" s="0"/>
      <c r="FK136" s="0"/>
      <c r="FL136" s="0"/>
      <c r="FM136" s="0"/>
      <c r="FN136" s="0"/>
      <c r="FO136" s="0"/>
      <c r="FP136" s="0"/>
      <c r="FQ136" s="0"/>
      <c r="FR136" s="0"/>
      <c r="FS136" s="0"/>
      <c r="FT136" s="0"/>
      <c r="FU136" s="0"/>
      <c r="FV136" s="0"/>
      <c r="FW136" s="0"/>
      <c r="FX136" s="0"/>
      <c r="FY136" s="0"/>
      <c r="FZ136" s="0"/>
      <c r="GA136" s="0"/>
      <c r="GB136" s="0"/>
      <c r="GC136" s="0"/>
      <c r="GD136" s="0"/>
      <c r="GE136" s="0"/>
      <c r="GF136" s="0"/>
      <c r="GG136" s="0"/>
      <c r="GH136" s="0"/>
      <c r="GI136" s="0"/>
      <c r="GJ136" s="0"/>
      <c r="GK136" s="0"/>
      <c r="GL136" s="0"/>
      <c r="GM136" s="0"/>
      <c r="GN136" s="0"/>
      <c r="GO136" s="0"/>
      <c r="GP136" s="0"/>
      <c r="GQ136" s="0"/>
      <c r="GR136" s="0"/>
      <c r="GS136" s="0"/>
      <c r="GT136" s="0"/>
      <c r="GU136" s="0"/>
      <c r="GV136" s="0"/>
      <c r="GW136" s="0"/>
      <c r="GX136" s="0"/>
      <c r="GY136" s="0"/>
      <c r="GZ136" s="0"/>
      <c r="HA136" s="0"/>
      <c r="HB136" s="0"/>
      <c r="HC136" s="0"/>
      <c r="HD136" s="0"/>
      <c r="HE136" s="0"/>
      <c r="HF136" s="0"/>
      <c r="HG136" s="0"/>
      <c r="HH136" s="0"/>
      <c r="HI136" s="0"/>
      <c r="HJ136" s="0"/>
      <c r="HK136" s="0"/>
      <c r="HL136" s="0"/>
      <c r="HM136" s="0"/>
      <c r="HN136" s="0"/>
      <c r="HO136" s="0"/>
      <c r="HP136" s="0"/>
      <c r="HQ136" s="0"/>
      <c r="HR136" s="0"/>
      <c r="HS136" s="0"/>
      <c r="HT136" s="0"/>
      <c r="HU136" s="0"/>
      <c r="HV136" s="0"/>
      <c r="HW136" s="0"/>
      <c r="HX136" s="0"/>
      <c r="HY136" s="0"/>
      <c r="HZ136" s="0"/>
      <c r="IA136" s="0"/>
      <c r="IB136" s="0"/>
      <c r="IC136" s="0"/>
      <c r="ID136" s="0"/>
      <c r="IE136" s="0"/>
      <c r="IF136" s="0"/>
      <c r="IG136" s="0"/>
      <c r="IH136" s="0"/>
      <c r="II136" s="0"/>
      <c r="IJ136" s="0"/>
      <c r="IK136" s="0"/>
      <c r="IL136" s="0"/>
      <c r="IM136" s="0"/>
      <c r="IN136" s="0"/>
      <c r="IO136" s="0"/>
      <c r="IP136" s="0"/>
      <c r="IQ136" s="0"/>
      <c r="IR136" s="0"/>
      <c r="IS136" s="0"/>
      <c r="IT136" s="0"/>
      <c r="IU136" s="0"/>
      <c r="IV136" s="0"/>
      <c r="IW136" s="0"/>
    </row>
    <row r="137" customFormat="false" ht="12.6" hidden="false" customHeight="true" outlineLevel="0" collapsed="false">
      <c r="A137" s="5"/>
      <c r="B137" s="5"/>
      <c r="C137" s="5"/>
      <c r="D137" s="5"/>
      <c r="E137" s="5"/>
      <c r="F137" s="5"/>
      <c r="G137" s="5"/>
      <c r="H137" s="5"/>
      <c r="I137" s="5"/>
      <c r="J137" s="5"/>
      <c r="K137" s="5"/>
      <c r="L137" s="5"/>
      <c r="M137" s="5"/>
      <c r="N137" s="5"/>
      <c r="O137" s="5"/>
      <c r="P137" s="5"/>
      <c r="Q137" s="5"/>
      <c r="R137" s="5"/>
      <c r="S137" s="5"/>
      <c r="T137" s="5"/>
      <c r="U137" s="5"/>
      <c r="V137" s="5"/>
      <c r="W137" s="5"/>
      <c r="X137" s="0"/>
      <c r="Y137" s="0"/>
      <c r="Z137" s="0"/>
      <c r="AA137" s="0"/>
      <c r="AB137" s="0"/>
      <c r="AC137" s="0"/>
      <c r="AD137" s="0"/>
      <c r="AF137" s="0"/>
      <c r="AG137" s="0"/>
      <c r="AH137" s="0"/>
      <c r="AI137" s="0"/>
      <c r="AJ137" s="0"/>
      <c r="AK137" s="0"/>
      <c r="AL137" s="0"/>
      <c r="AM137" s="0"/>
      <c r="AN137" s="0"/>
      <c r="AO137" s="0"/>
      <c r="AP137" s="0"/>
      <c r="AQ137" s="0"/>
      <c r="AR137" s="0"/>
      <c r="AS137" s="0"/>
      <c r="AT137" s="0"/>
      <c r="AU137" s="0"/>
      <c r="AV137" s="0"/>
      <c r="AW137" s="0"/>
      <c r="AX137" s="0"/>
      <c r="AY137" s="0"/>
      <c r="AZ137" s="0"/>
      <c r="BA137" s="0"/>
      <c r="BB137" s="0"/>
      <c r="BC137" s="0"/>
      <c r="BD137" s="0"/>
      <c r="BE137" s="0"/>
      <c r="BF137" s="0"/>
      <c r="BG137" s="0"/>
      <c r="BH137" s="0"/>
      <c r="BI137" s="0"/>
      <c r="BJ137" s="0"/>
      <c r="BK137" s="0"/>
      <c r="BL137" s="0"/>
      <c r="BM137" s="0"/>
      <c r="BN137" s="0"/>
      <c r="BO137" s="0"/>
      <c r="BP137" s="0"/>
      <c r="BQ137" s="0"/>
      <c r="BR137" s="0"/>
      <c r="BS137" s="0"/>
      <c r="BT137" s="0"/>
      <c r="BU137" s="0"/>
      <c r="BV137" s="0"/>
      <c r="BW137" s="0"/>
      <c r="BX137" s="0"/>
      <c r="BY137" s="0"/>
      <c r="BZ137" s="0"/>
      <c r="CA137" s="0"/>
      <c r="CB137" s="0"/>
      <c r="CC137" s="0"/>
      <c r="CD137" s="0"/>
      <c r="CE137" s="0"/>
      <c r="CF137" s="0"/>
      <c r="CG137" s="0"/>
      <c r="CH137" s="0"/>
      <c r="CI137" s="0"/>
      <c r="CJ137" s="0"/>
      <c r="CK137" s="0"/>
      <c r="CL137" s="0"/>
      <c r="CM137" s="0"/>
      <c r="CN137" s="0"/>
      <c r="CO137" s="0"/>
      <c r="CP137" s="0"/>
      <c r="CQ137" s="0"/>
      <c r="CR137" s="0"/>
      <c r="CS137" s="0"/>
      <c r="CT137" s="0"/>
      <c r="CU137" s="0"/>
      <c r="CV137" s="0"/>
      <c r="CW137" s="0"/>
      <c r="CX137" s="0"/>
      <c r="CY137" s="0"/>
      <c r="CZ137" s="0"/>
      <c r="DA137" s="0"/>
      <c r="DB137" s="0"/>
      <c r="DC137" s="0"/>
      <c r="DD137" s="0"/>
      <c r="DE137" s="0"/>
      <c r="DF137" s="0"/>
      <c r="DG137" s="0"/>
      <c r="DH137" s="0"/>
      <c r="DI137" s="0"/>
      <c r="DJ137" s="0"/>
      <c r="DK137" s="0"/>
      <c r="DL137" s="0"/>
      <c r="DM137" s="0"/>
      <c r="DN137" s="0"/>
      <c r="DO137" s="0"/>
      <c r="DP137" s="0"/>
      <c r="DQ137" s="0"/>
      <c r="DR137" s="0"/>
      <c r="DS137" s="0"/>
      <c r="DT137" s="0"/>
      <c r="DU137" s="0"/>
      <c r="DV137" s="0"/>
      <c r="DW137" s="0"/>
      <c r="DX137" s="0"/>
      <c r="DY137" s="0"/>
      <c r="DZ137" s="0"/>
      <c r="EA137" s="0"/>
      <c r="EB137" s="0"/>
      <c r="EC137" s="0"/>
      <c r="ED137" s="0"/>
      <c r="EE137" s="0"/>
      <c r="EF137" s="0"/>
      <c r="EG137" s="0"/>
      <c r="EH137" s="0"/>
      <c r="EI137" s="0"/>
      <c r="EJ137" s="0"/>
      <c r="EK137" s="0"/>
      <c r="EL137" s="0"/>
      <c r="EM137" s="0"/>
      <c r="EN137" s="0"/>
      <c r="EO137" s="0"/>
      <c r="EP137" s="0"/>
      <c r="EQ137" s="0"/>
      <c r="ER137" s="0"/>
      <c r="ES137" s="0"/>
      <c r="ET137" s="0"/>
      <c r="EU137" s="0"/>
      <c r="EV137" s="0"/>
      <c r="EW137" s="0"/>
      <c r="EX137" s="0"/>
      <c r="EY137" s="0"/>
      <c r="EZ137" s="0"/>
      <c r="FA137" s="0"/>
      <c r="FB137" s="0"/>
      <c r="FC137" s="0"/>
      <c r="FD137" s="0"/>
      <c r="FE137" s="0"/>
      <c r="FF137" s="0"/>
      <c r="FG137" s="0"/>
      <c r="FH137" s="0"/>
      <c r="FI137" s="0"/>
      <c r="FJ137" s="0"/>
      <c r="FK137" s="0"/>
      <c r="FL137" s="0"/>
      <c r="FM137" s="0"/>
      <c r="FN137" s="0"/>
      <c r="FO137" s="0"/>
      <c r="FP137" s="0"/>
      <c r="FQ137" s="0"/>
      <c r="FR137" s="0"/>
      <c r="FS137" s="0"/>
      <c r="FT137" s="0"/>
      <c r="FU137" s="0"/>
      <c r="FV137" s="0"/>
      <c r="FW137" s="0"/>
      <c r="FX137" s="0"/>
      <c r="FY137" s="0"/>
      <c r="FZ137" s="0"/>
      <c r="GA137" s="0"/>
      <c r="GB137" s="0"/>
      <c r="GC137" s="0"/>
      <c r="GD137" s="0"/>
      <c r="GE137" s="0"/>
      <c r="GF137" s="0"/>
      <c r="GG137" s="0"/>
      <c r="GH137" s="0"/>
      <c r="GI137" s="0"/>
      <c r="GJ137" s="0"/>
      <c r="GK137" s="0"/>
      <c r="GL137" s="0"/>
      <c r="GM137" s="0"/>
      <c r="GN137" s="0"/>
      <c r="GO137" s="0"/>
      <c r="GP137" s="0"/>
      <c r="GQ137" s="0"/>
      <c r="GR137" s="0"/>
      <c r="GS137" s="0"/>
      <c r="GT137" s="0"/>
      <c r="GU137" s="0"/>
      <c r="GV137" s="0"/>
      <c r="GW137" s="0"/>
      <c r="GX137" s="0"/>
      <c r="GY137" s="0"/>
      <c r="GZ137" s="0"/>
      <c r="HA137" s="0"/>
      <c r="HB137" s="0"/>
      <c r="HC137" s="0"/>
      <c r="HD137" s="0"/>
      <c r="HE137" s="0"/>
      <c r="HF137" s="0"/>
      <c r="HG137" s="0"/>
      <c r="HH137" s="0"/>
      <c r="HI137" s="0"/>
      <c r="HJ137" s="0"/>
      <c r="HK137" s="0"/>
      <c r="HL137" s="0"/>
      <c r="HM137" s="0"/>
      <c r="HN137" s="0"/>
      <c r="HO137" s="0"/>
      <c r="HP137" s="0"/>
      <c r="HQ137" s="0"/>
      <c r="HR137" s="0"/>
      <c r="HS137" s="0"/>
      <c r="HT137" s="0"/>
      <c r="HU137" s="0"/>
      <c r="HV137" s="0"/>
      <c r="HW137" s="0"/>
      <c r="HX137" s="0"/>
      <c r="HY137" s="0"/>
      <c r="HZ137" s="0"/>
      <c r="IA137" s="0"/>
      <c r="IB137" s="0"/>
      <c r="IC137" s="0"/>
      <c r="ID137" s="0"/>
      <c r="IE137" s="0"/>
      <c r="IF137" s="0"/>
      <c r="IG137" s="0"/>
      <c r="IH137" s="0"/>
      <c r="II137" s="0"/>
      <c r="IJ137" s="0"/>
      <c r="IK137" s="0"/>
      <c r="IL137" s="0"/>
      <c r="IM137" s="0"/>
      <c r="IN137" s="0"/>
      <c r="IO137" s="0"/>
      <c r="IP137" s="0"/>
      <c r="IQ137" s="0"/>
      <c r="IR137" s="0"/>
      <c r="IS137" s="0"/>
      <c r="IT137" s="0"/>
      <c r="IU137" s="0"/>
      <c r="IV137" s="0"/>
      <c r="IW137" s="0"/>
    </row>
    <row r="138" customFormat="false" ht="12.6" hidden="false" customHeight="true" outlineLevel="0" collapsed="false">
      <c r="A138" s="5"/>
      <c r="B138" s="5"/>
      <c r="C138" s="5"/>
      <c r="D138" s="5"/>
      <c r="E138" s="5"/>
      <c r="F138" s="5"/>
      <c r="G138" s="5"/>
      <c r="H138" s="5"/>
      <c r="I138" s="5"/>
      <c r="J138" s="5"/>
      <c r="K138" s="5"/>
      <c r="L138" s="5"/>
      <c r="M138" s="5"/>
      <c r="N138" s="5"/>
      <c r="O138" s="5"/>
      <c r="P138" s="5"/>
      <c r="Q138" s="5"/>
      <c r="R138" s="5"/>
      <c r="S138" s="5"/>
      <c r="T138" s="5"/>
      <c r="U138" s="5"/>
      <c r="V138" s="5"/>
      <c r="W138" s="5"/>
      <c r="X138" s="0"/>
      <c r="Y138" s="0"/>
      <c r="Z138" s="0"/>
      <c r="AA138" s="0"/>
      <c r="AB138" s="0"/>
      <c r="AC138" s="0"/>
      <c r="AD138" s="0"/>
      <c r="AF138" s="0"/>
      <c r="AG138" s="0"/>
      <c r="AH138" s="0"/>
      <c r="AI138" s="0"/>
      <c r="AJ138" s="0"/>
      <c r="AK138" s="0"/>
      <c r="AL138" s="0"/>
      <c r="AM138" s="0"/>
      <c r="AN138" s="0"/>
      <c r="AO138" s="0"/>
      <c r="AP138" s="0"/>
      <c r="AQ138" s="0"/>
      <c r="AR138" s="0"/>
      <c r="AS138" s="0"/>
      <c r="AT138" s="0"/>
      <c r="AU138" s="0"/>
      <c r="AV138" s="0"/>
      <c r="AW138" s="0"/>
      <c r="AX138" s="0"/>
      <c r="AY138" s="0"/>
      <c r="AZ138" s="0"/>
      <c r="BA138" s="0"/>
      <c r="BB138" s="0"/>
      <c r="BC138" s="0"/>
      <c r="BD138" s="0"/>
      <c r="BE138" s="0"/>
      <c r="BF138" s="0"/>
      <c r="BG138" s="0"/>
      <c r="BH138" s="0"/>
      <c r="BI138" s="0"/>
      <c r="BJ138" s="0"/>
      <c r="BK138" s="0"/>
      <c r="BL138" s="0"/>
      <c r="BM138" s="0"/>
      <c r="BN138" s="0"/>
      <c r="BO138" s="0"/>
      <c r="BP138" s="0"/>
      <c r="BQ138" s="0"/>
      <c r="BR138" s="0"/>
      <c r="BS138" s="0"/>
      <c r="BT138" s="0"/>
      <c r="BU138" s="0"/>
      <c r="BV138" s="0"/>
      <c r="BW138" s="0"/>
      <c r="BX138" s="0"/>
      <c r="BY138" s="0"/>
      <c r="BZ138" s="0"/>
      <c r="CA138" s="0"/>
      <c r="CB138" s="0"/>
      <c r="CC138" s="0"/>
      <c r="CD138" s="0"/>
      <c r="CE138" s="0"/>
      <c r="CF138" s="0"/>
      <c r="CG138" s="0"/>
      <c r="CH138" s="0"/>
      <c r="CI138" s="0"/>
      <c r="CJ138" s="0"/>
      <c r="CK138" s="0"/>
      <c r="CL138" s="0"/>
      <c r="CM138" s="0"/>
      <c r="CN138" s="0"/>
      <c r="CO138" s="0"/>
      <c r="CP138" s="0"/>
      <c r="CQ138" s="0"/>
      <c r="CR138" s="0"/>
      <c r="CS138" s="0"/>
      <c r="CT138" s="0"/>
      <c r="CU138" s="0"/>
      <c r="CV138" s="0"/>
      <c r="CW138" s="0"/>
      <c r="CX138" s="0"/>
      <c r="CY138" s="0"/>
      <c r="CZ138" s="0"/>
      <c r="DA138" s="0"/>
      <c r="DB138" s="0"/>
      <c r="DC138" s="0"/>
      <c r="DD138" s="0"/>
      <c r="DE138" s="0"/>
      <c r="DF138" s="0"/>
      <c r="DG138" s="0"/>
      <c r="DH138" s="0"/>
      <c r="DI138" s="0"/>
      <c r="DJ138" s="0"/>
      <c r="DK138" s="0"/>
      <c r="DL138" s="0"/>
      <c r="DM138" s="0"/>
      <c r="DN138" s="0"/>
      <c r="DO138" s="0"/>
      <c r="DP138" s="0"/>
      <c r="DQ138" s="0"/>
      <c r="DR138" s="0"/>
      <c r="DS138" s="0"/>
      <c r="DT138" s="0"/>
      <c r="DU138" s="0"/>
      <c r="DV138" s="0"/>
      <c r="DW138" s="0"/>
      <c r="DX138" s="0"/>
      <c r="DY138" s="0"/>
      <c r="DZ138" s="0"/>
      <c r="EA138" s="0"/>
      <c r="EB138" s="0"/>
      <c r="EC138" s="0"/>
      <c r="ED138" s="0"/>
      <c r="EE138" s="0"/>
      <c r="EF138" s="0"/>
      <c r="EG138" s="0"/>
      <c r="EH138" s="0"/>
      <c r="EI138" s="0"/>
      <c r="EJ138" s="0"/>
      <c r="EK138" s="0"/>
      <c r="EL138" s="0"/>
      <c r="EM138" s="0"/>
      <c r="EN138" s="0"/>
      <c r="EO138" s="0"/>
      <c r="EP138" s="0"/>
      <c r="EQ138" s="0"/>
      <c r="ER138" s="0"/>
      <c r="ES138" s="0"/>
      <c r="ET138" s="0"/>
      <c r="EU138" s="0"/>
      <c r="EV138" s="0"/>
      <c r="EW138" s="0"/>
      <c r="EX138" s="0"/>
      <c r="EY138" s="0"/>
      <c r="EZ138" s="0"/>
      <c r="FA138" s="0"/>
      <c r="FB138" s="0"/>
      <c r="FC138" s="0"/>
      <c r="FD138" s="0"/>
      <c r="FE138" s="0"/>
      <c r="FF138" s="0"/>
      <c r="FG138" s="0"/>
      <c r="FH138" s="0"/>
      <c r="FI138" s="0"/>
      <c r="FJ138" s="0"/>
      <c r="FK138" s="0"/>
      <c r="FL138" s="0"/>
      <c r="FM138" s="0"/>
      <c r="FN138" s="0"/>
      <c r="FO138" s="0"/>
      <c r="FP138" s="0"/>
      <c r="FQ138" s="0"/>
      <c r="FR138" s="0"/>
      <c r="FS138" s="0"/>
      <c r="FT138" s="0"/>
      <c r="FU138" s="0"/>
      <c r="FV138" s="0"/>
      <c r="FW138" s="0"/>
      <c r="FX138" s="0"/>
      <c r="FY138" s="0"/>
      <c r="FZ138" s="0"/>
      <c r="GA138" s="0"/>
      <c r="GB138" s="0"/>
      <c r="GC138" s="0"/>
      <c r="GD138" s="0"/>
      <c r="GE138" s="0"/>
      <c r="GF138" s="0"/>
      <c r="GG138" s="0"/>
      <c r="GH138" s="0"/>
      <c r="GI138" s="0"/>
      <c r="GJ138" s="0"/>
      <c r="GK138" s="0"/>
      <c r="GL138" s="0"/>
      <c r="GM138" s="0"/>
      <c r="GN138" s="0"/>
      <c r="GO138" s="0"/>
      <c r="GP138" s="0"/>
      <c r="GQ138" s="0"/>
      <c r="GR138" s="0"/>
      <c r="GS138" s="0"/>
      <c r="GT138" s="0"/>
      <c r="GU138" s="0"/>
      <c r="GV138" s="0"/>
      <c r="GW138" s="0"/>
      <c r="GX138" s="0"/>
      <c r="GY138" s="0"/>
      <c r="GZ138" s="0"/>
      <c r="HA138" s="0"/>
      <c r="HB138" s="0"/>
      <c r="HC138" s="0"/>
      <c r="HD138" s="0"/>
      <c r="HE138" s="0"/>
      <c r="HF138" s="0"/>
      <c r="HG138" s="0"/>
      <c r="HH138" s="0"/>
      <c r="HI138" s="0"/>
      <c r="HJ138" s="0"/>
      <c r="HK138" s="0"/>
      <c r="HL138" s="0"/>
      <c r="HM138" s="0"/>
      <c r="HN138" s="0"/>
      <c r="HO138" s="0"/>
      <c r="HP138" s="0"/>
      <c r="HQ138" s="0"/>
      <c r="HR138" s="0"/>
      <c r="HS138" s="0"/>
      <c r="HT138" s="0"/>
      <c r="HU138" s="0"/>
      <c r="HV138" s="0"/>
      <c r="HW138" s="0"/>
      <c r="HX138" s="0"/>
      <c r="HY138" s="0"/>
      <c r="HZ138" s="0"/>
      <c r="IA138" s="0"/>
      <c r="IB138" s="0"/>
      <c r="IC138" s="0"/>
      <c r="ID138" s="0"/>
      <c r="IE138" s="0"/>
      <c r="IF138" s="0"/>
      <c r="IG138" s="0"/>
      <c r="IH138" s="0"/>
      <c r="II138" s="0"/>
      <c r="IJ138" s="0"/>
      <c r="IK138" s="0"/>
      <c r="IL138" s="0"/>
      <c r="IM138" s="0"/>
      <c r="IN138" s="0"/>
      <c r="IO138" s="0"/>
      <c r="IP138" s="0"/>
      <c r="IQ138" s="0"/>
      <c r="IR138" s="0"/>
      <c r="IS138" s="0"/>
      <c r="IT138" s="0"/>
      <c r="IU138" s="0"/>
      <c r="IV138" s="0"/>
      <c r="IW138" s="0"/>
    </row>
    <row r="139" customFormat="false" ht="12.6" hidden="false" customHeight="true" outlineLevel="0" collapsed="false">
      <c r="A139" s="5"/>
      <c r="B139" s="5"/>
      <c r="C139" s="5"/>
      <c r="D139" s="5"/>
      <c r="E139" s="5"/>
      <c r="F139" s="5"/>
      <c r="G139" s="5"/>
      <c r="H139" s="5"/>
      <c r="I139" s="5"/>
      <c r="J139" s="5"/>
      <c r="K139" s="5"/>
      <c r="L139" s="5"/>
      <c r="M139" s="5"/>
      <c r="N139" s="5"/>
      <c r="O139" s="5"/>
      <c r="P139" s="5"/>
      <c r="Q139" s="5"/>
      <c r="R139" s="5"/>
      <c r="S139" s="5"/>
      <c r="T139" s="5"/>
      <c r="U139" s="5"/>
      <c r="V139" s="5"/>
      <c r="W139" s="5"/>
      <c r="X139" s="0"/>
      <c r="Y139" s="0"/>
      <c r="Z139" s="0"/>
      <c r="AA139" s="0"/>
      <c r="AB139" s="0"/>
      <c r="AC139" s="0"/>
      <c r="AD139" s="0"/>
      <c r="AF139" s="0"/>
      <c r="AG139" s="0"/>
      <c r="AH139" s="0"/>
      <c r="AI139" s="0"/>
      <c r="AJ139" s="0"/>
      <c r="AK139" s="0"/>
      <c r="AL139" s="0"/>
      <c r="AM139" s="0"/>
      <c r="AN139" s="0"/>
      <c r="AO139" s="0"/>
      <c r="AP139" s="0"/>
      <c r="AQ139" s="0"/>
      <c r="AR139" s="0"/>
      <c r="AS139" s="0"/>
      <c r="AT139" s="0"/>
      <c r="AU139" s="0"/>
      <c r="AV139" s="0"/>
      <c r="AW139" s="0"/>
      <c r="AX139" s="0"/>
      <c r="AY139" s="0"/>
      <c r="AZ139" s="0"/>
      <c r="BA139" s="0"/>
      <c r="BB139" s="0"/>
      <c r="BC139" s="0"/>
      <c r="BD139" s="0"/>
      <c r="BE139" s="0"/>
      <c r="BF139" s="0"/>
      <c r="BG139" s="0"/>
      <c r="BH139" s="0"/>
      <c r="BI139" s="0"/>
      <c r="BJ139" s="0"/>
      <c r="BK139" s="0"/>
      <c r="BL139" s="0"/>
      <c r="BM139" s="0"/>
      <c r="BN139" s="0"/>
      <c r="BO139" s="0"/>
      <c r="BP139" s="0"/>
      <c r="BQ139" s="0"/>
      <c r="BR139" s="0"/>
      <c r="BS139" s="0"/>
      <c r="BT139" s="0"/>
      <c r="BU139" s="0"/>
      <c r="BV139" s="0"/>
      <c r="BW139" s="0"/>
      <c r="BX139" s="0"/>
      <c r="BY139" s="0"/>
      <c r="BZ139" s="0"/>
      <c r="CA139" s="0"/>
      <c r="CB139" s="0"/>
      <c r="CC139" s="0"/>
      <c r="CD139" s="0"/>
      <c r="CE139" s="0"/>
      <c r="CF139" s="0"/>
      <c r="CG139" s="0"/>
      <c r="CH139" s="0"/>
      <c r="CI139" s="0"/>
      <c r="CJ139" s="0"/>
      <c r="CK139" s="0"/>
      <c r="CL139" s="0"/>
      <c r="CM139" s="0"/>
      <c r="CN139" s="0"/>
      <c r="CO139" s="0"/>
      <c r="CP139" s="0"/>
      <c r="CQ139" s="0"/>
      <c r="CR139" s="0"/>
      <c r="CS139" s="0"/>
      <c r="CT139" s="0"/>
      <c r="CU139" s="0"/>
      <c r="CV139" s="0"/>
      <c r="CW139" s="0"/>
      <c r="CX139" s="0"/>
      <c r="CY139" s="0"/>
      <c r="CZ139" s="0"/>
      <c r="DA139" s="0"/>
      <c r="DB139" s="0"/>
      <c r="DC139" s="0"/>
      <c r="DD139" s="0"/>
      <c r="DE139" s="0"/>
      <c r="DF139" s="0"/>
      <c r="DG139" s="0"/>
      <c r="DH139" s="0"/>
      <c r="DI139" s="0"/>
      <c r="DJ139" s="0"/>
      <c r="DK139" s="0"/>
      <c r="DL139" s="0"/>
      <c r="DM139" s="0"/>
      <c r="DN139" s="0"/>
      <c r="DO139" s="0"/>
      <c r="DP139" s="0"/>
      <c r="DQ139" s="0"/>
      <c r="DR139" s="0"/>
      <c r="DS139" s="0"/>
      <c r="DT139" s="0"/>
      <c r="DU139" s="0"/>
      <c r="DV139" s="0"/>
      <c r="DW139" s="0"/>
      <c r="DX139" s="0"/>
      <c r="DY139" s="0"/>
      <c r="DZ139" s="0"/>
      <c r="EA139" s="0"/>
      <c r="EB139" s="0"/>
      <c r="EC139" s="0"/>
      <c r="ED139" s="0"/>
      <c r="EE139" s="0"/>
      <c r="EF139" s="0"/>
      <c r="EG139" s="0"/>
      <c r="EH139" s="0"/>
      <c r="EI139" s="0"/>
      <c r="EJ139" s="0"/>
      <c r="EK139" s="0"/>
      <c r="EL139" s="0"/>
      <c r="EM139" s="0"/>
      <c r="EN139" s="0"/>
      <c r="EO139" s="0"/>
      <c r="EP139" s="0"/>
      <c r="EQ139" s="0"/>
      <c r="ER139" s="0"/>
      <c r="ES139" s="0"/>
      <c r="ET139" s="0"/>
      <c r="EU139" s="0"/>
      <c r="EV139" s="0"/>
      <c r="EW139" s="0"/>
      <c r="EX139" s="0"/>
      <c r="EY139" s="0"/>
      <c r="EZ139" s="0"/>
      <c r="FA139" s="0"/>
      <c r="FB139" s="0"/>
      <c r="FC139" s="0"/>
      <c r="FD139" s="0"/>
      <c r="FE139" s="0"/>
      <c r="FF139" s="0"/>
      <c r="FG139" s="0"/>
      <c r="FH139" s="0"/>
      <c r="FI139" s="0"/>
      <c r="FJ139" s="0"/>
      <c r="FK139" s="0"/>
      <c r="FL139" s="0"/>
      <c r="FM139" s="0"/>
      <c r="FN139" s="0"/>
      <c r="FO139" s="0"/>
      <c r="FP139" s="0"/>
      <c r="FQ139" s="0"/>
      <c r="FR139" s="0"/>
      <c r="FS139" s="0"/>
      <c r="FT139" s="0"/>
      <c r="FU139" s="0"/>
      <c r="FV139" s="0"/>
      <c r="FW139" s="0"/>
      <c r="FX139" s="0"/>
      <c r="FY139" s="0"/>
      <c r="FZ139" s="0"/>
      <c r="GA139" s="0"/>
      <c r="GB139" s="0"/>
      <c r="GC139" s="0"/>
      <c r="GD139" s="0"/>
      <c r="GE139" s="0"/>
      <c r="GF139" s="0"/>
      <c r="GG139" s="0"/>
      <c r="GH139" s="0"/>
      <c r="GI139" s="0"/>
      <c r="GJ139" s="0"/>
      <c r="GK139" s="0"/>
      <c r="GL139" s="0"/>
      <c r="GM139" s="0"/>
      <c r="GN139" s="0"/>
      <c r="GO139" s="0"/>
      <c r="GP139" s="0"/>
      <c r="GQ139" s="0"/>
      <c r="GR139" s="0"/>
      <c r="GS139" s="0"/>
      <c r="GT139" s="0"/>
      <c r="GU139" s="0"/>
      <c r="GV139" s="0"/>
      <c r="GW139" s="0"/>
      <c r="GX139" s="0"/>
      <c r="GY139" s="0"/>
      <c r="GZ139" s="0"/>
      <c r="HA139" s="0"/>
      <c r="HB139" s="0"/>
      <c r="HC139" s="0"/>
      <c r="HD139" s="0"/>
      <c r="HE139" s="0"/>
      <c r="HF139" s="0"/>
      <c r="HG139" s="0"/>
      <c r="HH139" s="0"/>
      <c r="HI139" s="0"/>
      <c r="HJ139" s="0"/>
      <c r="HK139" s="0"/>
      <c r="HL139" s="0"/>
      <c r="HM139" s="0"/>
      <c r="HN139" s="0"/>
      <c r="HO139" s="0"/>
      <c r="HP139" s="0"/>
      <c r="HQ139" s="0"/>
      <c r="HR139" s="0"/>
      <c r="HS139" s="0"/>
      <c r="HT139" s="0"/>
      <c r="HU139" s="0"/>
      <c r="HV139" s="0"/>
      <c r="HW139" s="0"/>
      <c r="HX139" s="0"/>
      <c r="HY139" s="0"/>
      <c r="HZ139" s="0"/>
      <c r="IA139" s="0"/>
      <c r="IB139" s="0"/>
      <c r="IC139" s="0"/>
      <c r="ID139" s="0"/>
      <c r="IE139" s="0"/>
      <c r="IF139" s="0"/>
      <c r="IG139" s="0"/>
      <c r="IH139" s="0"/>
      <c r="II139" s="0"/>
      <c r="IJ139" s="0"/>
      <c r="IK139" s="0"/>
      <c r="IL139" s="0"/>
      <c r="IM139" s="0"/>
      <c r="IN139" s="0"/>
      <c r="IO139" s="0"/>
      <c r="IP139" s="0"/>
      <c r="IQ139" s="0"/>
      <c r="IR139" s="0"/>
      <c r="IS139" s="0"/>
      <c r="IT139" s="0"/>
      <c r="IU139" s="0"/>
      <c r="IV139" s="0"/>
      <c r="IW139" s="0"/>
    </row>
    <row r="233" customFormat="false" ht="12.6" hidden="false" customHeight="true" outlineLevel="0" collapsed="false">
      <c r="D233" s="418"/>
      <c r="E233" s="418"/>
      <c r="F233" s="418"/>
      <c r="G233" s="418"/>
      <c r="H233" s="418"/>
      <c r="I233" s="418"/>
      <c r="J233" s="418"/>
      <c r="K233" s="418"/>
      <c r="L233" s="418"/>
      <c r="M233" s="418"/>
      <c r="N233" s="418"/>
      <c r="O233" s="418"/>
      <c r="P233" s="418"/>
      <c r="Q233" s="418"/>
      <c r="R233" s="418"/>
      <c r="S233" s="418"/>
      <c r="T233" s="418"/>
      <c r="U233" s="418"/>
      <c r="V233" s="418"/>
      <c r="W233" s="418"/>
      <c r="X233" s="686"/>
      <c r="Y233" s="686"/>
      <c r="Z233" s="686"/>
      <c r="AA233" s="686"/>
      <c r="AB233" s="686"/>
    </row>
    <row r="234" customFormat="false" ht="12.6" hidden="false" customHeight="true" outlineLevel="0" collapsed="false">
      <c r="D234" s="418"/>
      <c r="E234" s="418"/>
      <c r="F234" s="418"/>
      <c r="G234" s="418"/>
      <c r="H234" s="418"/>
      <c r="I234" s="418"/>
      <c r="J234" s="418"/>
      <c r="K234" s="418"/>
      <c r="L234" s="418"/>
      <c r="M234" s="418"/>
      <c r="N234" s="418"/>
      <c r="O234" s="418"/>
      <c r="P234" s="418"/>
      <c r="Q234" s="418"/>
      <c r="R234" s="418"/>
      <c r="S234" s="418"/>
      <c r="T234" s="418"/>
      <c r="U234" s="418"/>
      <c r="V234" s="418"/>
      <c r="W234" s="418"/>
      <c r="X234" s="686"/>
      <c r="Y234" s="686"/>
      <c r="Z234" s="686"/>
      <c r="AA234" s="686"/>
      <c r="AB234" s="686"/>
    </row>
    <row r="235" customFormat="false" ht="12.6" hidden="false" customHeight="true" outlineLevel="0" collapsed="false">
      <c r="D235" s="418"/>
      <c r="E235" s="418"/>
      <c r="F235" s="418"/>
      <c r="G235" s="418"/>
      <c r="H235" s="418"/>
      <c r="I235" s="418"/>
      <c r="J235" s="418"/>
      <c r="K235" s="418"/>
      <c r="L235" s="418"/>
      <c r="M235" s="418"/>
      <c r="N235" s="418"/>
      <c r="O235" s="418"/>
      <c r="P235" s="418"/>
      <c r="Q235" s="418"/>
      <c r="R235" s="418"/>
      <c r="S235" s="418"/>
      <c r="T235" s="418"/>
      <c r="U235" s="418"/>
      <c r="V235" s="418"/>
      <c r="W235" s="418"/>
      <c r="X235" s="686"/>
      <c r="Y235" s="686"/>
      <c r="Z235" s="686"/>
      <c r="AA235" s="686"/>
      <c r="AB235" s="686"/>
    </row>
    <row r="236" customFormat="false" ht="12.6" hidden="false" customHeight="true" outlineLevel="0" collapsed="false">
      <c r="D236" s="418"/>
      <c r="E236" s="418"/>
      <c r="F236" s="418"/>
      <c r="G236" s="418"/>
      <c r="H236" s="418"/>
      <c r="I236" s="418"/>
      <c r="J236" s="418"/>
      <c r="K236" s="418"/>
      <c r="L236" s="418"/>
      <c r="M236" s="418"/>
      <c r="N236" s="418"/>
      <c r="O236" s="418"/>
      <c r="P236" s="418"/>
      <c r="Q236" s="418"/>
      <c r="R236" s="418"/>
      <c r="S236" s="418"/>
      <c r="T236" s="418"/>
      <c r="U236" s="418"/>
      <c r="V236" s="418"/>
      <c r="W236" s="418"/>
      <c r="X236" s="686"/>
      <c r="Y236" s="686"/>
      <c r="Z236" s="686"/>
      <c r="AA236" s="686"/>
      <c r="AB236" s="686"/>
    </row>
    <row r="237" customFormat="false" ht="12.6" hidden="false" customHeight="true" outlineLevel="0" collapsed="false">
      <c r="D237" s="418"/>
      <c r="E237" s="418"/>
      <c r="F237" s="418"/>
      <c r="G237" s="418"/>
      <c r="H237" s="418"/>
      <c r="I237" s="418"/>
      <c r="J237" s="418"/>
      <c r="K237" s="418"/>
      <c r="L237" s="418"/>
      <c r="M237" s="418"/>
      <c r="N237" s="418"/>
      <c r="O237" s="418"/>
      <c r="P237" s="418"/>
      <c r="Q237" s="418"/>
      <c r="R237" s="418"/>
      <c r="S237" s="418"/>
      <c r="T237" s="418"/>
      <c r="U237" s="418"/>
      <c r="V237" s="418"/>
      <c r="W237" s="418"/>
      <c r="X237" s="686"/>
      <c r="Y237" s="686"/>
      <c r="Z237" s="686"/>
      <c r="AA237" s="686"/>
      <c r="AB237" s="686"/>
    </row>
    <row r="238" customFormat="false" ht="12.6" hidden="false" customHeight="true" outlineLevel="0" collapsed="false">
      <c r="D238" s="418"/>
      <c r="E238" s="418"/>
      <c r="F238" s="418"/>
      <c r="G238" s="418"/>
      <c r="H238" s="418"/>
      <c r="I238" s="418"/>
      <c r="J238" s="418"/>
      <c r="K238" s="418"/>
      <c r="L238" s="418"/>
      <c r="M238" s="418"/>
      <c r="N238" s="418"/>
      <c r="O238" s="418"/>
      <c r="P238" s="418"/>
      <c r="Q238" s="418"/>
      <c r="R238" s="418"/>
      <c r="S238" s="418"/>
      <c r="T238" s="418"/>
      <c r="U238" s="418"/>
      <c r="V238" s="418"/>
      <c r="W238" s="418"/>
      <c r="X238" s="686"/>
      <c r="Y238" s="686"/>
      <c r="Z238" s="686"/>
      <c r="AA238" s="686"/>
      <c r="AB238" s="686"/>
    </row>
    <row r="239" customFormat="false" ht="12.6" hidden="false" customHeight="true" outlineLevel="0" collapsed="false">
      <c r="D239" s="418"/>
      <c r="E239" s="418"/>
      <c r="F239" s="418"/>
      <c r="G239" s="418"/>
      <c r="H239" s="418"/>
      <c r="I239" s="418"/>
      <c r="J239" s="418"/>
      <c r="K239" s="418"/>
      <c r="L239" s="418"/>
      <c r="M239" s="418"/>
      <c r="N239" s="418"/>
      <c r="O239" s="418"/>
      <c r="P239" s="418"/>
      <c r="Q239" s="418"/>
      <c r="R239" s="418"/>
      <c r="S239" s="418"/>
      <c r="T239" s="418"/>
      <c r="U239" s="418"/>
      <c r="V239" s="418"/>
      <c r="W239" s="418"/>
      <c r="X239" s="686"/>
      <c r="Y239" s="686"/>
      <c r="Z239" s="686"/>
      <c r="AA239" s="686"/>
      <c r="AB239" s="686"/>
    </row>
    <row r="240" customFormat="false" ht="12.6" hidden="false" customHeight="true" outlineLevel="0" collapsed="false">
      <c r="D240" s="418"/>
      <c r="E240" s="418"/>
      <c r="F240" s="418"/>
      <c r="G240" s="418"/>
      <c r="H240" s="418"/>
      <c r="I240" s="418"/>
      <c r="J240" s="418"/>
      <c r="K240" s="418"/>
      <c r="L240" s="418"/>
      <c r="M240" s="418"/>
      <c r="N240" s="418"/>
      <c r="O240" s="418"/>
      <c r="P240" s="418"/>
      <c r="Q240" s="418"/>
      <c r="R240" s="418"/>
      <c r="S240" s="418"/>
      <c r="T240" s="418"/>
      <c r="U240" s="418"/>
      <c r="V240" s="418"/>
      <c r="W240" s="418"/>
      <c r="X240" s="686"/>
      <c r="Y240" s="686"/>
      <c r="Z240" s="686"/>
      <c r="AA240" s="686"/>
      <c r="AB240" s="686"/>
    </row>
    <row r="241" customFormat="false" ht="12.6" hidden="false" customHeight="true" outlineLevel="0" collapsed="false">
      <c r="D241" s="418"/>
      <c r="E241" s="418"/>
      <c r="F241" s="418"/>
      <c r="G241" s="418"/>
      <c r="H241" s="418"/>
      <c r="I241" s="418"/>
      <c r="J241" s="418"/>
      <c r="K241" s="418"/>
      <c r="L241" s="418"/>
      <c r="M241" s="418"/>
      <c r="N241" s="418"/>
      <c r="O241" s="418"/>
      <c r="P241" s="418"/>
      <c r="Q241" s="418"/>
      <c r="R241" s="418"/>
      <c r="S241" s="418"/>
      <c r="T241" s="418"/>
      <c r="U241" s="418"/>
      <c r="V241" s="418"/>
      <c r="W241" s="418"/>
      <c r="X241" s="686"/>
      <c r="Y241" s="686"/>
      <c r="Z241" s="686"/>
      <c r="AA241" s="686"/>
      <c r="AB241" s="686"/>
    </row>
    <row r="242" customFormat="false" ht="12.6" hidden="false" customHeight="true" outlineLevel="0" collapsed="false">
      <c r="D242" s="418"/>
      <c r="E242" s="418"/>
      <c r="F242" s="418"/>
      <c r="G242" s="418"/>
      <c r="H242" s="418"/>
      <c r="I242" s="418"/>
      <c r="J242" s="418"/>
      <c r="K242" s="418"/>
      <c r="L242" s="418"/>
      <c r="M242" s="418"/>
      <c r="N242" s="418"/>
      <c r="O242" s="418"/>
      <c r="P242" s="418"/>
      <c r="Q242" s="418"/>
      <c r="R242" s="418"/>
      <c r="S242" s="418"/>
      <c r="T242" s="418"/>
      <c r="U242" s="418"/>
      <c r="V242" s="418"/>
      <c r="W242" s="418"/>
      <c r="X242" s="686"/>
      <c r="Y242" s="686"/>
      <c r="Z242" s="686"/>
      <c r="AA242" s="686"/>
      <c r="AB242" s="686"/>
    </row>
    <row r="243" customFormat="false" ht="12.6" hidden="false" customHeight="true" outlineLevel="0" collapsed="false">
      <c r="D243" s="418"/>
      <c r="E243" s="418"/>
      <c r="F243" s="418"/>
      <c r="G243" s="418"/>
      <c r="H243" s="418"/>
      <c r="I243" s="418"/>
      <c r="J243" s="418"/>
      <c r="K243" s="418"/>
      <c r="L243" s="418"/>
      <c r="M243" s="418"/>
      <c r="N243" s="418"/>
      <c r="O243" s="418"/>
      <c r="P243" s="418"/>
      <c r="Q243" s="418"/>
      <c r="R243" s="418"/>
      <c r="S243" s="418"/>
      <c r="T243" s="418"/>
      <c r="U243" s="418"/>
      <c r="V243" s="418"/>
      <c r="W243" s="418"/>
      <c r="X243" s="686"/>
      <c r="Y243" s="686"/>
      <c r="Z243" s="686"/>
      <c r="AA243" s="686"/>
      <c r="AB243" s="686"/>
    </row>
    <row r="244" customFormat="false" ht="12.6" hidden="false" customHeight="true" outlineLevel="0" collapsed="false">
      <c r="D244" s="418"/>
      <c r="E244" s="418"/>
      <c r="F244" s="418"/>
      <c r="G244" s="418"/>
      <c r="H244" s="418"/>
      <c r="I244" s="418"/>
      <c r="J244" s="418"/>
      <c r="K244" s="418"/>
      <c r="L244" s="418"/>
      <c r="M244" s="418"/>
      <c r="N244" s="418"/>
      <c r="O244" s="418"/>
      <c r="P244" s="418"/>
      <c r="Q244" s="418"/>
      <c r="R244" s="418"/>
      <c r="S244" s="418"/>
      <c r="T244" s="418"/>
      <c r="U244" s="418"/>
      <c r="V244" s="418"/>
      <c r="W244" s="418"/>
      <c r="X244" s="686"/>
      <c r="Y244" s="686"/>
      <c r="Z244" s="686"/>
      <c r="AA244" s="686"/>
      <c r="AB244" s="686"/>
    </row>
    <row r="245" customFormat="false" ht="12.6" hidden="false" customHeight="true" outlineLevel="0" collapsed="false">
      <c r="D245" s="418"/>
      <c r="E245" s="418"/>
      <c r="F245" s="418"/>
      <c r="G245" s="418"/>
      <c r="H245" s="418"/>
      <c r="I245" s="418"/>
      <c r="J245" s="418"/>
      <c r="K245" s="418"/>
      <c r="L245" s="418"/>
      <c r="M245" s="418"/>
      <c r="N245" s="418"/>
      <c r="O245" s="418"/>
      <c r="P245" s="418"/>
      <c r="Q245" s="418"/>
      <c r="R245" s="418"/>
      <c r="S245" s="418"/>
      <c r="T245" s="418"/>
      <c r="U245" s="418"/>
      <c r="V245" s="418"/>
      <c r="W245" s="418"/>
      <c r="X245" s="686"/>
      <c r="Y245" s="686"/>
      <c r="Z245" s="686"/>
      <c r="AA245" s="686"/>
      <c r="AB245" s="686"/>
    </row>
    <row r="246" customFormat="false" ht="12.6" hidden="false" customHeight="true" outlineLevel="0" collapsed="false">
      <c r="D246" s="418"/>
      <c r="E246" s="418"/>
      <c r="F246" s="418"/>
      <c r="G246" s="418"/>
      <c r="H246" s="418"/>
      <c r="I246" s="418"/>
      <c r="J246" s="418"/>
      <c r="K246" s="418"/>
      <c r="L246" s="418"/>
      <c r="M246" s="418"/>
      <c r="N246" s="418"/>
      <c r="O246" s="418"/>
      <c r="P246" s="418"/>
      <c r="Q246" s="418"/>
      <c r="R246" s="418"/>
      <c r="S246" s="418"/>
      <c r="T246" s="418"/>
      <c r="U246" s="418"/>
      <c r="V246" s="418"/>
      <c r="W246" s="418"/>
      <c r="X246" s="686"/>
      <c r="Y246" s="686"/>
      <c r="Z246" s="686"/>
      <c r="AA246" s="686"/>
      <c r="AB246" s="686"/>
    </row>
    <row r="247" customFormat="false" ht="12.6" hidden="false" customHeight="true" outlineLevel="0" collapsed="false">
      <c r="D247" s="418"/>
      <c r="E247" s="418"/>
      <c r="F247" s="418"/>
      <c r="G247" s="418"/>
      <c r="H247" s="418"/>
      <c r="I247" s="418"/>
      <c r="J247" s="418"/>
      <c r="K247" s="418"/>
      <c r="L247" s="418"/>
      <c r="M247" s="418"/>
      <c r="N247" s="418"/>
      <c r="O247" s="418"/>
      <c r="P247" s="418"/>
      <c r="Q247" s="418"/>
      <c r="R247" s="418"/>
      <c r="S247" s="418"/>
      <c r="T247" s="418"/>
      <c r="U247" s="418"/>
      <c r="V247" s="418"/>
      <c r="W247" s="418"/>
      <c r="X247" s="686"/>
      <c r="Y247" s="686"/>
      <c r="Z247" s="686"/>
      <c r="AA247" s="686"/>
      <c r="AB247" s="686"/>
    </row>
    <row r="248" customFormat="false" ht="12.6" hidden="false" customHeight="true" outlineLevel="0" collapsed="false">
      <c r="A248" s="5"/>
      <c r="B248" s="5"/>
      <c r="C248" s="5"/>
      <c r="D248" s="5"/>
      <c r="E248" s="5"/>
      <c r="F248" s="5"/>
      <c r="G248" s="5"/>
      <c r="H248" s="5"/>
      <c r="I248" s="5"/>
      <c r="J248" s="5"/>
      <c r="K248" s="5"/>
      <c r="L248" s="5"/>
      <c r="M248" s="5"/>
      <c r="N248" s="5"/>
      <c r="O248" s="5"/>
      <c r="P248" s="5"/>
      <c r="Q248" s="5"/>
      <c r="R248" s="5"/>
      <c r="S248" s="5"/>
      <c r="T248" s="5"/>
      <c r="U248" s="5"/>
      <c r="V248" s="5"/>
      <c r="W248" s="5"/>
      <c r="X248" s="0"/>
      <c r="Y248" s="0"/>
      <c r="Z248" s="0"/>
      <c r="AA248" s="0"/>
      <c r="AB248" s="0"/>
      <c r="AC248" s="0"/>
      <c r="AD248" s="0"/>
      <c r="AF248" s="0"/>
      <c r="AG248" s="0"/>
      <c r="AH248" s="0"/>
      <c r="AI248" s="0"/>
      <c r="AJ248" s="0"/>
      <c r="AK248" s="0"/>
      <c r="AL248" s="0"/>
      <c r="AM248" s="0"/>
      <c r="AN248" s="0"/>
      <c r="AO248" s="0"/>
      <c r="AP248" s="0"/>
      <c r="AQ248" s="0"/>
      <c r="AR248" s="0"/>
      <c r="AS248" s="0"/>
      <c r="AT248" s="0"/>
      <c r="AU248" s="0"/>
      <c r="AV248" s="0"/>
      <c r="AW248" s="0"/>
      <c r="AX248" s="0"/>
      <c r="AY248" s="0"/>
      <c r="AZ248" s="0"/>
      <c r="BA248" s="0"/>
      <c r="BB248" s="0"/>
      <c r="BC248" s="0"/>
      <c r="BD248" s="0"/>
      <c r="BE248" s="0"/>
      <c r="BF248" s="0"/>
      <c r="BG248" s="0"/>
      <c r="BH248" s="0"/>
      <c r="BI248" s="0"/>
      <c r="BJ248" s="0"/>
      <c r="BK248" s="0"/>
      <c r="BL248" s="0"/>
      <c r="BM248" s="0"/>
      <c r="BN248" s="0"/>
      <c r="BO248" s="0"/>
      <c r="BP248" s="0"/>
      <c r="BQ248" s="0"/>
      <c r="BR248" s="0"/>
      <c r="BS248" s="0"/>
      <c r="BT248" s="0"/>
      <c r="BU248" s="0"/>
      <c r="BV248" s="0"/>
      <c r="BW248" s="0"/>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c r="DS248" s="0"/>
      <c r="DT248" s="0"/>
      <c r="DU248" s="0"/>
      <c r="DV248" s="0"/>
      <c r="DW248" s="0"/>
      <c r="DX248" s="0"/>
      <c r="DY248" s="0"/>
      <c r="DZ248" s="0"/>
      <c r="EA248" s="0"/>
      <c r="EB248" s="0"/>
      <c r="EC248" s="0"/>
      <c r="ED248" s="0"/>
      <c r="EE248" s="0"/>
      <c r="EF248" s="0"/>
      <c r="EG248" s="0"/>
      <c r="EH248" s="0"/>
      <c r="EI248" s="0"/>
      <c r="EJ248" s="0"/>
      <c r="EK248" s="0"/>
      <c r="EL248" s="0"/>
      <c r="EM248" s="0"/>
      <c r="EN248" s="0"/>
      <c r="EO248" s="0"/>
      <c r="EP248" s="0"/>
      <c r="EQ248" s="0"/>
      <c r="ER248" s="0"/>
      <c r="ES248" s="0"/>
      <c r="ET248" s="0"/>
      <c r="EU248" s="0"/>
      <c r="EV248" s="0"/>
      <c r="EW248" s="0"/>
      <c r="EX248" s="0"/>
      <c r="EY248" s="0"/>
      <c r="EZ248" s="0"/>
      <c r="FA248" s="0"/>
      <c r="FB248" s="0"/>
      <c r="FC248" s="0"/>
      <c r="FD248" s="0"/>
      <c r="FE248" s="0"/>
      <c r="FF248" s="0"/>
      <c r="FG248" s="0"/>
      <c r="FH248" s="0"/>
      <c r="FI248" s="0"/>
      <c r="FJ248" s="0"/>
      <c r="FK248" s="0"/>
      <c r="FL248" s="0"/>
      <c r="FM248" s="0"/>
      <c r="FN248" s="0"/>
      <c r="FO248" s="0"/>
      <c r="FP248" s="0"/>
      <c r="FQ248" s="0"/>
      <c r="FR248" s="0"/>
      <c r="FS248" s="0"/>
      <c r="FT248" s="0"/>
      <c r="FU248" s="0"/>
      <c r="FV248" s="0"/>
      <c r="FW248" s="0"/>
      <c r="FX248" s="0"/>
      <c r="FY248" s="0"/>
      <c r="FZ248" s="0"/>
      <c r="GA248" s="0"/>
      <c r="GB248" s="0"/>
      <c r="GC248" s="0"/>
      <c r="GD248" s="0"/>
      <c r="GE248" s="0"/>
      <c r="GF248" s="0"/>
      <c r="GG248" s="0"/>
      <c r="GH248" s="0"/>
      <c r="GI248" s="0"/>
      <c r="GJ248" s="0"/>
      <c r="GK248" s="0"/>
      <c r="GL248" s="0"/>
      <c r="GM248" s="0"/>
      <c r="GN248" s="0"/>
      <c r="GO248" s="0"/>
      <c r="GP248" s="0"/>
      <c r="GQ248" s="0"/>
      <c r="GR248" s="0"/>
      <c r="GS248" s="0"/>
      <c r="GT248" s="0"/>
      <c r="GU248" s="0"/>
      <c r="GV248" s="0"/>
      <c r="GW248" s="0"/>
      <c r="GX248" s="0"/>
      <c r="GY248" s="0"/>
      <c r="GZ248" s="0"/>
      <c r="HA248" s="0"/>
      <c r="HB248" s="0"/>
      <c r="HC248" s="0"/>
      <c r="HD248" s="0"/>
      <c r="HE248" s="0"/>
      <c r="HF248" s="0"/>
      <c r="HG248" s="0"/>
      <c r="HH248" s="0"/>
      <c r="HI248" s="0"/>
      <c r="HJ248" s="0"/>
      <c r="HK248" s="0"/>
      <c r="HL248" s="0"/>
      <c r="HM248" s="0"/>
      <c r="HN248" s="0"/>
      <c r="HO248" s="0"/>
      <c r="HP248" s="0"/>
      <c r="HQ248" s="0"/>
      <c r="HR248" s="0"/>
      <c r="HS248" s="0"/>
      <c r="HT248" s="0"/>
      <c r="HU248" s="0"/>
      <c r="HV248" s="0"/>
      <c r="HW248" s="0"/>
      <c r="HX248" s="0"/>
      <c r="HY248" s="0"/>
      <c r="HZ248" s="0"/>
      <c r="IA248" s="0"/>
      <c r="IB248" s="0"/>
      <c r="IC248" s="0"/>
      <c r="ID248" s="0"/>
      <c r="IE248" s="0"/>
      <c r="IF248" s="0"/>
      <c r="IG248" s="0"/>
      <c r="IH248" s="0"/>
      <c r="II248" s="0"/>
      <c r="IJ248" s="0"/>
      <c r="IK248" s="0"/>
      <c r="IL248" s="0"/>
      <c r="IM248" s="0"/>
      <c r="IN248" s="0"/>
      <c r="IO248" s="0"/>
      <c r="IP248" s="0"/>
      <c r="IQ248" s="0"/>
      <c r="IR248" s="0"/>
      <c r="IS248" s="0"/>
      <c r="IT248" s="0"/>
      <c r="IU248" s="0"/>
      <c r="IV248" s="0"/>
      <c r="IW248" s="0"/>
    </row>
    <row r="249" customFormat="false" ht="12.6" hidden="false" customHeight="true" outlineLevel="0" collapsed="false">
      <c r="A249" s="5"/>
      <c r="B249" s="5"/>
      <c r="C249" s="5"/>
      <c r="D249" s="5"/>
      <c r="E249" s="5"/>
      <c r="F249" s="5"/>
      <c r="G249" s="5"/>
      <c r="H249" s="5"/>
      <c r="I249" s="5"/>
      <c r="J249" s="5"/>
      <c r="K249" s="5"/>
      <c r="L249" s="5"/>
      <c r="M249" s="5"/>
      <c r="N249" s="5"/>
      <c r="O249" s="5"/>
      <c r="P249" s="5"/>
      <c r="Q249" s="5"/>
      <c r="R249" s="5"/>
      <c r="S249" s="5"/>
      <c r="T249" s="5"/>
      <c r="U249" s="5"/>
      <c r="V249" s="5"/>
      <c r="W249" s="5"/>
      <c r="X249" s="0"/>
      <c r="Y249" s="0"/>
      <c r="Z249" s="0"/>
      <c r="AA249" s="0"/>
      <c r="AB249" s="0"/>
      <c r="AC249" s="0"/>
      <c r="AD249" s="0"/>
      <c r="AF249" s="0"/>
      <c r="AG249" s="0"/>
      <c r="AH249" s="0"/>
      <c r="AI249" s="0"/>
      <c r="AJ249" s="0"/>
      <c r="AK249" s="0"/>
      <c r="AL249" s="0"/>
      <c r="AM249" s="0"/>
      <c r="AN249" s="0"/>
      <c r="AO249" s="0"/>
      <c r="AP249" s="0"/>
      <c r="AQ249" s="0"/>
      <c r="AR249" s="0"/>
      <c r="AS249" s="0"/>
      <c r="AT249" s="0"/>
      <c r="AU249" s="0"/>
      <c r="AV249" s="0"/>
      <c r="AW249" s="0"/>
      <c r="AX249" s="0"/>
      <c r="AY249" s="0"/>
      <c r="AZ249" s="0"/>
      <c r="BA249" s="0"/>
      <c r="BB249" s="0"/>
      <c r="BC249" s="0"/>
      <c r="BD249" s="0"/>
      <c r="BE249" s="0"/>
      <c r="BF249" s="0"/>
      <c r="BG249" s="0"/>
      <c r="BH249" s="0"/>
      <c r="BI249" s="0"/>
      <c r="BJ249" s="0"/>
      <c r="BK249" s="0"/>
      <c r="BL249" s="0"/>
      <c r="BM249" s="0"/>
      <c r="BN249" s="0"/>
      <c r="BO249" s="0"/>
      <c r="BP249" s="0"/>
      <c r="BQ249" s="0"/>
      <c r="BR249" s="0"/>
      <c r="BS249" s="0"/>
      <c r="BT249" s="0"/>
      <c r="BU249" s="0"/>
      <c r="BV249" s="0"/>
      <c r="BW249" s="0"/>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c r="DS249" s="0"/>
      <c r="DT249" s="0"/>
      <c r="DU249" s="0"/>
      <c r="DV249" s="0"/>
      <c r="DW249" s="0"/>
      <c r="DX249" s="0"/>
      <c r="DY249" s="0"/>
      <c r="DZ249" s="0"/>
      <c r="EA249" s="0"/>
      <c r="EB249" s="0"/>
      <c r="EC249" s="0"/>
      <c r="ED249" s="0"/>
      <c r="EE249" s="0"/>
      <c r="EF249" s="0"/>
      <c r="EG249" s="0"/>
      <c r="EH249" s="0"/>
      <c r="EI249" s="0"/>
      <c r="EJ249" s="0"/>
      <c r="EK249" s="0"/>
      <c r="EL249" s="0"/>
      <c r="EM249" s="0"/>
      <c r="EN249" s="0"/>
      <c r="EO249" s="0"/>
      <c r="EP249" s="0"/>
      <c r="EQ249" s="0"/>
      <c r="ER249" s="0"/>
      <c r="ES249" s="0"/>
      <c r="ET249" s="0"/>
      <c r="EU249" s="0"/>
      <c r="EV249" s="0"/>
      <c r="EW249" s="0"/>
      <c r="EX249" s="0"/>
      <c r="EY249" s="0"/>
      <c r="EZ249" s="0"/>
      <c r="FA249" s="0"/>
      <c r="FB249" s="0"/>
      <c r="FC249" s="0"/>
      <c r="FD249" s="0"/>
      <c r="FE249" s="0"/>
      <c r="FF249" s="0"/>
      <c r="FG249" s="0"/>
      <c r="FH249" s="0"/>
      <c r="FI249" s="0"/>
      <c r="FJ249" s="0"/>
      <c r="FK249" s="0"/>
      <c r="FL249" s="0"/>
      <c r="FM249" s="0"/>
      <c r="FN249" s="0"/>
      <c r="FO249" s="0"/>
      <c r="FP249" s="0"/>
      <c r="FQ249" s="0"/>
      <c r="FR249" s="0"/>
      <c r="FS249" s="0"/>
      <c r="FT249" s="0"/>
      <c r="FU249" s="0"/>
      <c r="FV249" s="0"/>
      <c r="FW249" s="0"/>
      <c r="FX249" s="0"/>
      <c r="FY249" s="0"/>
      <c r="FZ249" s="0"/>
      <c r="GA249" s="0"/>
      <c r="GB249" s="0"/>
      <c r="GC249" s="0"/>
      <c r="GD249" s="0"/>
      <c r="GE249" s="0"/>
      <c r="GF249" s="0"/>
      <c r="GG249" s="0"/>
      <c r="GH249" s="0"/>
      <c r="GI249" s="0"/>
      <c r="GJ249" s="0"/>
      <c r="GK249" s="0"/>
      <c r="GL249" s="0"/>
      <c r="GM249" s="0"/>
      <c r="GN249" s="0"/>
      <c r="GO249" s="0"/>
      <c r="GP249" s="0"/>
      <c r="GQ249" s="0"/>
      <c r="GR249" s="0"/>
      <c r="GS249" s="0"/>
      <c r="GT249" s="0"/>
      <c r="GU249" s="0"/>
      <c r="GV249" s="0"/>
      <c r="GW249" s="0"/>
      <c r="GX249" s="0"/>
      <c r="GY249" s="0"/>
      <c r="GZ249" s="0"/>
      <c r="HA249" s="0"/>
      <c r="HB249" s="0"/>
      <c r="HC249" s="0"/>
      <c r="HD249" s="0"/>
      <c r="HE249" s="0"/>
      <c r="HF249" s="0"/>
      <c r="HG249" s="0"/>
      <c r="HH249" s="0"/>
      <c r="HI249" s="0"/>
      <c r="HJ249" s="0"/>
      <c r="HK249" s="0"/>
      <c r="HL249" s="0"/>
      <c r="HM249" s="0"/>
      <c r="HN249" s="0"/>
      <c r="HO249" s="0"/>
      <c r="HP249" s="0"/>
      <c r="HQ249" s="0"/>
      <c r="HR249" s="0"/>
      <c r="HS249" s="0"/>
      <c r="HT249" s="0"/>
      <c r="HU249" s="0"/>
      <c r="HV249" s="0"/>
      <c r="HW249" s="0"/>
      <c r="HX249" s="0"/>
      <c r="HY249" s="0"/>
      <c r="HZ249" s="0"/>
      <c r="IA249" s="0"/>
      <c r="IB249" s="0"/>
      <c r="IC249" s="0"/>
      <c r="ID249" s="0"/>
      <c r="IE249" s="0"/>
      <c r="IF249" s="0"/>
      <c r="IG249" s="0"/>
      <c r="IH249" s="0"/>
      <c r="II249" s="0"/>
      <c r="IJ249" s="0"/>
      <c r="IK249" s="0"/>
      <c r="IL249" s="0"/>
      <c r="IM249" s="0"/>
      <c r="IN249" s="0"/>
      <c r="IO249" s="0"/>
      <c r="IP249" s="0"/>
      <c r="IQ249" s="0"/>
      <c r="IR249" s="0"/>
      <c r="IS249" s="0"/>
      <c r="IT249" s="0"/>
      <c r="IU249" s="0"/>
      <c r="IV249" s="0"/>
      <c r="IW249" s="0"/>
    </row>
    <row r="250" customFormat="false" ht="12.6" hidden="false" customHeight="true" outlineLevel="0" collapsed="false">
      <c r="D250" s="418"/>
      <c r="E250" s="418"/>
      <c r="F250" s="418"/>
      <c r="G250" s="418"/>
      <c r="H250" s="418"/>
      <c r="I250" s="418"/>
      <c r="J250" s="418"/>
      <c r="K250" s="418"/>
      <c r="L250" s="418"/>
      <c r="M250" s="418"/>
      <c r="N250" s="418"/>
      <c r="O250" s="418"/>
      <c r="P250" s="418"/>
      <c r="Q250" s="418"/>
      <c r="R250" s="418"/>
      <c r="S250" s="418"/>
      <c r="T250" s="418"/>
      <c r="U250" s="418"/>
      <c r="V250" s="418"/>
      <c r="W250" s="418"/>
      <c r="X250" s="686"/>
      <c r="Y250" s="686"/>
      <c r="Z250" s="686"/>
      <c r="AA250" s="686"/>
      <c r="AB250" s="686"/>
    </row>
    <row r="251" customFormat="false" ht="12.6" hidden="false" customHeight="true" outlineLevel="0" collapsed="false">
      <c r="D251" s="418"/>
      <c r="E251" s="418"/>
      <c r="F251" s="418"/>
      <c r="G251" s="418"/>
      <c r="H251" s="418"/>
      <c r="I251" s="418"/>
      <c r="J251" s="418"/>
      <c r="K251" s="418"/>
      <c r="L251" s="418"/>
      <c r="M251" s="418"/>
      <c r="N251" s="418"/>
      <c r="O251" s="418"/>
      <c r="P251" s="418"/>
      <c r="Q251" s="418"/>
      <c r="R251" s="418"/>
      <c r="S251" s="418"/>
      <c r="T251" s="418"/>
      <c r="U251" s="418"/>
      <c r="V251" s="418"/>
      <c r="W251" s="418"/>
      <c r="X251" s="686"/>
      <c r="Y251" s="686"/>
      <c r="Z251" s="686"/>
      <c r="AA251" s="686"/>
      <c r="AB251" s="686"/>
    </row>
    <row r="252" customFormat="false" ht="12.6" hidden="false" customHeight="true" outlineLevel="0" collapsed="false">
      <c r="D252" s="418"/>
      <c r="E252" s="418"/>
      <c r="F252" s="418"/>
      <c r="G252" s="418"/>
      <c r="H252" s="418"/>
      <c r="I252" s="418"/>
      <c r="J252" s="418"/>
      <c r="K252" s="418"/>
      <c r="L252" s="418"/>
      <c r="M252" s="418"/>
      <c r="N252" s="418"/>
      <c r="O252" s="418"/>
      <c r="P252" s="418"/>
      <c r="Q252" s="418"/>
      <c r="R252" s="418"/>
      <c r="S252" s="418"/>
      <c r="T252" s="418"/>
      <c r="U252" s="418"/>
      <c r="V252" s="418"/>
      <c r="W252" s="418"/>
      <c r="X252" s="686"/>
      <c r="Y252" s="686"/>
      <c r="Z252" s="686"/>
      <c r="AA252" s="686"/>
      <c r="AB252" s="686"/>
    </row>
    <row r="253" customFormat="false" ht="12.6" hidden="false" customHeight="true" outlineLevel="0" collapsed="false">
      <c r="D253" s="418"/>
      <c r="E253" s="418"/>
      <c r="F253" s="418"/>
      <c r="G253" s="418"/>
      <c r="H253" s="418"/>
      <c r="I253" s="418"/>
      <c r="J253" s="418"/>
      <c r="K253" s="418"/>
      <c r="L253" s="418"/>
      <c r="M253" s="418"/>
      <c r="N253" s="418"/>
      <c r="O253" s="418"/>
      <c r="P253" s="418"/>
      <c r="Q253" s="418"/>
      <c r="R253" s="418"/>
      <c r="S253" s="418"/>
      <c r="T253" s="418"/>
      <c r="U253" s="418"/>
      <c r="V253" s="418"/>
      <c r="W253" s="418"/>
      <c r="X253" s="686"/>
      <c r="Y253" s="686"/>
      <c r="Z253" s="686"/>
      <c r="AA253" s="686"/>
      <c r="AB253" s="686"/>
    </row>
    <row r="254" customFormat="false" ht="12.6" hidden="false" customHeight="true" outlineLevel="0" collapsed="false">
      <c r="D254" s="418"/>
      <c r="E254" s="418"/>
      <c r="F254" s="418"/>
      <c r="G254" s="418"/>
      <c r="H254" s="418"/>
      <c r="I254" s="418"/>
      <c r="J254" s="418"/>
      <c r="K254" s="418"/>
      <c r="L254" s="418"/>
      <c r="M254" s="418"/>
      <c r="N254" s="418"/>
      <c r="O254" s="418"/>
      <c r="P254" s="418"/>
      <c r="Q254" s="418"/>
      <c r="R254" s="418"/>
      <c r="S254" s="418"/>
      <c r="T254" s="418"/>
      <c r="U254" s="418"/>
      <c r="V254" s="418"/>
      <c r="W254" s="418"/>
      <c r="X254" s="686"/>
      <c r="Y254" s="686"/>
      <c r="Z254" s="686"/>
      <c r="AA254" s="686"/>
      <c r="AB254" s="686"/>
    </row>
    <row r="255" customFormat="false" ht="12.6" hidden="false" customHeight="true" outlineLevel="0" collapsed="false">
      <c r="D255" s="418"/>
      <c r="E255" s="418"/>
      <c r="F255" s="418"/>
      <c r="G255" s="418"/>
      <c r="H255" s="418"/>
      <c r="I255" s="418"/>
      <c r="J255" s="418"/>
      <c r="K255" s="418"/>
      <c r="L255" s="418"/>
      <c r="M255" s="418"/>
      <c r="N255" s="418"/>
      <c r="O255" s="418"/>
      <c r="P255" s="418"/>
      <c r="Q255" s="418"/>
      <c r="R255" s="418"/>
      <c r="S255" s="418"/>
      <c r="T255" s="418"/>
      <c r="U255" s="418"/>
      <c r="V255" s="418"/>
      <c r="W255" s="418"/>
      <c r="X255" s="686"/>
      <c r="Y255" s="686"/>
      <c r="Z255" s="686"/>
      <c r="AA255" s="686"/>
      <c r="AB255" s="686"/>
    </row>
    <row r="256" customFormat="false" ht="12.6" hidden="false" customHeight="true" outlineLevel="0" collapsed="false">
      <c r="D256" s="418"/>
      <c r="E256" s="418"/>
      <c r="F256" s="418"/>
      <c r="G256" s="418"/>
      <c r="H256" s="418"/>
      <c r="I256" s="418"/>
      <c r="J256" s="418"/>
      <c r="K256" s="418"/>
      <c r="L256" s="418"/>
      <c r="M256" s="418"/>
      <c r="N256" s="418"/>
      <c r="O256" s="418"/>
      <c r="P256" s="418"/>
      <c r="Q256" s="418"/>
      <c r="R256" s="418"/>
      <c r="S256" s="418"/>
      <c r="T256" s="418"/>
      <c r="U256" s="418"/>
      <c r="V256" s="418"/>
      <c r="W256" s="418"/>
      <c r="X256" s="686"/>
      <c r="Y256" s="686"/>
      <c r="Z256" s="686"/>
      <c r="AA256" s="686"/>
      <c r="AB256" s="686"/>
    </row>
    <row r="257" customFormat="false" ht="12.6" hidden="false" customHeight="true" outlineLevel="0" collapsed="false">
      <c r="D257" s="418"/>
      <c r="E257" s="418"/>
      <c r="F257" s="418"/>
      <c r="G257" s="418"/>
      <c r="H257" s="418"/>
      <c r="I257" s="418"/>
      <c r="J257" s="418"/>
      <c r="K257" s="418"/>
      <c r="L257" s="418"/>
      <c r="M257" s="418"/>
      <c r="N257" s="418"/>
      <c r="O257" s="418"/>
      <c r="P257" s="418"/>
      <c r="Q257" s="418"/>
      <c r="R257" s="418"/>
      <c r="S257" s="418"/>
      <c r="T257" s="418"/>
      <c r="U257" s="418"/>
      <c r="V257" s="418"/>
      <c r="W257" s="418"/>
      <c r="X257" s="686"/>
      <c r="Y257" s="686"/>
      <c r="Z257" s="686"/>
      <c r="AA257" s="686"/>
      <c r="AB257" s="686"/>
    </row>
    <row r="258" customFormat="false" ht="12.6" hidden="false" customHeight="true" outlineLevel="0" collapsed="false">
      <c r="D258" s="418"/>
      <c r="E258" s="418"/>
      <c r="F258" s="418"/>
      <c r="G258" s="418"/>
      <c r="H258" s="418"/>
      <c r="I258" s="418"/>
      <c r="J258" s="418"/>
      <c r="K258" s="418"/>
      <c r="L258" s="418"/>
      <c r="M258" s="418"/>
      <c r="N258" s="418"/>
      <c r="O258" s="418"/>
      <c r="P258" s="418"/>
      <c r="Q258" s="418"/>
      <c r="R258" s="418"/>
      <c r="S258" s="418"/>
      <c r="T258" s="418"/>
      <c r="U258" s="418"/>
      <c r="V258" s="418"/>
      <c r="W258" s="418"/>
      <c r="X258" s="686"/>
      <c r="Y258" s="686"/>
      <c r="Z258" s="686"/>
      <c r="AA258" s="686"/>
      <c r="AB258" s="686"/>
    </row>
    <row r="259" customFormat="false" ht="12.6" hidden="false" customHeight="true" outlineLevel="0" collapsed="false">
      <c r="D259" s="418"/>
      <c r="E259" s="418"/>
      <c r="F259" s="418"/>
      <c r="G259" s="418"/>
      <c r="H259" s="418"/>
      <c r="I259" s="418"/>
      <c r="J259" s="418"/>
      <c r="K259" s="418"/>
      <c r="L259" s="418"/>
      <c r="M259" s="418"/>
      <c r="N259" s="418"/>
      <c r="O259" s="418"/>
      <c r="P259" s="418"/>
      <c r="Q259" s="418"/>
      <c r="R259" s="418"/>
      <c r="S259" s="418"/>
      <c r="T259" s="418"/>
      <c r="U259" s="418"/>
      <c r="V259" s="418"/>
      <c r="W259" s="418"/>
      <c r="X259" s="686"/>
      <c r="Y259" s="686"/>
      <c r="Z259" s="686"/>
      <c r="AA259" s="686"/>
      <c r="AB259" s="686"/>
    </row>
    <row r="260" customFormat="false" ht="12.6" hidden="false" customHeight="true" outlineLevel="0" collapsed="false">
      <c r="D260" s="418"/>
      <c r="E260" s="418"/>
      <c r="F260" s="418"/>
      <c r="G260" s="418"/>
      <c r="H260" s="418"/>
      <c r="I260" s="418"/>
      <c r="J260" s="418"/>
      <c r="K260" s="418"/>
      <c r="L260" s="418"/>
      <c r="M260" s="418"/>
      <c r="N260" s="418"/>
      <c r="O260" s="418"/>
      <c r="P260" s="418"/>
      <c r="Q260" s="418"/>
      <c r="R260" s="418"/>
      <c r="S260" s="418"/>
      <c r="T260" s="418"/>
      <c r="U260" s="418"/>
      <c r="V260" s="418"/>
      <c r="W260" s="418"/>
      <c r="X260" s="686"/>
      <c r="Y260" s="686"/>
      <c r="Z260" s="686"/>
      <c r="AA260" s="686"/>
      <c r="AB260" s="686"/>
    </row>
    <row r="261" customFormat="false" ht="12.6" hidden="false" customHeight="true" outlineLevel="0" collapsed="false">
      <c r="D261" s="418"/>
      <c r="E261" s="418"/>
      <c r="F261" s="418"/>
      <c r="G261" s="418"/>
      <c r="H261" s="418"/>
      <c r="I261" s="418"/>
      <c r="J261" s="418"/>
      <c r="K261" s="418"/>
      <c r="L261" s="418"/>
      <c r="M261" s="418"/>
      <c r="N261" s="418"/>
      <c r="O261" s="418"/>
      <c r="P261" s="418"/>
      <c r="Q261" s="418"/>
      <c r="R261" s="418"/>
      <c r="S261" s="418"/>
      <c r="T261" s="418"/>
      <c r="U261" s="418"/>
      <c r="V261" s="418"/>
      <c r="W261" s="418"/>
      <c r="X261" s="686"/>
      <c r="Y261" s="686"/>
      <c r="Z261" s="686"/>
      <c r="AA261" s="686"/>
      <c r="AB261" s="686"/>
    </row>
    <row r="262" customFormat="false" ht="12.6" hidden="false" customHeight="true" outlineLevel="0" collapsed="false">
      <c r="D262" s="418"/>
      <c r="E262" s="418"/>
      <c r="F262" s="418"/>
      <c r="G262" s="418"/>
      <c r="H262" s="418"/>
      <c r="I262" s="418"/>
      <c r="J262" s="418"/>
      <c r="K262" s="418"/>
      <c r="L262" s="418"/>
      <c r="M262" s="418"/>
      <c r="N262" s="418"/>
      <c r="O262" s="418"/>
      <c r="P262" s="418"/>
      <c r="Q262" s="418"/>
      <c r="R262" s="418"/>
      <c r="S262" s="418"/>
      <c r="T262" s="418"/>
      <c r="U262" s="418"/>
      <c r="V262" s="418"/>
      <c r="W262" s="418"/>
      <c r="X262" s="686"/>
      <c r="Y262" s="686"/>
      <c r="Z262" s="686"/>
      <c r="AA262" s="686"/>
      <c r="AB262" s="686"/>
    </row>
    <row r="263" customFormat="false" ht="12.6" hidden="false" customHeight="true" outlineLevel="0" collapsed="false">
      <c r="D263" s="418"/>
      <c r="E263" s="418"/>
      <c r="F263" s="418"/>
      <c r="G263" s="418"/>
      <c r="H263" s="418"/>
      <c r="I263" s="418"/>
      <c r="J263" s="418"/>
      <c r="K263" s="418"/>
      <c r="L263" s="418"/>
      <c r="M263" s="418"/>
      <c r="N263" s="418"/>
      <c r="O263" s="418"/>
      <c r="P263" s="418"/>
      <c r="Q263" s="418"/>
      <c r="R263" s="418"/>
      <c r="S263" s="418"/>
      <c r="T263" s="418"/>
      <c r="U263" s="418"/>
      <c r="V263" s="418"/>
      <c r="W263" s="418"/>
      <c r="X263" s="686"/>
      <c r="Y263" s="686"/>
      <c r="Z263" s="686"/>
      <c r="AA263" s="686"/>
      <c r="AB263" s="686"/>
    </row>
    <row r="264" customFormat="false" ht="12.6" hidden="false" customHeight="true" outlineLevel="0" collapsed="false">
      <c r="D264" s="418"/>
      <c r="E264" s="418"/>
      <c r="F264" s="418"/>
      <c r="G264" s="418"/>
      <c r="H264" s="418"/>
      <c r="I264" s="418"/>
      <c r="J264" s="418"/>
      <c r="K264" s="418"/>
      <c r="L264" s="418"/>
      <c r="M264" s="418"/>
      <c r="N264" s="418"/>
      <c r="O264" s="418"/>
      <c r="P264" s="418"/>
      <c r="Q264" s="418"/>
      <c r="R264" s="418"/>
      <c r="S264" s="418"/>
      <c r="T264" s="418"/>
      <c r="U264" s="418"/>
      <c r="V264" s="418"/>
      <c r="W264" s="418"/>
      <c r="X264" s="686"/>
      <c r="Y264" s="686"/>
      <c r="Z264" s="686"/>
      <c r="AA264" s="686"/>
      <c r="AB264" s="686"/>
    </row>
    <row r="265" customFormat="false" ht="12.6" hidden="false" customHeight="true" outlineLevel="0" collapsed="false">
      <c r="D265" s="418"/>
      <c r="E265" s="418"/>
      <c r="F265" s="418"/>
      <c r="G265" s="418"/>
      <c r="H265" s="418"/>
      <c r="I265" s="418"/>
      <c r="J265" s="418"/>
      <c r="K265" s="418"/>
      <c r="L265" s="418"/>
      <c r="M265" s="418"/>
      <c r="N265" s="418"/>
      <c r="O265" s="418"/>
      <c r="P265" s="418"/>
      <c r="Q265" s="418"/>
      <c r="R265" s="418"/>
      <c r="S265" s="418"/>
      <c r="T265" s="418"/>
      <c r="U265" s="418"/>
      <c r="V265" s="418"/>
      <c r="W265" s="418"/>
      <c r="X265" s="686"/>
      <c r="Y265" s="686"/>
      <c r="Z265" s="686"/>
      <c r="AA265" s="686"/>
      <c r="AB265" s="686"/>
    </row>
    <row r="266" customFormat="false" ht="12.6" hidden="false" customHeight="true" outlineLevel="0" collapsed="false">
      <c r="D266" s="418"/>
      <c r="E266" s="418"/>
      <c r="F266" s="418"/>
      <c r="G266" s="418"/>
      <c r="H266" s="418"/>
      <c r="I266" s="418"/>
      <c r="J266" s="418"/>
      <c r="K266" s="418"/>
      <c r="L266" s="418"/>
      <c r="M266" s="418"/>
      <c r="N266" s="418"/>
      <c r="O266" s="418"/>
      <c r="P266" s="418"/>
      <c r="Q266" s="418"/>
      <c r="R266" s="418"/>
      <c r="S266" s="418"/>
      <c r="T266" s="418"/>
      <c r="U266" s="418"/>
      <c r="V266" s="418"/>
      <c r="W266" s="418"/>
      <c r="X266" s="686"/>
      <c r="Y266" s="686"/>
      <c r="Z266" s="686"/>
      <c r="AA266" s="686"/>
      <c r="AB266" s="686"/>
    </row>
    <row r="267" customFormat="false" ht="12.6" hidden="false" customHeight="true" outlineLevel="0" collapsed="false">
      <c r="D267" s="418"/>
      <c r="E267" s="418"/>
      <c r="F267" s="418"/>
      <c r="G267" s="418"/>
      <c r="H267" s="418"/>
      <c r="I267" s="418"/>
      <c r="J267" s="418"/>
      <c r="K267" s="418"/>
      <c r="L267" s="418"/>
      <c r="M267" s="418"/>
      <c r="N267" s="418"/>
      <c r="O267" s="418"/>
      <c r="P267" s="418"/>
      <c r="Q267" s="418"/>
      <c r="R267" s="418"/>
      <c r="S267" s="418"/>
      <c r="T267" s="418"/>
      <c r="U267" s="418"/>
      <c r="V267" s="418"/>
      <c r="W267" s="418"/>
      <c r="X267" s="686"/>
      <c r="Y267" s="686"/>
      <c r="Z267" s="686"/>
      <c r="AA267" s="686"/>
      <c r="AB267" s="686"/>
    </row>
    <row r="268" customFormat="false" ht="12.6" hidden="false" customHeight="true" outlineLevel="0" collapsed="false">
      <c r="D268" s="418"/>
      <c r="E268" s="418"/>
      <c r="F268" s="418"/>
      <c r="G268" s="418"/>
      <c r="H268" s="418"/>
      <c r="I268" s="418"/>
      <c r="J268" s="418"/>
      <c r="K268" s="418"/>
      <c r="L268" s="418"/>
      <c r="M268" s="418"/>
      <c r="N268" s="418"/>
      <c r="O268" s="418"/>
      <c r="P268" s="418"/>
      <c r="Q268" s="418"/>
      <c r="R268" s="418"/>
      <c r="S268" s="418"/>
      <c r="T268" s="418"/>
      <c r="U268" s="418"/>
      <c r="V268" s="418"/>
      <c r="W268" s="418"/>
      <c r="X268" s="686"/>
      <c r="Y268" s="686"/>
      <c r="Z268" s="686"/>
      <c r="AA268" s="686"/>
      <c r="AB268" s="686"/>
    </row>
    <row r="269" customFormat="false" ht="12.6" hidden="false" customHeight="true" outlineLevel="0" collapsed="false">
      <c r="D269" s="418"/>
      <c r="E269" s="418"/>
      <c r="F269" s="418"/>
      <c r="G269" s="418"/>
      <c r="H269" s="418"/>
      <c r="I269" s="418"/>
      <c r="J269" s="418"/>
      <c r="K269" s="418"/>
      <c r="L269" s="418"/>
      <c r="M269" s="418"/>
      <c r="N269" s="418"/>
      <c r="O269" s="418"/>
      <c r="P269" s="418"/>
      <c r="Q269" s="418"/>
      <c r="R269" s="418"/>
      <c r="S269" s="418"/>
      <c r="T269" s="418"/>
      <c r="U269" s="418"/>
      <c r="V269" s="418"/>
      <c r="W269" s="418"/>
      <c r="X269" s="686"/>
      <c r="Y269" s="686"/>
      <c r="Z269" s="686"/>
      <c r="AA269" s="686"/>
      <c r="AB269" s="686"/>
    </row>
    <row r="270" customFormat="false" ht="12.6" hidden="false" customHeight="true" outlineLevel="0" collapsed="false">
      <c r="D270" s="418"/>
      <c r="E270" s="418"/>
      <c r="F270" s="418"/>
      <c r="G270" s="418"/>
      <c r="H270" s="418"/>
      <c r="I270" s="418"/>
      <c r="J270" s="418"/>
      <c r="K270" s="418"/>
      <c r="L270" s="418"/>
      <c r="M270" s="418"/>
      <c r="N270" s="418"/>
      <c r="O270" s="418"/>
      <c r="P270" s="418"/>
      <c r="Q270" s="418"/>
      <c r="R270" s="418"/>
      <c r="S270" s="418"/>
      <c r="T270" s="418"/>
      <c r="U270" s="418"/>
      <c r="V270" s="418"/>
      <c r="W270" s="418"/>
      <c r="X270" s="686"/>
      <c r="Y270" s="686"/>
      <c r="Z270" s="686"/>
      <c r="AA270" s="686"/>
      <c r="AB270" s="686"/>
    </row>
    <row r="271" customFormat="false" ht="12.6" hidden="false" customHeight="true" outlineLevel="0" collapsed="false">
      <c r="D271" s="418"/>
      <c r="E271" s="418"/>
      <c r="F271" s="418"/>
      <c r="G271" s="418"/>
      <c r="H271" s="418"/>
      <c r="I271" s="418"/>
      <c r="J271" s="418"/>
      <c r="K271" s="418"/>
      <c r="L271" s="418"/>
      <c r="M271" s="418"/>
      <c r="N271" s="418"/>
      <c r="O271" s="418"/>
      <c r="P271" s="418"/>
      <c r="Q271" s="418"/>
      <c r="R271" s="418"/>
      <c r="S271" s="418"/>
      <c r="T271" s="418"/>
      <c r="U271" s="418"/>
      <c r="V271" s="418"/>
      <c r="W271" s="418"/>
      <c r="X271" s="686"/>
      <c r="Y271" s="686"/>
      <c r="Z271" s="686"/>
      <c r="AA271" s="686"/>
      <c r="AB271" s="686"/>
    </row>
    <row r="272" customFormat="false" ht="12.6" hidden="false" customHeight="true" outlineLevel="0" collapsed="false">
      <c r="D272" s="418"/>
      <c r="E272" s="418"/>
      <c r="F272" s="418"/>
      <c r="G272" s="418"/>
      <c r="H272" s="418"/>
      <c r="I272" s="418"/>
      <c r="J272" s="418"/>
      <c r="K272" s="418"/>
      <c r="L272" s="418"/>
      <c r="M272" s="418"/>
      <c r="N272" s="418"/>
      <c r="O272" s="418"/>
      <c r="P272" s="418"/>
      <c r="Q272" s="418"/>
      <c r="R272" s="418"/>
      <c r="S272" s="418"/>
      <c r="T272" s="418"/>
      <c r="U272" s="418"/>
      <c r="V272" s="418"/>
      <c r="W272" s="418"/>
      <c r="X272" s="686"/>
      <c r="Y272" s="686"/>
      <c r="Z272" s="686"/>
      <c r="AA272" s="686"/>
      <c r="AB272" s="686"/>
    </row>
    <row r="273" customFormat="false" ht="12.6" hidden="false" customHeight="true" outlineLevel="0" collapsed="false">
      <c r="D273" s="418"/>
      <c r="E273" s="418"/>
      <c r="F273" s="418"/>
      <c r="G273" s="418"/>
      <c r="H273" s="418"/>
      <c r="I273" s="418"/>
      <c r="J273" s="418"/>
      <c r="K273" s="418"/>
      <c r="L273" s="418"/>
      <c r="M273" s="418"/>
      <c r="N273" s="418"/>
      <c r="O273" s="418"/>
      <c r="P273" s="418"/>
      <c r="Q273" s="418"/>
      <c r="R273" s="418"/>
      <c r="S273" s="418"/>
      <c r="T273" s="418"/>
      <c r="U273" s="418"/>
      <c r="V273" s="418"/>
      <c r="W273" s="418"/>
      <c r="X273" s="686"/>
      <c r="Y273" s="686"/>
      <c r="Z273" s="686"/>
      <c r="AA273" s="686"/>
      <c r="AB273" s="686"/>
    </row>
    <row r="274" customFormat="false" ht="12.6" hidden="false" customHeight="true" outlineLevel="0" collapsed="false">
      <c r="D274" s="418"/>
      <c r="E274" s="418"/>
      <c r="F274" s="418"/>
      <c r="G274" s="418"/>
      <c r="H274" s="418"/>
      <c r="I274" s="418"/>
      <c r="J274" s="418"/>
      <c r="K274" s="418"/>
      <c r="L274" s="418"/>
      <c r="M274" s="418"/>
      <c r="N274" s="418"/>
      <c r="O274" s="418"/>
      <c r="P274" s="418"/>
      <c r="Q274" s="418"/>
      <c r="R274" s="418"/>
      <c r="S274" s="418"/>
      <c r="T274" s="418"/>
      <c r="U274" s="418"/>
      <c r="V274" s="418"/>
      <c r="W274" s="418"/>
      <c r="X274" s="686"/>
      <c r="Y274" s="686"/>
      <c r="Z274" s="686"/>
      <c r="AA274" s="686"/>
      <c r="AB274" s="686"/>
    </row>
    <row r="275" customFormat="false" ht="12.6" hidden="false" customHeight="true" outlineLevel="0" collapsed="false">
      <c r="D275" s="418"/>
      <c r="E275" s="418"/>
      <c r="F275" s="418"/>
      <c r="G275" s="418"/>
      <c r="H275" s="418"/>
      <c r="I275" s="418"/>
      <c r="J275" s="418"/>
      <c r="K275" s="418"/>
      <c r="L275" s="418"/>
      <c r="M275" s="418"/>
      <c r="N275" s="418"/>
      <c r="O275" s="418"/>
      <c r="P275" s="418"/>
      <c r="Q275" s="418"/>
      <c r="R275" s="418"/>
      <c r="S275" s="418"/>
      <c r="T275" s="418"/>
      <c r="U275" s="418"/>
      <c r="V275" s="418"/>
      <c r="W275" s="418"/>
      <c r="X275" s="686"/>
      <c r="Y275" s="686"/>
      <c r="Z275" s="686"/>
      <c r="AA275" s="686"/>
      <c r="AB275" s="686"/>
    </row>
    <row r="276" customFormat="false" ht="12.6" hidden="false" customHeight="true" outlineLevel="0" collapsed="false">
      <c r="D276" s="418"/>
      <c r="E276" s="418"/>
      <c r="F276" s="418"/>
      <c r="G276" s="418"/>
      <c r="H276" s="418"/>
      <c r="I276" s="418"/>
      <c r="J276" s="418"/>
      <c r="K276" s="418"/>
      <c r="L276" s="418"/>
      <c r="M276" s="418"/>
      <c r="N276" s="418"/>
      <c r="O276" s="418"/>
      <c r="P276" s="418"/>
      <c r="Q276" s="418"/>
      <c r="R276" s="418"/>
      <c r="S276" s="418"/>
      <c r="T276" s="418"/>
      <c r="U276" s="418"/>
      <c r="V276" s="418"/>
      <c r="W276" s="418"/>
      <c r="X276" s="686"/>
      <c r="Y276" s="686"/>
      <c r="Z276" s="686"/>
      <c r="AA276" s="686"/>
      <c r="AB276" s="686"/>
    </row>
    <row r="277" customFormat="false" ht="12.6" hidden="false" customHeight="true" outlineLevel="0" collapsed="false">
      <c r="D277" s="418"/>
      <c r="E277" s="418"/>
      <c r="F277" s="418"/>
      <c r="G277" s="418"/>
      <c r="H277" s="418"/>
      <c r="I277" s="418"/>
      <c r="J277" s="418"/>
      <c r="K277" s="418"/>
      <c r="L277" s="418"/>
      <c r="M277" s="418"/>
      <c r="N277" s="418"/>
      <c r="O277" s="418"/>
      <c r="P277" s="418"/>
      <c r="Q277" s="418"/>
      <c r="R277" s="418"/>
      <c r="S277" s="418"/>
      <c r="T277" s="418"/>
      <c r="U277" s="418"/>
      <c r="V277" s="418"/>
      <c r="W277" s="418"/>
      <c r="X277" s="686"/>
      <c r="Y277" s="686"/>
      <c r="Z277" s="686"/>
      <c r="AA277" s="686"/>
      <c r="AB277" s="686"/>
    </row>
    <row r="278" customFormat="false" ht="12.6" hidden="false" customHeight="true" outlineLevel="0" collapsed="false">
      <c r="D278" s="418"/>
      <c r="E278" s="418"/>
      <c r="F278" s="418"/>
      <c r="G278" s="418"/>
      <c r="H278" s="418"/>
      <c r="I278" s="418"/>
      <c r="J278" s="418"/>
      <c r="K278" s="418"/>
      <c r="L278" s="418"/>
      <c r="M278" s="418"/>
      <c r="N278" s="418"/>
      <c r="O278" s="418"/>
      <c r="P278" s="418"/>
      <c r="Q278" s="418"/>
      <c r="R278" s="418"/>
      <c r="S278" s="418"/>
      <c r="T278" s="418"/>
      <c r="U278" s="418"/>
      <c r="V278" s="418"/>
      <c r="W278" s="418"/>
      <c r="X278" s="686"/>
      <c r="Y278" s="686"/>
      <c r="Z278" s="686"/>
      <c r="AA278" s="686"/>
      <c r="AB278" s="686"/>
    </row>
    <row r="279" customFormat="false" ht="12.6" hidden="false" customHeight="true" outlineLevel="0" collapsed="false">
      <c r="D279" s="418"/>
      <c r="E279" s="418"/>
      <c r="F279" s="418"/>
      <c r="G279" s="418"/>
      <c r="H279" s="418"/>
      <c r="I279" s="418"/>
      <c r="J279" s="418"/>
      <c r="K279" s="418"/>
      <c r="L279" s="418"/>
      <c r="M279" s="418"/>
      <c r="N279" s="418"/>
      <c r="O279" s="418"/>
      <c r="P279" s="418"/>
      <c r="Q279" s="418"/>
      <c r="R279" s="418"/>
      <c r="S279" s="418"/>
      <c r="T279" s="418"/>
      <c r="U279" s="418"/>
      <c r="V279" s="418"/>
      <c r="W279" s="418"/>
      <c r="X279" s="686"/>
      <c r="Y279" s="686"/>
      <c r="Z279" s="686"/>
      <c r="AA279" s="686"/>
      <c r="AB279" s="686"/>
    </row>
    <row r="280" customFormat="false" ht="12.6" hidden="false" customHeight="true" outlineLevel="0" collapsed="false">
      <c r="D280" s="418"/>
      <c r="E280" s="418"/>
      <c r="F280" s="418"/>
      <c r="G280" s="418"/>
      <c r="H280" s="418"/>
      <c r="I280" s="418"/>
      <c r="J280" s="418"/>
      <c r="K280" s="418"/>
      <c r="L280" s="418"/>
      <c r="M280" s="418"/>
      <c r="N280" s="418"/>
      <c r="O280" s="418"/>
      <c r="P280" s="418"/>
      <c r="Q280" s="418"/>
      <c r="R280" s="418"/>
      <c r="S280" s="418"/>
      <c r="T280" s="418"/>
      <c r="U280" s="418"/>
      <c r="V280" s="418"/>
      <c r="W280" s="418"/>
      <c r="X280" s="686"/>
      <c r="Y280" s="686"/>
      <c r="Z280" s="686"/>
      <c r="AA280" s="686"/>
      <c r="AB280" s="686"/>
    </row>
    <row r="281" customFormat="false" ht="12.6" hidden="false" customHeight="true" outlineLevel="0" collapsed="false">
      <c r="D281" s="418"/>
      <c r="E281" s="418"/>
      <c r="F281" s="418"/>
      <c r="G281" s="418"/>
      <c r="H281" s="418"/>
      <c r="I281" s="418"/>
      <c r="J281" s="418"/>
      <c r="K281" s="418"/>
      <c r="L281" s="418"/>
      <c r="M281" s="418"/>
      <c r="N281" s="418"/>
      <c r="O281" s="418"/>
      <c r="P281" s="418"/>
      <c r="Q281" s="418"/>
      <c r="R281" s="418"/>
      <c r="S281" s="418"/>
      <c r="T281" s="418"/>
      <c r="U281" s="418"/>
      <c r="V281" s="418"/>
      <c r="W281" s="418"/>
      <c r="X281" s="686"/>
      <c r="Y281" s="686"/>
      <c r="Z281" s="686"/>
      <c r="AA281" s="686"/>
      <c r="AB281" s="686"/>
    </row>
    <row r="282" customFormat="false" ht="12.6" hidden="false" customHeight="true" outlineLevel="0" collapsed="false">
      <c r="D282" s="418"/>
      <c r="E282" s="418"/>
      <c r="F282" s="418"/>
      <c r="G282" s="418"/>
      <c r="H282" s="418"/>
      <c r="I282" s="418"/>
      <c r="J282" s="418"/>
      <c r="K282" s="418"/>
      <c r="L282" s="418"/>
      <c r="M282" s="418"/>
      <c r="N282" s="418"/>
      <c r="O282" s="418"/>
      <c r="P282" s="418"/>
      <c r="Q282" s="418"/>
      <c r="R282" s="418"/>
      <c r="S282" s="418"/>
      <c r="T282" s="418"/>
      <c r="U282" s="418"/>
      <c r="V282" s="418"/>
      <c r="W282" s="418"/>
      <c r="X282" s="686"/>
      <c r="Y282" s="686"/>
      <c r="Z282" s="686"/>
      <c r="AA282" s="686"/>
      <c r="AB282" s="686"/>
    </row>
    <row r="283" customFormat="false" ht="12.6" hidden="false" customHeight="true" outlineLevel="0" collapsed="false">
      <c r="D283" s="418"/>
      <c r="E283" s="418"/>
      <c r="F283" s="418"/>
      <c r="G283" s="418"/>
      <c r="H283" s="418"/>
      <c r="I283" s="418"/>
      <c r="J283" s="418"/>
      <c r="K283" s="418"/>
      <c r="L283" s="418"/>
      <c r="M283" s="418"/>
      <c r="N283" s="418"/>
      <c r="O283" s="418"/>
      <c r="P283" s="418"/>
      <c r="Q283" s="418"/>
      <c r="R283" s="418"/>
      <c r="S283" s="418"/>
      <c r="T283" s="418"/>
      <c r="U283" s="418"/>
      <c r="V283" s="418"/>
      <c r="W283" s="418"/>
      <c r="X283" s="686"/>
      <c r="Y283" s="686"/>
      <c r="Z283" s="686"/>
      <c r="AA283" s="686"/>
      <c r="AB283" s="686"/>
    </row>
    <row r="284" customFormat="false" ht="12.6" hidden="false" customHeight="true" outlineLevel="0" collapsed="false">
      <c r="D284" s="418"/>
      <c r="E284" s="418"/>
      <c r="F284" s="418"/>
      <c r="G284" s="418"/>
      <c r="H284" s="418"/>
      <c r="I284" s="418"/>
      <c r="J284" s="418"/>
      <c r="K284" s="418"/>
      <c r="L284" s="418"/>
      <c r="M284" s="418"/>
      <c r="N284" s="418"/>
      <c r="O284" s="418"/>
      <c r="P284" s="418"/>
      <c r="Q284" s="418"/>
      <c r="R284" s="418"/>
      <c r="S284" s="418"/>
      <c r="T284" s="418"/>
      <c r="U284" s="418"/>
      <c r="V284" s="418"/>
      <c r="W284" s="418"/>
      <c r="X284" s="686"/>
      <c r="Y284" s="686"/>
      <c r="Z284" s="686"/>
      <c r="AA284" s="686"/>
      <c r="AB284" s="686"/>
    </row>
  </sheetData>
  <printOptions headings="false" gridLines="false" gridLinesSet="true" horizontalCentered="false" verticalCentered="false"/>
  <pageMargins left="0.5" right="0.5" top="0.5" bottom="0.5" header="0.511811023622047" footer="0.25"/>
  <pageSetup paperSize="1" scale="100" fitToWidth="1" fitToHeight="1" pageOrder="downThenOver" orientation="landscape" blackAndWhite="false" draft="false" cellComments="none" horizontalDpi="300" verticalDpi="300" copies="1"/>
  <headerFooter differentFirst="false" differentOddEven="false">
    <oddHeader/>
    <oddFooter>&amp;L&amp;D &amp;T&amp;R&amp;F
&amp;A &amp;P</oddFooter>
  </headerFooter>
  <colBreaks count="1" manualBreakCount="1">
    <brk id="23" man="true" max="65535" min="0"/>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U17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5" width="31.99"/>
    <col collapsed="false" customWidth="true" hidden="false" outlineLevel="0" max="2" min="2" style="5" width="11.42"/>
    <col collapsed="false" customWidth="true" hidden="false" outlineLevel="0" max="27" min="3" style="5" width="10.28"/>
    <col collapsed="false" customWidth="true" hidden="false" outlineLevel="0" max="28" min="28" style="5" width="9.14"/>
  </cols>
  <sheetData>
    <row r="1" customFormat="false" ht="20.25" hidden="false" customHeight="false" outlineLevel="0" collapsed="false">
      <c r="A1" s="368" t="str">
        <f aca="false">'Project Assumptions'!$A$2</f>
        <v>CALEDONIA, Lowndes County, MS</v>
      </c>
      <c r="B1" s="369"/>
      <c r="C1" s="370"/>
    </row>
    <row r="2" customFormat="false" ht="12.75" hidden="false" customHeight="false" outlineLevel="0" collapsed="false">
      <c r="A2" s="371" t="s">
        <v>527</v>
      </c>
      <c r="B2" s="372"/>
      <c r="C2" s="374"/>
    </row>
    <row r="3" customFormat="false" ht="12.6" hidden="false" customHeight="true" outlineLevel="0" collapsed="false">
      <c r="A3" s="496"/>
      <c r="C3" s="450" t="n">
        <f aca="false">'Book Income Statement'!D3</f>
        <v>1</v>
      </c>
      <c r="D3" s="450" t="n">
        <f aca="false">'Book Income Statement'!E3</f>
        <v>2</v>
      </c>
      <c r="E3" s="450" t="n">
        <f aca="false">'Book Income Statement'!F3</f>
        <v>3</v>
      </c>
      <c r="F3" s="450" t="n">
        <f aca="false">'Book Income Statement'!G3</f>
        <v>4</v>
      </c>
      <c r="G3" s="450" t="n">
        <f aca="false">'Book Income Statement'!H3</f>
        <v>5</v>
      </c>
      <c r="H3" s="450" t="n">
        <f aca="false">'Book Income Statement'!I3</f>
        <v>6</v>
      </c>
      <c r="I3" s="329" t="n">
        <f aca="false">'Book Income Statement'!J3</f>
        <v>7</v>
      </c>
      <c r="J3" s="450" t="n">
        <f aca="false">'Book Income Statement'!K3</f>
        <v>8</v>
      </c>
      <c r="K3" s="450" t="n">
        <f aca="false">'Book Income Statement'!L3</f>
        <v>9</v>
      </c>
      <c r="L3" s="450" t="n">
        <f aca="false">'Book Income Statement'!M3</f>
        <v>10</v>
      </c>
      <c r="M3" s="450" t="n">
        <f aca="false">'Book Income Statement'!N3</f>
        <v>11</v>
      </c>
      <c r="N3" s="450" t="n">
        <f aca="false">'Book Income Statement'!O3</f>
        <v>12</v>
      </c>
      <c r="O3" s="329" t="n">
        <f aca="false">'Book Income Statement'!P3</f>
        <v>13</v>
      </c>
      <c r="P3" s="450" t="n">
        <f aca="false">'Book Income Statement'!Q3</f>
        <v>14</v>
      </c>
      <c r="Q3" s="450" t="n">
        <f aca="false">'Book Income Statement'!R3</f>
        <v>15</v>
      </c>
      <c r="R3" s="450" t="n">
        <f aca="false">'Book Income Statement'!S3</f>
        <v>16</v>
      </c>
      <c r="S3" s="450" t="n">
        <f aca="false">'Book Income Statement'!T3</f>
        <v>17</v>
      </c>
      <c r="T3" s="450" t="n">
        <f aca="false">'Book Income Statement'!U3</f>
        <v>18</v>
      </c>
      <c r="U3" s="329" t="n">
        <f aca="false">'Book Income Statement'!V3</f>
        <v>19</v>
      </c>
      <c r="V3" s="450" t="n">
        <f aca="false">'Book Income Statement'!W3</f>
        <v>20</v>
      </c>
      <c r="W3" s="450" t="n">
        <f aca="false">'Book Income Statement'!X3</f>
        <v>21</v>
      </c>
      <c r="X3" s="450" t="n">
        <f aca="false">'Book Income Statement'!Y3</f>
        <v>0</v>
      </c>
      <c r="Y3" s="450" t="n">
        <f aca="false">'Book Income Statement'!Z3</f>
        <v>0</v>
      </c>
      <c r="Z3" s="450" t="n">
        <f aca="false">'Book Income Statement'!AA3</f>
        <v>0</v>
      </c>
      <c r="AA3" s="329" t="n">
        <f aca="false">'Book Income Statement'!AB3</f>
        <v>0</v>
      </c>
      <c r="AB3" s="450"/>
      <c r="AC3" s="498"/>
    </row>
    <row r="4" customFormat="false" ht="12.6" hidden="false" customHeight="true" outlineLevel="0" collapsed="false">
      <c r="A4" s="499"/>
      <c r="B4" s="500"/>
      <c r="C4" s="381" t="n">
        <f aca="false">'Book Income Statement'!D4</f>
        <v>1999</v>
      </c>
      <c r="D4" s="381" t="n">
        <f aca="false">'Book Income Statement'!E4</f>
        <v>2000</v>
      </c>
      <c r="E4" s="381" t="n">
        <f aca="false">'Book Income Statement'!F4</f>
        <v>2001</v>
      </c>
      <c r="F4" s="381" t="n">
        <f aca="false">'Book Income Statement'!G4</f>
        <v>2002</v>
      </c>
      <c r="G4" s="381" t="n">
        <f aca="false">'Book Income Statement'!H4</f>
        <v>2003</v>
      </c>
      <c r="H4" s="381" t="n">
        <f aca="false">'Book Income Statement'!I4</f>
        <v>2004</v>
      </c>
      <c r="I4" s="381" t="n">
        <f aca="false">'Book Income Statement'!J4</f>
        <v>2005</v>
      </c>
      <c r="J4" s="381" t="n">
        <f aca="false">'Book Income Statement'!K4</f>
        <v>2006</v>
      </c>
      <c r="K4" s="381" t="n">
        <f aca="false">'Book Income Statement'!L4</f>
        <v>2007</v>
      </c>
      <c r="L4" s="381" t="n">
        <f aca="false">'Book Income Statement'!M4</f>
        <v>2008</v>
      </c>
      <c r="M4" s="381" t="n">
        <f aca="false">'Book Income Statement'!N4</f>
        <v>2009</v>
      </c>
      <c r="N4" s="381" t="n">
        <f aca="false">'Book Income Statement'!O4</f>
        <v>2010</v>
      </c>
      <c r="O4" s="381" t="n">
        <f aca="false">'Book Income Statement'!P4</f>
        <v>2011</v>
      </c>
      <c r="P4" s="381" t="n">
        <f aca="false">'Book Income Statement'!Q4</f>
        <v>2012</v>
      </c>
      <c r="Q4" s="381" t="n">
        <f aca="false">'Book Income Statement'!R4</f>
        <v>2013</v>
      </c>
      <c r="R4" s="381" t="n">
        <f aca="false">'Book Income Statement'!S4</f>
        <v>2014</v>
      </c>
      <c r="S4" s="381" t="n">
        <f aca="false">'Book Income Statement'!T4</f>
        <v>2015</v>
      </c>
      <c r="T4" s="381" t="n">
        <f aca="false">'Book Income Statement'!U4</f>
        <v>2016</v>
      </c>
      <c r="U4" s="381" t="n">
        <f aca="false">'Book Income Statement'!V4</f>
        <v>2017</v>
      </c>
      <c r="V4" s="381" t="n">
        <f aca="false">'Book Income Statement'!W4</f>
        <v>2018</v>
      </c>
      <c r="W4" s="381" t="n">
        <f aca="false">'Book Income Statement'!X4</f>
        <v>2019</v>
      </c>
      <c r="X4" s="381" t="n">
        <f aca="false">'Book Income Statement'!Y4</f>
        <v>0</v>
      </c>
      <c r="Y4" s="381" t="n">
        <f aca="false">'Book Income Statement'!Z4</f>
        <v>0</v>
      </c>
      <c r="Z4" s="381" t="n">
        <f aca="false">'Book Income Statement'!AA4</f>
        <v>0</v>
      </c>
      <c r="AA4" s="382" t="n">
        <f aca="false">'Book Income Statement'!AB4</f>
        <v>0</v>
      </c>
      <c r="AB4" s="383"/>
      <c r="AC4" s="503"/>
      <c r="AE4" s="503"/>
      <c r="AF4" s="503"/>
      <c r="AG4" s="503"/>
      <c r="AH4" s="503"/>
      <c r="AI4" s="503"/>
      <c r="AJ4" s="503"/>
      <c r="AK4" s="503"/>
      <c r="AL4" s="503"/>
      <c r="AM4" s="503"/>
      <c r="AN4" s="503"/>
      <c r="AO4" s="503"/>
      <c r="AP4" s="503"/>
      <c r="AQ4" s="503"/>
      <c r="AR4" s="503"/>
      <c r="AS4" s="503"/>
      <c r="AT4" s="503"/>
      <c r="AU4" s="503"/>
      <c r="AV4" s="503"/>
      <c r="AW4" s="503"/>
      <c r="AX4" s="503"/>
      <c r="AY4" s="503"/>
      <c r="AZ4" s="503"/>
    </row>
    <row r="5" customFormat="false" ht="15.75" hidden="false" customHeight="false" outlineLevel="0" collapsed="false">
      <c r="A5" s="415" t="s">
        <v>528</v>
      </c>
      <c r="B5" s="385"/>
      <c r="C5" s="385"/>
      <c r="D5" s="385"/>
      <c r="E5" s="385"/>
      <c r="F5" s="385"/>
      <c r="G5" s="385"/>
      <c r="H5" s="385"/>
      <c r="I5" s="385"/>
      <c r="J5" s="385"/>
      <c r="K5" s="385"/>
      <c r="L5" s="385"/>
      <c r="M5" s="385"/>
      <c r="N5" s="385"/>
      <c r="O5" s="385"/>
      <c r="P5" s="385"/>
      <c r="Q5" s="385"/>
      <c r="R5" s="385"/>
      <c r="S5" s="385"/>
      <c r="T5" s="385"/>
      <c r="U5" s="385"/>
      <c r="V5" s="385"/>
      <c r="W5" s="385"/>
      <c r="X5" s="385"/>
      <c r="Y5" s="385"/>
      <c r="Z5" s="385"/>
      <c r="AA5" s="416"/>
      <c r="AB5" s="385"/>
    </row>
    <row r="6" customFormat="false" ht="12.6" hidden="false" customHeight="true" outlineLevel="0" collapsed="false">
      <c r="A6" s="448" t="s">
        <v>529</v>
      </c>
      <c r="B6" s="757" t="n">
        <f aca="false">'Project Assumptions'!I17</f>
        <v>36373</v>
      </c>
      <c r="C6" s="757" t="n">
        <f aca="false">DATE(YEAR(B6),12,31)</f>
        <v>36525</v>
      </c>
      <c r="D6" s="757" t="n">
        <f aca="false">EDATE(C6,12)</f>
        <v>36891</v>
      </c>
      <c r="E6" s="757" t="n">
        <f aca="false">EDATE(D6,12)</f>
        <v>37256</v>
      </c>
      <c r="F6" s="757" t="n">
        <f aca="false">EDATE(E6,12)</f>
        <v>37621</v>
      </c>
      <c r="G6" s="757" t="n">
        <f aca="false">EDATE(F6,12)</f>
        <v>37986</v>
      </c>
      <c r="H6" s="757" t="n">
        <f aca="false">EDATE(G6,12)</f>
        <v>38352</v>
      </c>
      <c r="I6" s="757" t="n">
        <f aca="false">EDATE(H6,12)</f>
        <v>38717</v>
      </c>
      <c r="J6" s="757" t="n">
        <f aca="false">EDATE(I6,12)</f>
        <v>39082</v>
      </c>
      <c r="K6" s="757" t="n">
        <f aca="false">EDATE(J6,12)</f>
        <v>39447</v>
      </c>
      <c r="L6" s="757" t="n">
        <f aca="false">EDATE(K6,12)</f>
        <v>39813</v>
      </c>
      <c r="M6" s="757" t="n">
        <f aca="false">EDATE(L6,12)</f>
        <v>40178</v>
      </c>
      <c r="N6" s="757" t="n">
        <f aca="false">EDATE(M6,12)</f>
        <v>40543</v>
      </c>
      <c r="O6" s="757" t="n">
        <f aca="false">EDATE(N6,12)</f>
        <v>40908</v>
      </c>
      <c r="P6" s="757" t="n">
        <f aca="false">EDATE(O6,12)</f>
        <v>41274</v>
      </c>
      <c r="Q6" s="757" t="n">
        <f aca="false">EDATE(P6,12)</f>
        <v>41639</v>
      </c>
      <c r="R6" s="757" t="n">
        <f aca="false">EDATE(Q6,12)</f>
        <v>42004</v>
      </c>
      <c r="S6" s="757" t="n">
        <f aca="false">EDATE(R6,12)</f>
        <v>42369</v>
      </c>
      <c r="T6" s="757" t="n">
        <f aca="false">EDATE(S6,12)</f>
        <v>42735</v>
      </c>
      <c r="U6" s="757" t="n">
        <f aca="false">EDATE(T6,12)</f>
        <v>43100</v>
      </c>
      <c r="V6" s="757" t="n">
        <f aca="false">EDATE(U6,12)</f>
        <v>43465</v>
      </c>
      <c r="W6" s="757" t="n">
        <f aca="false">EDATE(V6,12)</f>
        <v>43830</v>
      </c>
      <c r="X6" s="757" t="n">
        <f aca="false">EDATE(W6,12)</f>
        <v>44196</v>
      </c>
      <c r="Y6" s="757" t="n">
        <f aca="false">EDATE(X6,12)</f>
        <v>44561</v>
      </c>
      <c r="Z6" s="757" t="n">
        <f aca="false">EDATE(Y6,12)</f>
        <v>44926</v>
      </c>
      <c r="AA6" s="758" t="n">
        <f aca="false">EDATE(Z6,12)</f>
        <v>45291</v>
      </c>
      <c r="AB6" s="385"/>
      <c r="AC6" s="759"/>
    </row>
    <row r="7" customFormat="false" ht="12.6" hidden="false" customHeight="true" outlineLevel="0" collapsed="false">
      <c r="A7" s="435" t="s">
        <v>530</v>
      </c>
      <c r="B7" s="438" t="n">
        <f aca="false">'Project Assumptions'!C8*-1</f>
        <v>-37076.971</v>
      </c>
      <c r="C7" s="438" t="n">
        <f aca="false">'Cash Flow Statement'!D20</f>
        <v>-5718.33482201103</v>
      </c>
      <c r="D7" s="438" t="n">
        <f aca="false">'Cash Flow Statement'!E20</f>
        <v>3459.97284195981</v>
      </c>
      <c r="E7" s="438" t="n">
        <f aca="false">'Cash Flow Statement'!F20</f>
        <v>4731.46710293299</v>
      </c>
      <c r="F7" s="438" t="n">
        <f aca="false">'Cash Flow Statement'!G20</f>
        <v>3389.98466285842</v>
      </c>
      <c r="G7" s="438" t="n">
        <f aca="false">'Cash Flow Statement'!H20</f>
        <v>13139.5347754599</v>
      </c>
      <c r="H7" s="438" t="n">
        <f aca="false">'Cash Flow Statement'!I20</f>
        <v>17942.427757469</v>
      </c>
      <c r="I7" s="438" t="n">
        <f aca="false">'Cash Flow Statement'!J20</f>
        <v>17991.8710618335</v>
      </c>
      <c r="J7" s="438" t="n">
        <f aca="false">'Cash Flow Statement'!K20</f>
        <v>18722.4500480897</v>
      </c>
      <c r="K7" s="438" t="n">
        <f aca="false">'Cash Flow Statement'!L20</f>
        <v>16595.068490033</v>
      </c>
      <c r="L7" s="438" t="n">
        <f aca="false">'Cash Flow Statement'!M20</f>
        <v>15210.4516056594</v>
      </c>
      <c r="M7" s="438" t="n">
        <f aca="false">'Cash Flow Statement'!N20</f>
        <v>25793.4656853358</v>
      </c>
      <c r="N7" s="438" t="n">
        <f aca="false">'Cash Flow Statement'!O20</f>
        <v>25672.0124057217</v>
      </c>
      <c r="O7" s="438" t="n">
        <f aca="false">'Cash Flow Statement'!P20</f>
        <v>26159.4949633695</v>
      </c>
      <c r="P7" s="438" t="n">
        <f aca="false">'Cash Flow Statement'!Q20</f>
        <v>26796.3332581465</v>
      </c>
      <c r="Q7" s="438" t="n">
        <f aca="false">'Cash Flow Statement'!R20</f>
        <v>27436.337592901</v>
      </c>
      <c r="R7" s="438" t="n">
        <f aca="false">'Cash Flow Statement'!S20</f>
        <v>28061.7957369448</v>
      </c>
      <c r="S7" s="438" t="n">
        <f aca="false">'Cash Flow Statement'!T20</f>
        <v>25483.2506902538</v>
      </c>
      <c r="T7" s="438" t="n">
        <f aca="false">'Cash Flow Statement'!U20</f>
        <v>25095.439511117</v>
      </c>
      <c r="U7" s="438" t="n">
        <f aca="false">'Cash Flow Statement'!V20</f>
        <v>24172.7751481326</v>
      </c>
      <c r="V7" s="438" t="n">
        <f aca="false">'Cash Flow Statement'!W20</f>
        <v>24023.7433973899</v>
      </c>
      <c r="W7" s="438" t="n">
        <f aca="false">'Cash Flow Statement'!X20</f>
        <v>35975.0983915274</v>
      </c>
      <c r="X7" s="438" t="n">
        <f aca="false">'Cash Flow Statement'!Y20</f>
        <v>0</v>
      </c>
      <c r="Y7" s="438" t="n">
        <f aca="false">'Cash Flow Statement'!Z20</f>
        <v>0</v>
      </c>
      <c r="Z7" s="438" t="n">
        <f aca="false">'Cash Flow Statement'!AA20</f>
        <v>0</v>
      </c>
      <c r="AA7" s="439" t="n">
        <f aca="false">'Cash Flow Statement'!AB20</f>
        <v>0</v>
      </c>
      <c r="AB7" s="385"/>
      <c r="AC7" s="759"/>
    </row>
    <row r="8" customFormat="false" ht="12.6" hidden="false" customHeight="true" outlineLevel="0" collapsed="false">
      <c r="A8" s="412" t="s">
        <v>531</v>
      </c>
      <c r="B8" s="385"/>
      <c r="C8" s="760" t="e">
        <f aca="false">XIRR($B$7:C7,$B$6:C6)</f>
        <v>#VALUE!</v>
      </c>
      <c r="D8" s="760" t="n">
        <f aca="false">XIRR($B$7:D7,$B$6:D6)</f>
        <v>-0.846761328503046</v>
      </c>
      <c r="E8" s="760" t="n">
        <f aca="false">XIRR($B$7:E7,$B$6:E6)</f>
        <v>-0.557935539467528</v>
      </c>
      <c r="F8" s="760" t="n">
        <f aca="false">XIRR($B$7:F7,$B$6:F6)</f>
        <v>-0.406665363621443</v>
      </c>
      <c r="G8" s="760" t="n">
        <f aca="false">XIRR($B$7:G7,$B$6:G6)</f>
        <v>-0.144449117431588</v>
      </c>
      <c r="H8" s="760" t="n">
        <f aca="false">XIRR($B$7:H7,$B$6:H6)</f>
        <v>-0.00072765496765028</v>
      </c>
      <c r="I8" s="760" t="n">
        <f aca="false">XIRR($B$7:I7,$B$6:I6)</f>
        <v>0.0754883409283053</v>
      </c>
      <c r="J8" s="760" t="n">
        <f aca="false">XIRR($B$7:J7,$B$6:J6)</f>
        <v>0.123797308714747</v>
      </c>
      <c r="K8" s="760" t="n">
        <f aca="false">XIRR($B$7:K7,$B$6:K6)</f>
        <v>0.152078824961235</v>
      </c>
      <c r="L8" s="760" t="n">
        <f aca="false">XIRR($B$7:L7,$B$6:L6)</f>
        <v>0.17032556723195</v>
      </c>
      <c r="M8" s="760" t="n">
        <f aca="false">XIRR($B$7:M7,$B$6:M6)</f>
        <v>0.191799836444882</v>
      </c>
      <c r="N8" s="760" t="n">
        <f aca="false">XIRR($B$7:N7,$B$6:N6)</f>
        <v>0.206435067925283</v>
      </c>
      <c r="O8" s="760" t="n">
        <f aca="false">XIRR($B$7:O7,$B$6:O6)</f>
        <v>0.21700739020283</v>
      </c>
      <c r="P8" s="760" t="n">
        <f aca="false">XIRR($B$7:P7,$B$6:P6)</f>
        <v>0.224853975782648</v>
      </c>
      <c r="Q8" s="760" t="n">
        <f aca="false">XIRR($B$7:Q7,$B$6:Q6)</f>
        <v>0.230775897706369</v>
      </c>
      <c r="R8" s="760" t="n">
        <f aca="false">XIRR($B$7:R7,$B$6:R6)</f>
        <v>0.235299747269379</v>
      </c>
      <c r="S8" s="760" t="n">
        <f aca="false">XIRR($B$7:S7,$B$6:S6)</f>
        <v>0.238411857586997</v>
      </c>
      <c r="T8" s="760" t="n">
        <f aca="false">XIRR($B$7:T7,$B$6:T6)</f>
        <v>0.240761493698857</v>
      </c>
      <c r="U8" s="760" t="n">
        <f aca="false">XIRR($B$7:U7,$B$6:U6)</f>
        <v>0.242511697071512</v>
      </c>
      <c r="V8" s="760" t="n">
        <f aca="false">XIRR($B$7:V7,$B$6:V6)</f>
        <v>0.243865456668987</v>
      </c>
      <c r="W8" s="760" t="n">
        <f aca="false">XIRR($B$7:W7,$B$6:W6)</f>
        <v>0.245440779978106</v>
      </c>
      <c r="X8" s="760" t="n">
        <f aca="false">XIRR($B$7:X7,$B$6:X6)</f>
        <v>0.245440779978106</v>
      </c>
      <c r="Y8" s="760" t="n">
        <f aca="false">XIRR($B$7:Y7,$B$6:Y6)</f>
        <v>0.245440779978106</v>
      </c>
      <c r="Z8" s="760" t="n">
        <f aca="false">XIRR($B$7:Z7,$B$6:Z6)</f>
        <v>0.245440779978106</v>
      </c>
      <c r="AA8" s="761" t="n">
        <f aca="false">XIRR($B$7:AA7,$B$6:AA6)</f>
        <v>0.245440779978106</v>
      </c>
      <c r="AB8" s="385"/>
      <c r="AC8" s="759"/>
    </row>
    <row r="9" customFormat="false" ht="12.6" hidden="false" customHeight="true" outlineLevel="0" collapsed="false">
      <c r="A9" s="412" t="s">
        <v>532</v>
      </c>
      <c r="B9" s="149"/>
      <c r="C9" s="762" t="n">
        <f aca="false">XNPV('Project Assumptions'!$I$59,$B$7:C7,$B$6:C6)</f>
        <v>-42531.7016238914</v>
      </c>
      <c r="D9" s="762" t="n">
        <f aca="false">XNPV('Project Assumptions'!$I$59,$B$7:D7,$B$6:D6)</f>
        <v>-39585.7639736055</v>
      </c>
      <c r="E9" s="762" t="n">
        <f aca="false">XNPV('Project Assumptions'!$I$59,$B$7:E7,$B$6:E6)</f>
        <v>-35988.8614946057</v>
      </c>
      <c r="F9" s="762" t="n">
        <f aca="false">XNPV('Project Assumptions'!$I$59,$B$7:F7,$B$6:F6)</f>
        <v>-33687.8830566855</v>
      </c>
      <c r="G9" s="762" t="n">
        <f aca="false">XNPV('Project Assumptions'!$I$59,$B$7:G7,$B$6:G6)</f>
        <v>-25724.8818483327</v>
      </c>
      <c r="H9" s="762" t="n">
        <f aca="false">XNPV('Project Assumptions'!$I$59,$B$7:H7,$B$6:H6)</f>
        <v>-16019.2205241022</v>
      </c>
      <c r="I9" s="762" t="n">
        <f aca="false">XNPV('Project Assumptions'!$I$59,$B$7:I7,$B$6:I6)</f>
        <v>-7329.57153581197</v>
      </c>
      <c r="J9" s="762" t="n">
        <f aca="false">XNPV('Project Assumptions'!$I$59,$B$7:J7,$B$6:J6)</f>
        <v>744.090421200997</v>
      </c>
      <c r="K9" s="762" t="n">
        <f aca="false">XNPV('Project Assumptions'!$I$59,$B$7:K7,$B$6:K6)</f>
        <v>7133.62033228657</v>
      </c>
      <c r="L9" s="762" t="n">
        <f aca="false">XNPV('Project Assumptions'!$I$59,$B$7:L7,$B$6:L6)</f>
        <v>12360.9404939575</v>
      </c>
      <c r="M9" s="762" t="n">
        <f aca="false">XNPV('Project Assumptions'!$I$59,$B$7:M7,$B$6:M6)</f>
        <v>20275.5349822863</v>
      </c>
      <c r="N9" s="762" t="n">
        <f aca="false">XNPV('Project Assumptions'!$I$59,$B$7:N7,$B$6:N6)</f>
        <v>27308.862807073</v>
      </c>
      <c r="O9" s="762" t="n">
        <f aca="false">XNPV('Project Assumptions'!$I$59,$B$7:O7,$B$6:O6)</f>
        <v>33707.8652951186</v>
      </c>
      <c r="P9" s="762" t="n">
        <f aca="false">XNPV('Project Assumptions'!$I$59,$B$7:P7,$B$6:P6)</f>
        <v>39558.532932785</v>
      </c>
      <c r="Q9" s="762" t="n">
        <f aca="false">XNPV('Project Assumptions'!$I$59,$B$7:Q7,$B$6:Q6)</f>
        <v>44907.1089495799</v>
      </c>
      <c r="R9" s="762" t="n">
        <f aca="false">XNPV('Project Assumptions'!$I$59,$B$7:R7,$B$6:R6)</f>
        <v>49791.4892496696</v>
      </c>
      <c r="S9" s="762" t="n">
        <f aca="false">XNPV('Project Assumptions'!$I$59,$B$7:S7,$B$6:S6)</f>
        <v>53751.8141449128</v>
      </c>
      <c r="T9" s="762" t="n">
        <f aca="false">XNPV('Project Assumptions'!$I$59,$B$7:T7,$B$6:T6)</f>
        <v>57232.9256035747</v>
      </c>
      <c r="U9" s="762" t="n">
        <f aca="false">XNPV('Project Assumptions'!$I$59,$B$7:U7,$B$6:U6)</f>
        <v>60226.7864616169</v>
      </c>
      <c r="V9" s="762" t="n">
        <f aca="false">XNPV('Project Assumptions'!$I$59,$B$7:V7,$B$6:V6)</f>
        <v>62883.3961843148</v>
      </c>
      <c r="W9" s="762" t="n">
        <f aca="false">XNPV('Project Assumptions'!$I$59,$B$7:W7,$B$6:W6)</f>
        <v>66435.3805460922</v>
      </c>
      <c r="X9" s="762" t="n">
        <f aca="false">XNPV('Project Assumptions'!$I$59,$B$7:X7,$B$6:X6)</f>
        <v>66435.3805460922</v>
      </c>
      <c r="Y9" s="762" t="n">
        <f aca="false">XNPV('Project Assumptions'!$I$59,$B$7:Y7,$B$6:Y6)</f>
        <v>66435.3805460922</v>
      </c>
      <c r="Z9" s="762" t="n">
        <f aca="false">XNPV('Project Assumptions'!$I$59,$B$7:Z7,$B$6:Z6)</f>
        <v>66435.3805460922</v>
      </c>
      <c r="AA9" s="763" t="n">
        <f aca="false">XNPV('Project Assumptions'!$I$59,$B$7:AA7,$B$6:AA6)</f>
        <v>66435.3805460922</v>
      </c>
    </row>
    <row r="10" customFormat="false" ht="12.6" hidden="false" customHeight="true" outlineLevel="0" collapsed="false">
      <c r="A10" s="412"/>
      <c r="B10" s="385"/>
      <c r="C10" s="385"/>
      <c r="D10" s="385"/>
      <c r="E10" s="385"/>
      <c r="F10" s="385"/>
      <c r="G10" s="385"/>
      <c r="H10" s="385"/>
      <c r="I10" s="385"/>
      <c r="J10" s="385"/>
      <c r="K10" s="385"/>
      <c r="L10" s="385"/>
      <c r="M10" s="385"/>
      <c r="N10" s="385"/>
      <c r="O10" s="385"/>
      <c r="P10" s="385"/>
      <c r="Q10" s="385"/>
      <c r="R10" s="385"/>
      <c r="S10" s="385"/>
      <c r="T10" s="385"/>
      <c r="U10" s="385"/>
      <c r="V10" s="385"/>
      <c r="W10" s="385"/>
      <c r="X10" s="385"/>
      <c r="Y10" s="385"/>
      <c r="Z10" s="385"/>
      <c r="AA10" s="416"/>
      <c r="AB10" s="385"/>
      <c r="AC10" s="759"/>
    </row>
    <row r="11" customFormat="false" ht="12.6" hidden="false" customHeight="true" outlineLevel="0" collapsed="false">
      <c r="A11" s="435" t="s">
        <v>533</v>
      </c>
      <c r="B11" s="438" t="n">
        <f aca="false">'Project Assumptions'!C8*-1</f>
        <v>-37076.971</v>
      </c>
      <c r="C11" s="438" t="n">
        <f aca="false">'Cash Flow Statement'!D22</f>
        <v>-5718.33482201103</v>
      </c>
      <c r="D11" s="438" t="n">
        <f aca="false">'Cash Flow Statement'!E22+'Cash Flow Statement'!E43</f>
        <v>3459.97284195981</v>
      </c>
      <c r="E11" s="438" t="n">
        <f aca="false">'Cash Flow Statement'!F22+'Cash Flow Statement'!F43</f>
        <v>4731.46710293299</v>
      </c>
      <c r="F11" s="438" t="n">
        <f aca="false">'Cash Flow Statement'!G22+'Cash Flow Statement'!G43</f>
        <v>3389.98466285842</v>
      </c>
      <c r="G11" s="438" t="n">
        <f aca="false">'Cash Flow Statement'!H22+'Cash Flow Statement'!H43</f>
        <v>13139.5347754599</v>
      </c>
      <c r="H11" s="438" t="n">
        <f aca="false">'Cash Flow Statement'!I22+'Cash Flow Statement'!I43</f>
        <v>16843.5536218872</v>
      </c>
      <c r="I11" s="438" t="n">
        <f aca="false">'Cash Flow Statement'!J22+'Cash Flow Statement'!J43</f>
        <v>12517.027147933</v>
      </c>
      <c r="J11" s="438" t="n">
        <f aca="false">'Cash Flow Statement'!K22+'Cash Flow Statement'!K43</f>
        <v>12967.9864798995</v>
      </c>
      <c r="K11" s="438" t="n">
        <f aca="false">'Cash Flow Statement'!L22+'Cash Flow Statement'!L43</f>
        <v>10312.7117910115</v>
      </c>
      <c r="L11" s="438" t="n">
        <f aca="false">'Cash Flow Statement'!M22+'Cash Flow Statement'!M43</f>
        <v>8551.3940666988</v>
      </c>
      <c r="M11" s="438" t="n">
        <f aca="false">'Cash Flow Statement'!N22+'Cash Flow Statement'!N43</f>
        <v>18418.6529152764</v>
      </c>
      <c r="N11" s="438" t="n">
        <f aca="false">'Cash Flow Statement'!O22+'Cash Flow Statement'!O43</f>
        <v>18410.8714290889</v>
      </c>
      <c r="O11" s="438" t="n">
        <f aca="false">'Cash Flow Statement'!P22+'Cash Flow Statement'!P43</f>
        <v>18377.3971622813</v>
      </c>
      <c r="P11" s="438" t="n">
        <f aca="false">'Cash Flow Statement'!Q22+'Cash Flow Statement'!Q43</f>
        <v>18769.9000795902</v>
      </c>
      <c r="Q11" s="438" t="n">
        <f aca="false">'Cash Flow Statement'!R22+'Cash Flow Statement'!R43</f>
        <v>19159.4821795131</v>
      </c>
      <c r="R11" s="438" t="n">
        <f aca="false">'Cash Flow Statement'!S22+'Cash Flow Statement'!S43</f>
        <v>17853.6664310001</v>
      </c>
      <c r="S11" s="438" t="n">
        <f aca="false">'Cash Flow Statement'!T22+'Cash Flow Statement'!T43</f>
        <v>13303.2147242007</v>
      </c>
      <c r="T11" s="438" t="n">
        <f aca="false">'Cash Flow Statement'!U22+'Cash Flow Statement'!U43</f>
        <v>12535.6460145798</v>
      </c>
      <c r="U11" s="438" t="n">
        <f aca="false">'Cash Flow Statement'!V22+'Cash Flow Statement'!V43</f>
        <v>11234.0826454369</v>
      </c>
      <c r="V11" s="438" t="n">
        <f aca="false">'Cash Flow Statement'!W22+'Cash Flow Statement'!W43</f>
        <v>10692.3686283766</v>
      </c>
      <c r="W11" s="438" t="n">
        <f aca="false">'Cash Flow Statement'!X22+'Cash Flow Statement'!X43</f>
        <v>22214.6232567682</v>
      </c>
      <c r="X11" s="438" t="n">
        <f aca="false">'Cash Flow Statement'!Y22+'Cash Flow Statement'!Y43</f>
        <v>0</v>
      </c>
      <c r="Y11" s="438" t="n">
        <f aca="false">'Cash Flow Statement'!Z22+'Cash Flow Statement'!Z43</f>
        <v>0</v>
      </c>
      <c r="Z11" s="438" t="n">
        <f aca="false">'Cash Flow Statement'!AA22+'Cash Flow Statement'!AA43</f>
        <v>0</v>
      </c>
      <c r="AA11" s="439" t="n">
        <f aca="false">'Cash Flow Statement'!AB22+'Cash Flow Statement'!AB43</f>
        <v>0</v>
      </c>
      <c r="AB11" s="385"/>
      <c r="AC11" s="759"/>
    </row>
    <row r="12" customFormat="false" ht="12.6" hidden="false" customHeight="true" outlineLevel="0" collapsed="false">
      <c r="A12" s="412" t="s">
        <v>534</v>
      </c>
      <c r="B12" s="385"/>
      <c r="C12" s="760" t="e">
        <f aca="false">XIRR($B$11:C11,$B$6:C6)</f>
        <v>#VALUE!</v>
      </c>
      <c r="D12" s="760" t="n">
        <f aca="false">XIRR($B$11:D11,$B$6:D6)</f>
        <v>-0.846761328503046</v>
      </c>
      <c r="E12" s="760" t="n">
        <f aca="false">XIRR($B$11:E11,$B$6:E6)</f>
        <v>-0.557935539467528</v>
      </c>
      <c r="F12" s="760" t="n">
        <f aca="false">XIRR($B$11:F11,$B$6:F6)</f>
        <v>-0.406665363621443</v>
      </c>
      <c r="G12" s="760" t="n">
        <f aca="false">XIRR($B$11:G11,$B$6:G6)</f>
        <v>-0.144449117431588</v>
      </c>
      <c r="H12" s="760" t="n">
        <f aca="false">XIRR($B$11:H11,$B$6:H6)</f>
        <v>-0.00689674213466846</v>
      </c>
      <c r="I12" s="760" t="n">
        <f aca="false">XIRR($B$11:I11,$B$6:I6)</f>
        <v>0.0515546977271032</v>
      </c>
      <c r="J12" s="760" t="n">
        <f aca="false">XIRR($B$11:J11,$B$6:J6)</f>
        <v>0.0920817074122556</v>
      </c>
      <c r="K12" s="760" t="n">
        <f aca="false">XIRR($B$11:K11,$B$6:K6)</f>
        <v>0.114890470233899</v>
      </c>
      <c r="L12" s="760" t="n">
        <f aca="false">XIRR($B$11:L11,$B$6:L6)</f>
        <v>0.129125717411103</v>
      </c>
      <c r="M12" s="760" t="n">
        <f aca="false">XIRR($B$11:M11,$B$6:M6)</f>
        <v>0.151280597772181</v>
      </c>
      <c r="N12" s="760" t="n">
        <f aca="false">XIRR($B$11:N11,$B$6:N6)</f>
        <v>0.166690374423662</v>
      </c>
      <c r="O12" s="760" t="n">
        <f aca="false">XIRR($B$11:O11,$B$6:O6)</f>
        <v>0.177798961857595</v>
      </c>
      <c r="P12" s="760" t="n">
        <f aca="false">XIRR($B$11:P11,$B$6:P6)</f>
        <v>0.186189302501246</v>
      </c>
      <c r="Q12" s="760" t="n">
        <f aca="false">XIRR($B$11:Q11,$B$6:Q6)</f>
        <v>0.192632066124187</v>
      </c>
      <c r="R12" s="760" t="n">
        <f aca="false">XIRR($B$11:R11,$B$6:R6)</f>
        <v>0.197225436003212</v>
      </c>
      <c r="S12" s="760" t="n">
        <f aca="false">XIRR($B$11:S11,$B$6:S6)</f>
        <v>0.199904570205484</v>
      </c>
      <c r="T12" s="760" t="n">
        <f aca="false">XIRR($B$11:T11,$B$6:T6)</f>
        <v>0.201914029783063</v>
      </c>
      <c r="U12" s="760" t="n">
        <f aca="false">XIRR($B$11:U11,$B$6:U6)</f>
        <v>0.203359349693548</v>
      </c>
      <c r="V12" s="760" t="n">
        <f aca="false">XIRR($B$11:V11,$B$6:V6)</f>
        <v>0.204470297426502</v>
      </c>
      <c r="W12" s="760" t="n">
        <f aca="false">XIRR($B$11:W11,$B$6:W6)</f>
        <v>0.206319213385783</v>
      </c>
      <c r="X12" s="760" t="n">
        <f aca="false">XIRR($B$11:X11,$B$6:X6)</f>
        <v>0.206319213385783</v>
      </c>
      <c r="Y12" s="760" t="n">
        <f aca="false">XIRR($B$11:Y11,$B$6:Y6)</f>
        <v>0.206319213385783</v>
      </c>
      <c r="Z12" s="760" t="n">
        <f aca="false">XIRR($B$11:Z11,$B$6:Z6)</f>
        <v>0.206319213385783</v>
      </c>
      <c r="AA12" s="761" t="n">
        <f aca="false">XIRR($B$11:AA11,$B$6:AA6)</f>
        <v>0.206319213385783</v>
      </c>
      <c r="AB12" s="385"/>
      <c r="AC12" s="759"/>
    </row>
    <row r="13" customFormat="false" ht="12.6" hidden="false" customHeight="true" outlineLevel="0" collapsed="false">
      <c r="A13" s="412" t="s">
        <v>535</v>
      </c>
      <c r="B13" s="149"/>
      <c r="C13" s="762" t="n">
        <f aca="false">XNPV('Project Assumptions'!$I$59,$B$11:C11,$B$6:C6)</f>
        <v>-42531.7016238914</v>
      </c>
      <c r="D13" s="762" t="n">
        <f aca="false">XNPV('Project Assumptions'!$I$59,$B$11:D11,$B$6:D6)</f>
        <v>-39585.7639736055</v>
      </c>
      <c r="E13" s="762" t="n">
        <f aca="false">XNPV('Project Assumptions'!$I$59,$B$11:E11,$B$6:E6)</f>
        <v>-35988.8614946057</v>
      </c>
      <c r="F13" s="762" t="n">
        <f aca="false">XNPV('Project Assumptions'!$I$59,$B$11:F11,$B$6:F6)</f>
        <v>-33687.8830566855</v>
      </c>
      <c r="G13" s="762" t="n">
        <f aca="false">XNPV('Project Assumptions'!$I$59,$B$11:G11,$B$6:G6)</f>
        <v>-25724.8818483327</v>
      </c>
      <c r="H13" s="762" t="n">
        <f aca="false">XNPV('Project Assumptions'!$I$59,$B$11:H11,$B$6:H6)</f>
        <v>-16613.6384223977</v>
      </c>
      <c r="I13" s="762" t="n">
        <f aca="false">XNPV('Project Assumptions'!$I$59,$B$11:I11,$B$6:I6)</f>
        <v>-10568.2097997366</v>
      </c>
      <c r="J13" s="762" t="n">
        <f aca="false">XNPV('Project Assumptions'!$I$59,$B$11:J11,$B$6:J6)</f>
        <v>-4976.03896563648</v>
      </c>
      <c r="K13" s="762" t="n">
        <f aca="false">XNPV('Project Assumptions'!$I$59,$B$11:K11,$B$6:K6)</f>
        <v>-1005.37861598813</v>
      </c>
      <c r="L13" s="762" t="n">
        <f aca="false">XNPV('Project Assumptions'!$I$59,$B$11:L11,$B$6:L6)</f>
        <v>1933.44764467434</v>
      </c>
      <c r="M13" s="762" t="n">
        <f aca="false">XNPV('Project Assumptions'!$I$59,$B$11:M11,$B$6:M6)</f>
        <v>7585.11813455991</v>
      </c>
      <c r="N13" s="762" t="n">
        <f aca="false">XNPV('Project Assumptions'!$I$59,$B$11:N11,$B$6:N6)</f>
        <v>12629.1206168866</v>
      </c>
      <c r="O13" s="762" t="n">
        <f aca="false">XNPV('Project Assumptions'!$I$59,$B$11:O11,$B$6:O6)</f>
        <v>17124.5059570817</v>
      </c>
      <c r="P13" s="762" t="n">
        <f aca="false">XNPV('Project Assumptions'!$I$59,$B$11:P11,$B$6:P6)</f>
        <v>21222.6952839555</v>
      </c>
      <c r="Q13" s="762" t="n">
        <f aca="false">XNPV('Project Assumptions'!$I$59,$B$11:Q11,$B$6:Q6)</f>
        <v>24957.739968129</v>
      </c>
      <c r="R13" s="762" t="n">
        <f aca="false">XNPV('Project Assumptions'!$I$59,$B$11:R11,$B$6:R6)</f>
        <v>28065.3136037371</v>
      </c>
      <c r="S13" s="762" t="n">
        <f aca="false">XNPV('Project Assumptions'!$I$59,$B$11:S11,$B$6:S6)</f>
        <v>30132.7520596625</v>
      </c>
      <c r="T13" s="762" t="n">
        <f aca="false">XNPV('Project Assumptions'!$I$59,$B$11:T11,$B$6:T6)</f>
        <v>31871.6329811842</v>
      </c>
      <c r="U13" s="762" t="n">
        <f aca="false">XNPV('Project Assumptions'!$I$59,$B$11:U11,$B$6:U6)</f>
        <v>33263.0032356162</v>
      </c>
      <c r="V13" s="762" t="n">
        <f aca="false">XNPV('Project Assumptions'!$I$59,$B$11:V11,$B$6:V6)</f>
        <v>34445.3939224857</v>
      </c>
      <c r="W13" s="762" t="n">
        <f aca="false">XNPV('Project Assumptions'!$I$59,$B$11:W11,$B$6:W6)</f>
        <v>36638.7442658832</v>
      </c>
      <c r="X13" s="762" t="n">
        <f aca="false">XNPV('Project Assumptions'!$I$59,$B$11:X11,$B$6:X6)</f>
        <v>36638.7442658832</v>
      </c>
      <c r="Y13" s="762" t="n">
        <f aca="false">XNPV('Project Assumptions'!$I$59,$B$11:Y11,$B$6:Y6)</f>
        <v>36638.7442658832</v>
      </c>
      <c r="Z13" s="762" t="n">
        <f aca="false">XNPV('Project Assumptions'!$I$59,$B$11:Z11,$B$6:Z6)</f>
        <v>36638.7442658832</v>
      </c>
      <c r="AA13" s="763" t="n">
        <f aca="false">XNPV('Project Assumptions'!$I$59,$B$11:AA11,$B$6:AA6)</f>
        <v>36638.7442658832</v>
      </c>
    </row>
    <row r="14" customFormat="false" ht="12.6" hidden="false" customHeight="true" outlineLevel="0" collapsed="false">
      <c r="A14" s="412"/>
      <c r="B14" s="385"/>
      <c r="C14" s="385"/>
      <c r="D14" s="385"/>
      <c r="E14" s="385"/>
      <c r="F14" s="385"/>
      <c r="G14" s="385"/>
      <c r="H14" s="385"/>
      <c r="I14" s="385"/>
      <c r="J14" s="385"/>
      <c r="K14" s="385"/>
      <c r="L14" s="385"/>
      <c r="M14" s="385"/>
      <c r="N14" s="385"/>
      <c r="O14" s="385"/>
      <c r="P14" s="385"/>
      <c r="Q14" s="385"/>
      <c r="R14" s="385"/>
      <c r="S14" s="385"/>
      <c r="T14" s="385"/>
      <c r="U14" s="385"/>
      <c r="V14" s="385"/>
      <c r="W14" s="385"/>
      <c r="X14" s="385"/>
      <c r="Y14" s="385"/>
      <c r="Z14" s="385"/>
      <c r="AA14" s="416"/>
      <c r="AB14" s="385"/>
      <c r="AC14" s="759"/>
    </row>
    <row r="15" customFormat="false" ht="12.6" hidden="false" customHeight="true" outlineLevel="0" collapsed="false">
      <c r="A15" s="435" t="s">
        <v>536</v>
      </c>
      <c r="B15" s="438" t="n">
        <f aca="false">-('Project Assumptions'!C8+'Project Assumptions'!C9)</f>
        <v>-154763.971</v>
      </c>
      <c r="C15" s="762" t="n">
        <f aca="false">+'Cash Flow Statement'!D20+'Cash Flow Statement'!D16+'Cash Flow Statement'!D12+'Cash Flow Statement'!D11+'Cash Flow Statement'!D10</f>
        <v>17304.600777989</v>
      </c>
      <c r="D15" s="762" t="n">
        <f aca="false">+'Cash Flow Statement'!E20+'Cash Flow Statement'!E16+'Cash Flow Statement'!E12+'Cash Flow Statement'!E11+'Cash Flow Statement'!E10</f>
        <v>25844.0968419598</v>
      </c>
      <c r="E15" s="762" t="n">
        <f aca="false">+'Cash Flow Statement'!F20+'Cash Flow Statement'!F16+'Cash Flow Statement'!F12+'Cash Flow Statement'!F11+'Cash Flow Statement'!F10</f>
        <v>28223.179502933</v>
      </c>
      <c r="F15" s="762" t="n">
        <f aca="false">+'Cash Flow Statement'!G20+'Cash Flow Statement'!G16+'Cash Flow Statement'!G12+'Cash Flow Statement'!G11+'Cash Flow Statement'!G10</f>
        <v>27724.8805028584</v>
      </c>
      <c r="G15" s="762" t="n">
        <f aca="false">+'Cash Flow Statement'!H20+'Cash Flow Statement'!H16+'Cash Flow Statement'!H12+'Cash Flow Statement'!H11+'Cash Flow Statement'!H10</f>
        <v>32836.3090954599</v>
      </c>
      <c r="H15" s="762" t="n">
        <f aca="false">+'Cash Flow Statement'!I20+'Cash Flow Statement'!I16+'Cash Flow Statement'!I12+'Cash Flow Statement'!I11+'Cash Flow Statement'!I10</f>
        <v>36901.720357469</v>
      </c>
      <c r="I15" s="762" t="n">
        <f aca="false">+'Cash Flow Statement'!J20+'Cash Flow Statement'!J16+'Cash Flow Statement'!J12+'Cash Flow Statement'!J11+'Cash Flow Statement'!J10</f>
        <v>36851.4319418335</v>
      </c>
      <c r="J15" s="762" t="n">
        <f aca="false">+'Cash Flow Statement'!K20+'Cash Flow Statement'!K16+'Cash Flow Statement'!K12+'Cash Flow Statement'!K11+'Cash Flow Statement'!K10</f>
        <v>36740.1933080897</v>
      </c>
      <c r="K15" s="762" t="n">
        <f aca="false">+'Cash Flow Statement'!L20+'Cash Flow Statement'!L16+'Cash Flow Statement'!L12+'Cash Flow Statement'!L11+'Cash Flow Statement'!L10</f>
        <v>37263.794130033</v>
      </c>
      <c r="L15" s="762" t="n">
        <f aca="false">+'Cash Flow Statement'!M20+'Cash Flow Statement'!M16+'Cash Flow Statement'!M12+'Cash Flow Statement'!M11+'Cash Flow Statement'!M10</f>
        <v>36892.6997056594</v>
      </c>
      <c r="M15" s="762" t="n">
        <f aca="false">+'Cash Flow Statement'!N20+'Cash Flow Statement'!N16+'Cash Flow Statement'!N12+'Cash Flow Statement'!N11+'Cash Flow Statement'!N10</f>
        <v>37004.3453853358</v>
      </c>
      <c r="N15" s="762" t="n">
        <f aca="false">+'Cash Flow Statement'!O20+'Cash Flow Statement'!O16+'Cash Flow Statement'!O12+'Cash Flow Statement'!O11+'Cash Flow Statement'!O10</f>
        <v>37103.2985057217</v>
      </c>
      <c r="O15" s="762" t="n">
        <f aca="false">+'Cash Flow Statement'!P20+'Cash Flow Statement'!P16+'Cash Flow Statement'!P12+'Cash Flow Statement'!P11+'Cash Flow Statement'!P10</f>
        <v>37069.1015633695</v>
      </c>
      <c r="P15" s="762" t="n">
        <f aca="false">+'Cash Flow Statement'!Q20+'Cash Flow Statement'!Q16+'Cash Flow Statement'!Q12+'Cash Flow Statement'!Q11+'Cash Flow Statement'!Q10</f>
        <v>37184.2603581465</v>
      </c>
      <c r="Q15" s="762" t="n">
        <f aca="false">+'Cash Flow Statement'!R20+'Cash Flow Statement'!R16+'Cash Flow Statement'!R12+'Cash Flow Statement'!R11+'Cash Flow Statement'!R10</f>
        <v>37302.585192901</v>
      </c>
      <c r="R15" s="762" t="n">
        <f aca="false">+'Cash Flow Statement'!S20+'Cash Flow Statement'!S16+'Cash Flow Statement'!S12+'Cash Flow Statement'!S11+'Cash Flow Statement'!S10</f>
        <v>37406.3638369448</v>
      </c>
      <c r="S15" s="762" t="n">
        <f aca="false">+'Cash Flow Statement'!T20+'Cash Flow Statement'!T16+'Cash Flow Statement'!T12+'Cash Flow Statement'!T11+'Cash Flow Statement'!T10</f>
        <v>37494.8892902538</v>
      </c>
      <c r="T15" s="762" t="n">
        <f aca="false">+'Cash Flow Statement'!U20+'Cash Flow Statement'!U16+'Cash Flow Statement'!U12+'Cash Flow Statement'!U11+'Cash Flow Statement'!U10</f>
        <v>37339.219111117</v>
      </c>
      <c r="U15" s="762" t="n">
        <f aca="false">+'Cash Flow Statement'!V20+'Cash Flow Statement'!V16+'Cash Flow Statement'!V12+'Cash Flow Statement'!V11+'Cash Flow Statement'!V10</f>
        <v>37077.7739481326</v>
      </c>
      <c r="V15" s="762" t="n">
        <f aca="false">+'Cash Flow Statement'!W20+'Cash Flow Statement'!W16+'Cash Flow Statement'!W12+'Cash Flow Statement'!W11+'Cash Flow Statement'!W10</f>
        <v>36639.2036973899</v>
      </c>
      <c r="W15" s="762" t="n">
        <f aca="false">+'Cash Flow Statement'!X20+'Cash Flow Statement'!X16+'Cash Flow Statement'!X12+'Cash Flow Statement'!X11+'Cash Flow Statement'!X10</f>
        <v>35975.0983915274</v>
      </c>
      <c r="X15" s="762" t="n">
        <f aca="false">+'Cash Flow Statement'!Y20+'Cash Flow Statement'!Y16+'Cash Flow Statement'!Y12+'Cash Flow Statement'!Y11+'Cash Flow Statement'!Y10</f>
        <v>0</v>
      </c>
      <c r="Y15" s="762" t="n">
        <f aca="false">+'Cash Flow Statement'!Z20+'Cash Flow Statement'!Z16+'Cash Flow Statement'!Z12+'Cash Flow Statement'!Z11+'Cash Flow Statement'!Z10</f>
        <v>0</v>
      </c>
      <c r="Z15" s="762" t="n">
        <f aca="false">+'Cash Flow Statement'!AA20+'Cash Flow Statement'!AA16+'Cash Flow Statement'!AA12+'Cash Flow Statement'!AA11+'Cash Flow Statement'!AA10</f>
        <v>0</v>
      </c>
      <c r="AA15" s="763" t="n">
        <f aca="false">+'Cash Flow Statement'!AB20+'Cash Flow Statement'!AB16+'Cash Flow Statement'!AB12+'Cash Flow Statement'!AB11+'Cash Flow Statement'!AB10</f>
        <v>0</v>
      </c>
    </row>
    <row r="16" customFormat="false" ht="12.6" hidden="false" customHeight="true" outlineLevel="0" collapsed="false">
      <c r="A16" s="412" t="s">
        <v>537</v>
      </c>
      <c r="B16" s="385"/>
      <c r="C16" s="760" t="n">
        <f aca="false">XIRR($B$15:C15,$B$6:C6)</f>
        <v>-0.994810468609182</v>
      </c>
      <c r="D16" s="760" t="n">
        <f aca="false">XIRR($B$15:D15,$B$6:D6)</f>
        <v>-0.674585674204787</v>
      </c>
      <c r="E16" s="760" t="n">
        <f aca="false">XIRR($B$15:E15,$B$6:E6)</f>
        <v>-0.364894681737054</v>
      </c>
      <c r="F16" s="760" t="n">
        <f aca="false">XIRR($B$15:F15,$B$6:F6)</f>
        <v>-0.183352480906443</v>
      </c>
      <c r="G16" s="760" t="n">
        <f aca="false">XIRR($B$15:G15,$B$6:G6)</f>
        <v>-0.0569315112665187</v>
      </c>
      <c r="H16" s="760" t="n">
        <f aca="false">XIRR($B$15:H15,$B$6:H6)</f>
        <v>0.0272800603684908</v>
      </c>
      <c r="I16" s="760" t="n">
        <f aca="false">XIRR($B$15:I15,$B$6:I6)</f>
        <v>0.0801303586796596</v>
      </c>
      <c r="J16" s="760" t="n">
        <f aca="false">XIRR($B$15:J15,$B$6:J6)</f>
        <v>0.115300448114255</v>
      </c>
      <c r="K16" s="760" t="n">
        <f aca="false">XIRR($B$15:K15,$B$6:K6)</f>
        <v>0.14004878586392</v>
      </c>
      <c r="L16" s="760" t="n">
        <f aca="false">XIRR($B$15:L15,$B$6:L6)</f>
        <v>0.157546996777669</v>
      </c>
      <c r="M16" s="760" t="n">
        <f aca="false">XIRR($B$15:M15,$B$6:M6)</f>
        <v>0.170391469615914</v>
      </c>
      <c r="N16" s="760" t="n">
        <f aca="false">XIRR($B$15:N15,$B$6:N6)</f>
        <v>0.179989511372727</v>
      </c>
      <c r="O16" s="760" t="n">
        <f aca="false">XIRR($B$15:O15,$B$6:O6)</f>
        <v>0.187244807190097</v>
      </c>
      <c r="P16" s="760" t="n">
        <f aca="false">XIRR($B$15:P15,$B$6:P6)</f>
        <v>0.192818158552227</v>
      </c>
      <c r="Q16" s="760" t="n">
        <f aca="false">XIRR($B$15:Q15,$B$6:Q6)</f>
        <v>0.197146218146434</v>
      </c>
      <c r="R16" s="760" t="n">
        <f aca="false">XIRR($B$15:R15,$B$6:R6)</f>
        <v>0.200535327998022</v>
      </c>
      <c r="S16" s="760" t="n">
        <f aca="false">XIRR($B$15:S15,$B$6:S6)</f>
        <v>0.20320789919948</v>
      </c>
      <c r="T16" s="760" t="n">
        <f aca="false">XIRR($B$15:T15,$B$6:T6)</f>
        <v>0.205314327614485</v>
      </c>
      <c r="U16" s="760" t="n">
        <f aca="false">XIRR($B$15:U15,$B$6:U6)</f>
        <v>0.206980182135735</v>
      </c>
      <c r="V16" s="760" t="n">
        <f aca="false">XIRR($B$15:V15,$B$6:V6)</f>
        <v>0.208297797280797</v>
      </c>
      <c r="W16" s="760" t="n">
        <f aca="false">XIRR($B$15:W15,$B$6:W6)</f>
        <v>0.209337913703294</v>
      </c>
      <c r="X16" s="760" t="n">
        <f aca="false">XIRR($B$15:X15,$B$6:X6)</f>
        <v>0.209337913703294</v>
      </c>
      <c r="Y16" s="760" t="n">
        <f aca="false">XIRR($B$15:Y15,$B$6:Y6)</f>
        <v>0.209337913703294</v>
      </c>
      <c r="Z16" s="760" t="n">
        <f aca="false">XIRR($B$15:Z15,$B$6:Z6)</f>
        <v>0.209337913703294</v>
      </c>
      <c r="AA16" s="761" t="n">
        <f aca="false">XIRR($B$15:AA15,$B$6:AA6)</f>
        <v>0.209337913703294</v>
      </c>
      <c r="AB16" s="385"/>
      <c r="AC16" s="759"/>
    </row>
    <row r="17" customFormat="false" ht="12.6" hidden="false" customHeight="true" outlineLevel="0" collapsed="false">
      <c r="A17" s="412" t="s">
        <v>538</v>
      </c>
      <c r="B17" s="149"/>
      <c r="C17" s="762" t="n">
        <f aca="false">XNPV('Project Assumptions'!$I$59,$B$15:C15,$B$6:C6)</f>
        <v>-138257.07891761</v>
      </c>
      <c r="D17" s="762" t="n">
        <f aca="false">XNPV('Project Assumptions'!$I$59,$B$15:D15,$B$6:D6)</f>
        <v>-116252.542638868</v>
      </c>
      <c r="E17" s="762" t="n">
        <f aca="false">XNPV('Project Assumptions'!$I$59,$B$15:E15,$B$6:E6)</f>
        <v>-94797.0358983843</v>
      </c>
      <c r="F17" s="762" t="n">
        <f aca="false">XNPV('Project Assumptions'!$I$59,$B$15:F15,$B$6:F6)</f>
        <v>-75978.5577707575</v>
      </c>
      <c r="G17" s="762" t="n">
        <f aca="false">XNPV('Project Assumptions'!$I$59,$B$15:G15,$B$6:G6)</f>
        <v>-56078.6470453535</v>
      </c>
      <c r="H17" s="762" t="n">
        <f aca="false">XNPV('Project Assumptions'!$I$59,$B$15:H15,$B$6:H6)</f>
        <v>-36117.2680774507</v>
      </c>
      <c r="I17" s="762" t="n">
        <f aca="false">XNPV('Project Assumptions'!$I$59,$B$15:I15,$B$6:I6)</f>
        <v>-18318.8964022724</v>
      </c>
      <c r="J17" s="762" t="n">
        <f aca="false">XNPV('Project Assumptions'!$I$59,$B$15:J15,$B$6:J6)</f>
        <v>-2475.46243701036</v>
      </c>
      <c r="K17" s="762" t="n">
        <f aca="false">XNPV('Project Assumptions'!$I$59,$B$15:K15,$B$6:K6)</f>
        <v>11872.0605839029</v>
      </c>
      <c r="L17" s="762" t="n">
        <f aca="false">XNPV('Project Assumptions'!$I$59,$B$15:L15,$B$6:L6)</f>
        <v>24550.8394913029</v>
      </c>
      <c r="M17" s="762" t="n">
        <f aca="false">XNPV('Project Assumptions'!$I$59,$B$15:M15,$B$6:M6)</f>
        <v>35905.4357136129</v>
      </c>
      <c r="N17" s="762" t="n">
        <f aca="false">XNPV('Project Assumptions'!$I$59,$B$15:N15,$B$6:N6)</f>
        <v>46070.5781125585</v>
      </c>
      <c r="O17" s="762" t="n">
        <f aca="false">XNPV('Project Assumptions'!$I$59,$B$15:O15,$B$6:O6)</f>
        <v>55138.2330296648</v>
      </c>
      <c r="P17" s="762" t="n">
        <f aca="false">XNPV('Project Assumptions'!$I$59,$B$15:P15,$B$6:P6)</f>
        <v>63256.9837039508</v>
      </c>
      <c r="Q17" s="762" t="n">
        <f aca="false">XNPV('Project Assumptions'!$I$59,$B$15:Q15,$B$6:Q6)</f>
        <v>70528.9350659585</v>
      </c>
      <c r="R17" s="762" t="n">
        <f aca="false">XNPV('Project Assumptions'!$I$59,$B$15:R15,$B$6:R6)</f>
        <v>77039.8122862149</v>
      </c>
      <c r="S17" s="762" t="n">
        <f aca="false">XNPV('Project Assumptions'!$I$59,$B$15:S15,$B$6:S6)</f>
        <v>82866.8531651626</v>
      </c>
      <c r="T17" s="762" t="n">
        <f aca="false">XNPV('Project Assumptions'!$I$59,$B$15:T15,$B$6:T6)</f>
        <v>88046.3593239456</v>
      </c>
      <c r="U17" s="762" t="n">
        <f aca="false">XNPV('Project Assumptions'!$I$59,$B$15:U15,$B$6:U6)</f>
        <v>92638.5377331848</v>
      </c>
      <c r="V17" s="762" t="n">
        <f aca="false">XNPV('Project Assumptions'!$I$59,$B$15:V15,$B$6:V6)</f>
        <v>96690.1987572104</v>
      </c>
      <c r="W17" s="762" t="n">
        <f aca="false">XNPV('Project Assumptions'!$I$59,$B$15:W15,$B$6:W6)</f>
        <v>100242.183118988</v>
      </c>
      <c r="X17" s="762" t="n">
        <f aca="false">XNPV('Project Assumptions'!$I$59,$B$15:X15,$B$6:X6)</f>
        <v>100242.183118988</v>
      </c>
      <c r="Y17" s="762" t="n">
        <f aca="false">XNPV('Project Assumptions'!$I$59,$B$15:Y15,$B$6:Y6)</f>
        <v>100242.183118988</v>
      </c>
      <c r="Z17" s="762" t="n">
        <f aca="false">XNPV('Project Assumptions'!$I$59,$B$15:Z15,$B$6:Z6)</f>
        <v>100242.183118988</v>
      </c>
      <c r="AA17" s="763" t="n">
        <f aca="false">XNPV('Project Assumptions'!$I$59,$B$15:AA15,$B$6:AA6)</f>
        <v>100242.183118988</v>
      </c>
    </row>
    <row r="18" customFormat="false" ht="12.6" hidden="false" customHeight="true" outlineLevel="0" collapsed="false">
      <c r="A18" s="412" t="s">
        <v>539</v>
      </c>
      <c r="B18" s="697" t="n">
        <v>0.12</v>
      </c>
      <c r="C18" s="385"/>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416"/>
      <c r="AB18" s="385"/>
      <c r="AC18" s="759"/>
    </row>
    <row r="19" customFormat="false" ht="12.6" hidden="false" customHeight="true" outlineLevel="0" collapsed="false">
      <c r="A19" s="402" t="s">
        <v>540</v>
      </c>
      <c r="B19" s="764" t="n">
        <f aca="false">NPV(B18,B11:V11)</f>
        <v>26718.5777691884</v>
      </c>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455"/>
    </row>
    <row r="20" customFormat="false" ht="12.75" hidden="false" customHeight="false" outlineLevel="0" collapsed="false">
      <c r="A20" s="612" t="s">
        <v>541</v>
      </c>
      <c r="B20" s="492"/>
      <c r="C20" s="492"/>
      <c r="D20" s="492"/>
      <c r="E20" s="492"/>
      <c r="F20" s="492"/>
      <c r="G20" s="492"/>
      <c r="H20" s="492"/>
      <c r="I20" s="492"/>
      <c r="J20" s="492"/>
      <c r="K20" s="492"/>
      <c r="L20" s="492"/>
      <c r="M20" s="492"/>
      <c r="N20" s="492"/>
      <c r="O20" s="492"/>
      <c r="P20" s="492"/>
      <c r="Q20" s="492"/>
      <c r="R20" s="492"/>
      <c r="S20" s="492"/>
      <c r="T20" s="492"/>
      <c r="U20" s="492"/>
      <c r="V20" s="492"/>
      <c r="W20" s="492"/>
      <c r="X20" s="492"/>
      <c r="Y20" s="492"/>
      <c r="Z20" s="492"/>
      <c r="AA20" s="494"/>
    </row>
    <row r="21" customFormat="false" ht="12.6" hidden="false" customHeight="true" outlineLevel="0" collapsed="false">
      <c r="A21" s="434"/>
      <c r="B21" s="385"/>
      <c r="C21" s="385"/>
      <c r="D21" s="385"/>
      <c r="E21" s="385"/>
      <c r="F21" s="385"/>
      <c r="G21" s="385"/>
      <c r="H21" s="385"/>
      <c r="I21" s="385"/>
      <c r="J21" s="385"/>
      <c r="K21" s="385"/>
      <c r="L21" s="385"/>
      <c r="M21" s="385"/>
      <c r="N21" s="385"/>
      <c r="O21" s="385"/>
      <c r="P21" s="385"/>
      <c r="Q21" s="385"/>
      <c r="R21" s="385"/>
      <c r="S21" s="385"/>
      <c r="T21" s="385"/>
      <c r="U21" s="385"/>
      <c r="V21" s="385"/>
      <c r="W21" s="385"/>
      <c r="X21" s="385"/>
      <c r="Y21" s="385"/>
      <c r="Z21" s="385"/>
      <c r="AA21" s="385"/>
      <c r="AB21" s="1"/>
    </row>
    <row r="22" customFormat="false" ht="15.75" hidden="false" customHeight="false" outlineLevel="0" collapsed="false">
      <c r="A22" s="431" t="s">
        <v>542</v>
      </c>
      <c r="B22" s="380"/>
      <c r="C22" s="380"/>
      <c r="D22" s="380"/>
      <c r="E22" s="380"/>
      <c r="F22" s="380"/>
      <c r="G22" s="380"/>
      <c r="H22" s="380"/>
      <c r="I22" s="380"/>
      <c r="J22" s="380"/>
      <c r="K22" s="380"/>
      <c r="L22" s="380"/>
      <c r="M22" s="380"/>
      <c r="N22" s="380"/>
      <c r="O22" s="380"/>
      <c r="P22" s="380"/>
      <c r="Q22" s="380"/>
      <c r="R22" s="380"/>
      <c r="S22" s="380"/>
      <c r="T22" s="380"/>
      <c r="U22" s="380"/>
      <c r="V22" s="380"/>
      <c r="W22" s="380"/>
      <c r="X22" s="380"/>
      <c r="Y22" s="380"/>
      <c r="Z22" s="380"/>
      <c r="AA22" s="540"/>
      <c r="AB22" s="385"/>
    </row>
    <row r="23" customFormat="false" ht="12.6" hidden="false" customHeight="true" outlineLevel="0" collapsed="false">
      <c r="A23" s="412" t="s">
        <v>543</v>
      </c>
      <c r="B23" s="438"/>
      <c r="C23" s="438" t="n">
        <f aca="false">'Debt Amortization'!E54</f>
        <v>13884.4678</v>
      </c>
      <c r="D23" s="438" t="n">
        <f aca="false">'Debt Amortization'!F54</f>
        <v>13565.062</v>
      </c>
      <c r="E23" s="438" t="n">
        <f aca="false">'Debt Amortization'!G54</f>
        <v>14992.0562</v>
      </c>
      <c r="F23" s="438" t="n">
        <f aca="false">'Debt Amortization'!H54</f>
        <v>16286.84792</v>
      </c>
      <c r="G23" s="438" t="n">
        <f aca="false">'Debt Amortization'!I54</f>
        <v>12232.53716</v>
      </c>
      <c r="H23" s="438" t="n">
        <f aca="false">'Debt Amortization'!J54</f>
        <v>11863.7963</v>
      </c>
      <c r="I23" s="438" t="n">
        <f aca="false">'Debt Amortization'!K54</f>
        <v>12132.80544</v>
      </c>
      <c r="J23" s="438" t="n">
        <f aca="false">'Debt Amortization'!L54</f>
        <v>11711.89663</v>
      </c>
      <c r="K23" s="438" t="n">
        <f aca="false">'Debt Amortization'!M54</f>
        <v>14783.78782</v>
      </c>
      <c r="L23" s="438" t="n">
        <f aca="false">'Debt Amortization'!N54</f>
        <v>16482.62405</v>
      </c>
      <c r="M23" s="438" t="n">
        <f aca="false">'Debt Amortization'!O54</f>
        <v>6880.93985</v>
      </c>
      <c r="N23" s="438" t="n">
        <f aca="false">'Debt Amortization'!P54</f>
        <v>7310.01805</v>
      </c>
      <c r="O23" s="438" t="n">
        <f aca="false">'Debt Amortization'!Q54</f>
        <v>7049.1783</v>
      </c>
      <c r="P23" s="438" t="n">
        <f aca="false">'Debt Amortization'!R54</f>
        <v>6788.33855</v>
      </c>
      <c r="Q23" s="438" t="n">
        <f aca="false">'Debt Amortization'!S54</f>
        <v>6527.4988</v>
      </c>
      <c r="R23" s="438" t="n">
        <f aca="false">'Debt Amortization'!T54</f>
        <v>6266.65905</v>
      </c>
      <c r="S23" s="438" t="n">
        <f aca="false">'Debt Amortization'!U54</f>
        <v>9194.5693</v>
      </c>
      <c r="T23" s="438" t="n">
        <f aca="false">'Debt Amortization'!V54</f>
        <v>9948.3898</v>
      </c>
      <c r="U23" s="438" t="n">
        <f aca="false">'Debt Amortization'!W54</f>
        <v>11235.6244</v>
      </c>
      <c r="V23" s="438" t="n">
        <f aca="false">'Debt Amortization'!X54</f>
        <v>11728.60515</v>
      </c>
      <c r="W23" s="438" t="n">
        <f aca="false">'Debt Amortization'!Y54</f>
        <v>0</v>
      </c>
      <c r="X23" s="438" t="n">
        <f aca="false">'Debt Amortization'!Z54</f>
        <v>0</v>
      </c>
      <c r="Y23" s="438" t="n">
        <f aca="false">'Debt Amortization'!AA54</f>
        <v>0</v>
      </c>
      <c r="Z23" s="438" t="n">
        <f aca="false">'Debt Amortization'!AB54</f>
        <v>0</v>
      </c>
      <c r="AA23" s="438" t="n">
        <f aca="false">'Debt Amortization'!AC54</f>
        <v>0</v>
      </c>
      <c r="AB23" s="438"/>
    </row>
    <row r="24" customFormat="false" ht="12.6" hidden="false" customHeight="true" outlineLevel="0" collapsed="false">
      <c r="A24" s="412" t="s">
        <v>544</v>
      </c>
      <c r="B24" s="385"/>
      <c r="C24" s="765" t="n">
        <f aca="false">IF(C23&lt;=0,"N/A",+'Book Income Statement'!D61/C23)</f>
        <v>0.580887696788104</v>
      </c>
      <c r="D24" s="765" t="n">
        <f aca="false">IF(D23&lt;=0,"N/A",+'Book Income Statement'!E61/D23)</f>
        <v>1.41801255976281</v>
      </c>
      <c r="E24" s="765" t="n">
        <f aca="false">IF(E23&lt;=0,"N/A",+'Book Income Statement'!F61/E23)</f>
        <v>1.3000871932257</v>
      </c>
      <c r="F24" s="765" t="n">
        <f aca="false">IF(F23&lt;=0,"N/A",+'Book Income Statement'!G61/F23)</f>
        <v>1.19389989209823</v>
      </c>
      <c r="G24" s="765" t="n">
        <f aca="false">IF(G23&lt;=0,"N/A",+'Book Income Statement'!H61/G23)</f>
        <v>2.04943532172062</v>
      </c>
      <c r="H24" s="765" t="n">
        <f aca="false">IF(H23&lt;=0,"N/A",+'Book Income Statement'!I61/H23)</f>
        <v>2.4822748543974</v>
      </c>
      <c r="I24" s="765" t="n">
        <f aca="false">IF(I23&lt;=0,"N/A",+'Book Income Statement'!J61/I23)</f>
        <v>2.45316092086685</v>
      </c>
      <c r="J24" s="765" t="n">
        <f aca="false">IF(J23&lt;=0,"N/A",+'Book Income Statement'!K61/J23)</f>
        <v>2.56790602145179</v>
      </c>
      <c r="K24" s="765" t="n">
        <f aca="false">IF(K23&lt;=0,"N/A",+'Book Income Statement'!L61/K23)</f>
        <v>2.09742586105386</v>
      </c>
      <c r="L24" s="765" t="n">
        <f aca="false">IF(L23&lt;=0,"N/A",+'Book Income Statement'!M61/L23)</f>
        <v>1.90007603749519</v>
      </c>
      <c r="M24" s="765" t="n">
        <f aca="false">IF(M23&lt;=0,"N/A",+'Book Income Statement'!N61/M23)</f>
        <v>4.69309905589023</v>
      </c>
      <c r="N24" s="765" t="n">
        <f aca="false">IF(N23&lt;=0,"N/A",+'Book Income Statement'!O61/N23)</f>
        <v>4.35126659635421</v>
      </c>
      <c r="O24" s="765" t="n">
        <f aca="false">IF(O23&lt;=0,"N/A",+'Book Income Statement'!P61/O23)</f>
        <v>4.66449671468314</v>
      </c>
      <c r="P24" s="765" t="n">
        <f aca="false">IF(P23&lt;=0,"N/A",+'Book Income Statement'!Q61/P23)</f>
        <v>4.90085478791362</v>
      </c>
      <c r="Q24" s="765" t="n">
        <f aca="false">IF(Q23&lt;=0,"N/A",+'Book Income Statement'!R61/Q23)</f>
        <v>5.1540637625616</v>
      </c>
      <c r="R24" s="765" t="n">
        <f aca="false">IF(R23&lt;=0,"N/A",+'Book Income Statement'!S61/R23)</f>
        <v>5.42605903501855</v>
      </c>
      <c r="S24" s="765" t="n">
        <f aca="false">IF(S23&lt;=0,"N/A",+'Book Income Statement'!T61/S23)</f>
        <v>3.7392926889764</v>
      </c>
      <c r="T24" s="765" t="n">
        <f aca="false">IF(T23&lt;=0,"N/A",+'Book Income Statement'!U61/T23)</f>
        <v>3.49394354499413</v>
      </c>
      <c r="U24" s="765" t="n">
        <f aca="false">IF(U23&lt;=0,"N/A",+'Book Income Statement'!V61/U23)</f>
        <v>3.12569915515219</v>
      </c>
      <c r="V24" s="765" t="n">
        <f aca="false">IF(V23&lt;=0,"N/A",+'Book Income Statement'!W61/V23)</f>
        <v>3.01487420740098</v>
      </c>
      <c r="W24" s="765" t="str">
        <f aca="false">IF(W23&lt;=0,"N/A",+'Book Income Statement'!X61/W23)</f>
        <v>N/A</v>
      </c>
      <c r="X24" s="765" t="str">
        <f aca="false">IF(X23&lt;=0,"N/A",+'Book Income Statement'!Y61/X23)</f>
        <v>N/A</v>
      </c>
      <c r="Y24" s="765" t="str">
        <f aca="false">IF(Y23&lt;=0,"N/A",+'Book Income Statement'!Z61/Y23)</f>
        <v>N/A</v>
      </c>
      <c r="Z24" s="765" t="str">
        <f aca="false">IF(Z23&lt;=0,"N/A",+'Book Income Statement'!AA61/Z23)</f>
        <v>N/A</v>
      </c>
      <c r="AA24" s="766" t="str">
        <f aca="false">IF(AA23&lt;=0,"N/A",+'Book Income Statement'!AB61/AA23)</f>
        <v>N/A</v>
      </c>
      <c r="AB24" s="1"/>
    </row>
    <row r="25" customFormat="false" ht="12.6" hidden="false" customHeight="true" outlineLevel="0" collapsed="false">
      <c r="A25" s="412" t="s">
        <v>545</v>
      </c>
      <c r="B25" s="438" t="n">
        <f aca="false">B29+B34</f>
        <v>53912</v>
      </c>
      <c r="C25" s="760" t="n">
        <f aca="false">(($B$29+$B$34)-(SUM('Debt Amortization'!$E$53:E53)))/($B$29+$B$34)</f>
        <v>0.911967650986793</v>
      </c>
      <c r="D25" s="760" t="n">
        <f aca="false">(($B$29+$B$34)-(SUM('Debt Amortization'!$E$53:F53)))/($B$29+$B$34)</f>
        <v>0.823935301973587</v>
      </c>
      <c r="E25" s="760" t="n">
        <f aca="false">(($B$29+$B$34)-(SUM('Debt Amortization'!$E$53:G53)))/($B$29+$B$34)</f>
        <v>0.703509422763021</v>
      </c>
      <c r="F25" s="760" t="n">
        <f aca="false">(($B$29+$B$34)-(SUM('Debt Amortization'!$E$53:H53)))/($B$29+$B$34)</f>
        <v>0.550690013355097</v>
      </c>
      <c r="G25" s="760" t="n">
        <f aca="false">(($B$29+$B$34)-(SUM('Debt Amortization'!$E$53:I53)))/($B$29+$B$34)</f>
        <v>0.462244027303754</v>
      </c>
      <c r="H25" s="760" t="n">
        <f aca="false">(($B$29+$B$34)-(SUM('Debt Amortization'!$E$53:J53)))/($B$29+$B$34)</f>
        <v>0.373798041252411</v>
      </c>
      <c r="I25" s="760" t="n">
        <f aca="false">(($B$29+$B$34)-(SUM('Debt Amortization'!$E$53:K53)))/($B$29+$B$34)</f>
        <v>0.273522592372756</v>
      </c>
      <c r="J25" s="760" t="n">
        <f aca="false">(($B$29+$B$34)-(SUM('Debt Amortization'!$E$53:L53)))/($B$29+$B$34)</f>
        <v>0.1732471434931</v>
      </c>
      <c r="K25" s="760" t="n">
        <f aca="false">(($B$29+$B$34)-(SUM('Debt Amortization'!$E$53:M53)))/($B$29+$B$34)</f>
        <v>0.00818463421872681</v>
      </c>
      <c r="L25" s="760" t="n">
        <f aca="false">(($B$29+$B$34)-(SUM('Debt Amortization'!$E$53:N53)))/($B$29+$B$34)</f>
        <v>-0.201100868081318</v>
      </c>
      <c r="M25" s="760" t="n">
        <f aca="false">(($B$29+$B$34)-(SUM('Debt Amortization'!$E$53:O53)))/($B$29+$B$34)</f>
        <v>-0.248418719394569</v>
      </c>
      <c r="N25" s="760" t="n">
        <f aca="false">(($B$29+$B$34)-(SUM('Debt Amortization'!$E$53:P53)))/($B$29+$B$34)</f>
        <v>-0.307566033536133</v>
      </c>
      <c r="O25" s="760" t="n">
        <f aca="false">(($B$29+$B$34)-(SUM('Debt Amortization'!$E$53:Q53)))/($B$29+$B$34)</f>
        <v>-0.366713347677697</v>
      </c>
      <c r="P25" s="760" t="n">
        <f aca="false">(($B$29+$B$34)-(SUM('Debt Amortization'!$E$53:R53)))/($B$29+$B$34)</f>
        <v>-0.425860661819261</v>
      </c>
      <c r="Q25" s="760" t="n">
        <f aca="false">(($B$29+$B$34)-(SUM('Debt Amortization'!$E$53:S53)))/($B$29+$B$34)</f>
        <v>-0.485007975960825</v>
      </c>
      <c r="R25" s="760" t="n">
        <f aca="false">(($B$29+$B$34)-(SUM('Debt Amortization'!$E$53:T53)))/($B$29+$B$34)</f>
        <v>-0.544155290102389</v>
      </c>
      <c r="S25" s="760" t="n">
        <f aca="false">(($B$29+$B$34)-(SUM('Debt Amortization'!$E$53:U53)))/($B$29+$B$34)</f>
        <v>-0.662449918385517</v>
      </c>
      <c r="T25" s="760" t="n">
        <f aca="false">(($B$29+$B$34)-(SUM('Debt Amortization'!$E$53:V53)))/($B$29+$B$34)</f>
        <v>-0.804403472325271</v>
      </c>
      <c r="U25" s="760" t="n">
        <f aca="false">(($B$29+$B$34)-(SUM('Debt Amortization'!$E$53:W53)))/($B$29+$B$34)</f>
        <v>-0.981845414749963</v>
      </c>
      <c r="V25" s="760" t="n">
        <f aca="false">(($B$29+$B$34)-(SUM('Debt Amortization'!$E$53:X53)))/($B$29+$B$34)</f>
        <v>-1.18294628283128</v>
      </c>
      <c r="W25" s="760" t="n">
        <f aca="false">(($B$29+$B$34)-(SUM('Debt Amortization'!$E$53:Y53)))/($B$29+$B$34)</f>
        <v>-1.18294628283128</v>
      </c>
      <c r="X25" s="760" t="n">
        <f aca="false">(($B$29+$B$34)-(SUM('Debt Amortization'!$E$53:Z53)))/($B$29+$B$34)</f>
        <v>-1.18294628283128</v>
      </c>
      <c r="Y25" s="760" t="n">
        <f aca="false">(($B$29+$B$34)-(SUM('Debt Amortization'!$E$53:AA53)))/($B$29+$B$34)</f>
        <v>-1.18294628283128</v>
      </c>
      <c r="Z25" s="760" t="n">
        <f aca="false">(($B$29+$B$34)-(SUM('Debt Amortization'!$E$53:AB53)))/($B$29+$B$34)</f>
        <v>-1.18294628283128</v>
      </c>
      <c r="AA25" s="760" t="n">
        <f aca="false">(($B$29+$B$34)-(SUM('Debt Amortization'!$E$53:AC53)))/($B$29+$B$34)</f>
        <v>-1.18294628283128</v>
      </c>
      <c r="AB25" s="1"/>
    </row>
    <row r="26" customFormat="false" ht="12.6" hidden="false" customHeight="true" outlineLevel="0" collapsed="false">
      <c r="A26" s="412" t="s">
        <v>546</v>
      </c>
      <c r="B26" s="438" t="n">
        <f aca="false">+'Project Assumptions'!C41</f>
        <v>0</v>
      </c>
      <c r="C26" s="438" t="n">
        <f aca="false">B26+'Cash Flow Statement'!D15-'Cash Flow Statement'!D16</f>
        <v>0</v>
      </c>
      <c r="D26" s="438" t="n">
        <f aca="false">C26+'Cash Flow Statement'!E15-'Cash Flow Statement'!E16</f>
        <v>0</v>
      </c>
      <c r="E26" s="438" t="n">
        <f aca="false">D26+'Cash Flow Statement'!F15-'Cash Flow Statement'!F16</f>
        <v>0</v>
      </c>
      <c r="F26" s="438" t="n">
        <f aca="false">E26+'Cash Flow Statement'!G15-'Cash Flow Statement'!G16</f>
        <v>0</v>
      </c>
      <c r="G26" s="438" t="n">
        <f aca="false">F26+'Cash Flow Statement'!H15-'Cash Flow Statement'!H16</f>
        <v>0</v>
      </c>
      <c r="H26" s="438" t="n">
        <f aca="false">G26+'Cash Flow Statement'!I15-'Cash Flow Statement'!I16</f>
        <v>0</v>
      </c>
      <c r="I26" s="438" t="n">
        <f aca="false">H26+'Cash Flow Statement'!J15-'Cash Flow Statement'!J16</f>
        <v>0</v>
      </c>
      <c r="J26" s="438" t="n">
        <f aca="false">I26+'Cash Flow Statement'!K15-'Cash Flow Statement'!K16</f>
        <v>0</v>
      </c>
      <c r="K26" s="438" t="n">
        <f aca="false">J26+'Cash Flow Statement'!L15-'Cash Flow Statement'!L16</f>
        <v>0</v>
      </c>
      <c r="L26" s="438" t="n">
        <f aca="false">K26+'Cash Flow Statement'!M15-'Cash Flow Statement'!M16</f>
        <v>0</v>
      </c>
      <c r="M26" s="438" t="n">
        <f aca="false">L26+'Cash Flow Statement'!N15-'Cash Flow Statement'!N16</f>
        <v>0</v>
      </c>
      <c r="N26" s="438" t="n">
        <f aca="false">M26+'Cash Flow Statement'!O15-'Cash Flow Statement'!O16</f>
        <v>0</v>
      </c>
      <c r="O26" s="438" t="n">
        <f aca="false">N26+'Cash Flow Statement'!P15-'Cash Flow Statement'!P16</f>
        <v>0</v>
      </c>
      <c r="P26" s="438" t="n">
        <f aca="false">O26+'Cash Flow Statement'!Q15-'Cash Flow Statement'!Q16</f>
        <v>0</v>
      </c>
      <c r="Q26" s="438" t="n">
        <f aca="false">P26+'Cash Flow Statement'!R15+'Cash Flow Statement'!R16</f>
        <v>0</v>
      </c>
      <c r="R26" s="438" t="n">
        <f aca="false">Q26+'Cash Flow Statement'!S15+'Cash Flow Statement'!S16</f>
        <v>0</v>
      </c>
      <c r="S26" s="438" t="n">
        <f aca="false">R26+'Cash Flow Statement'!T15+'Cash Flow Statement'!T16</f>
        <v>0</v>
      </c>
      <c r="T26" s="438" t="n">
        <f aca="false">S26+'Cash Flow Statement'!U15+'Cash Flow Statement'!U16</f>
        <v>0</v>
      </c>
      <c r="U26" s="438" t="n">
        <f aca="false">T26+'Cash Flow Statement'!V15+'Cash Flow Statement'!V16</f>
        <v>0</v>
      </c>
      <c r="V26" s="438" t="n">
        <f aca="false">U26+'Cash Flow Statement'!W15+'Cash Flow Statement'!W16</f>
        <v>0</v>
      </c>
      <c r="W26" s="438" t="n">
        <f aca="false">V26+'Cash Flow Statement'!X15+'Cash Flow Statement'!X16</f>
        <v>0</v>
      </c>
      <c r="X26" s="438" t="n">
        <f aca="false">W26+'Cash Flow Statement'!Y15+'Cash Flow Statement'!Y16</f>
        <v>0</v>
      </c>
      <c r="Y26" s="438" t="n">
        <f aca="false">X26+'Cash Flow Statement'!Z15+'Cash Flow Statement'!Z16</f>
        <v>0</v>
      </c>
      <c r="Z26" s="438" t="n">
        <f aca="false">Y26+'Cash Flow Statement'!AA15+'Cash Flow Statement'!AA16</f>
        <v>0</v>
      </c>
      <c r="AA26" s="439" t="n">
        <f aca="false">Z26+'Cash Flow Statement'!AB15+'Cash Flow Statement'!AB16</f>
        <v>0</v>
      </c>
      <c r="AB26" s="1"/>
    </row>
    <row r="27" customFormat="false" ht="12.6" hidden="false" customHeight="true" outlineLevel="0" collapsed="false">
      <c r="A27" s="412" t="str">
        <f aca="false">"  Debt Reserve Interest Income @ "&amp;'Project Assumptions'!I51*100&amp;"%"</f>
        <v>  Debt Reserve Interest Income @ 0%</v>
      </c>
      <c r="B27" s="523"/>
      <c r="C27" s="438" t="n">
        <f aca="false">C26*'Project Assumptions'!$I$51*(SUM('Book Income Statement'!D6:D8)/12)</f>
        <v>0</v>
      </c>
      <c r="D27" s="438" t="n">
        <f aca="false">D26*'Project Assumptions'!$I$51*(SUM('Book Income Statement'!E6:E8)/12)</f>
        <v>0</v>
      </c>
      <c r="E27" s="438" t="n">
        <f aca="false">E26*'Project Assumptions'!$I$51*(SUM('Book Income Statement'!F6:F8)/12)</f>
        <v>0</v>
      </c>
      <c r="F27" s="438" t="n">
        <f aca="false">F26*'Project Assumptions'!$I$51*(SUM('Book Income Statement'!G6:G8)/12)</f>
        <v>0</v>
      </c>
      <c r="G27" s="438" t="n">
        <f aca="false">G26*'Project Assumptions'!$I$51*(SUM('Book Income Statement'!H6:H8)/12)</f>
        <v>0</v>
      </c>
      <c r="H27" s="438" t="n">
        <f aca="false">H26*'Project Assumptions'!$I$51*(SUM('Book Income Statement'!I6:I8)/12)</f>
        <v>0</v>
      </c>
      <c r="I27" s="438" t="n">
        <f aca="false">I26*'Project Assumptions'!$I$51*(SUM('Book Income Statement'!J6:J8)/12)</f>
        <v>0</v>
      </c>
      <c r="J27" s="438" t="n">
        <f aca="false">J26*'Project Assumptions'!$I$51*(SUM('Book Income Statement'!K6:K8)/12)</f>
        <v>0</v>
      </c>
      <c r="K27" s="438" t="n">
        <f aca="false">K26*'Project Assumptions'!$I$51*(SUM('Book Income Statement'!L6:L8)/12)</f>
        <v>0</v>
      </c>
      <c r="L27" s="438" t="n">
        <f aca="false">L26*'Project Assumptions'!$I$51*(SUM('Book Income Statement'!M6:M8)/12)</f>
        <v>0</v>
      </c>
      <c r="M27" s="438" t="n">
        <f aca="false">M26*'Project Assumptions'!$I$51*(SUM('Book Income Statement'!N6:N8)/12)</f>
        <v>0</v>
      </c>
      <c r="N27" s="438" t="n">
        <f aca="false">N26*'Project Assumptions'!$I$51*(SUM('Book Income Statement'!O6:O8)/12)</f>
        <v>0</v>
      </c>
      <c r="O27" s="438" t="n">
        <f aca="false">O26*'Project Assumptions'!$I$51*(SUM('Book Income Statement'!P6:P8)/12)</f>
        <v>0</v>
      </c>
      <c r="P27" s="438" t="n">
        <f aca="false">P26*'Project Assumptions'!$I$51*(SUM('Book Income Statement'!Q6:Q8)/12)</f>
        <v>0</v>
      </c>
      <c r="Q27" s="438" t="n">
        <f aca="false">Q26*'Project Assumptions'!$I$51*(SUM('Book Income Statement'!R6:R8)/12)</f>
        <v>0</v>
      </c>
      <c r="R27" s="438" t="n">
        <f aca="false">R26*'Project Assumptions'!$I$51*(SUM('Book Income Statement'!S6:S8)/12)</f>
        <v>0</v>
      </c>
      <c r="S27" s="438" t="n">
        <f aca="false">S26*'Project Assumptions'!$I$51*(SUM('Book Income Statement'!T6:T8)/12)</f>
        <v>0</v>
      </c>
      <c r="T27" s="438" t="n">
        <f aca="false">T26*'Project Assumptions'!$I$51*(SUM('Book Income Statement'!U6:U8)/12)</f>
        <v>0</v>
      </c>
      <c r="U27" s="438" t="n">
        <f aca="false">U26*'Project Assumptions'!$I$51*(SUM('Book Income Statement'!V6:V8)/12)</f>
        <v>0</v>
      </c>
      <c r="V27" s="438" t="n">
        <f aca="false">V26*'Project Assumptions'!$I$51*(SUM('Book Income Statement'!W6:W8)/12)</f>
        <v>0</v>
      </c>
      <c r="W27" s="438" t="n">
        <f aca="false">W26*'Project Assumptions'!$I$51*(SUM('Book Income Statement'!X6:X8)/12)</f>
        <v>0</v>
      </c>
      <c r="X27" s="438" t="n">
        <f aca="false">X26*'Project Assumptions'!$I$51*(SUM('Book Income Statement'!Y6:Y8)/12)</f>
        <v>0</v>
      </c>
      <c r="Y27" s="438" t="n">
        <f aca="false">Y26*'Project Assumptions'!$I$51*(SUM('Book Income Statement'!Z6:Z8)/12)</f>
        <v>0</v>
      </c>
      <c r="Z27" s="438" t="n">
        <f aca="false">Z26*'Project Assumptions'!$I$51*(SUM('Book Income Statement'!AA6:AA8)/12)</f>
        <v>0</v>
      </c>
      <c r="AA27" s="439" t="n">
        <f aca="false">AA26*'Project Assumptions'!$I$51*(SUM('Book Income Statement'!AB6:AB8)/12)</f>
        <v>0</v>
      </c>
      <c r="AB27" s="438"/>
    </row>
    <row r="28" customFormat="false" ht="12.6" hidden="false" customHeight="true" outlineLevel="0" collapsed="false">
      <c r="A28" s="412"/>
      <c r="B28" s="385"/>
      <c r="C28" s="767"/>
      <c r="D28" s="767"/>
      <c r="E28" s="767"/>
      <c r="F28" s="767"/>
      <c r="G28" s="767"/>
      <c r="H28" s="767"/>
      <c r="I28" s="767"/>
      <c r="J28" s="767"/>
      <c r="K28" s="767"/>
      <c r="L28" s="767"/>
      <c r="M28" s="767"/>
      <c r="N28" s="767"/>
      <c r="O28" s="767"/>
      <c r="P28" s="767"/>
      <c r="Q28" s="767"/>
      <c r="R28" s="767"/>
      <c r="S28" s="767"/>
      <c r="T28" s="767"/>
      <c r="U28" s="767"/>
      <c r="V28" s="767"/>
      <c r="W28" s="767"/>
      <c r="X28" s="767"/>
      <c r="Y28" s="767"/>
      <c r="Z28" s="767"/>
      <c r="AA28" s="768"/>
      <c r="AB28" s="1"/>
    </row>
    <row r="29" customFormat="false" ht="12.6" hidden="false" customHeight="true" outlineLevel="0" collapsed="false">
      <c r="A29" s="435" t="s">
        <v>244</v>
      </c>
      <c r="B29" s="438" t="n">
        <f aca="false">IF('Project Assumptions'!$I$35="Normal",'Debt Amortization'!B19,'Debt Amortization'!C71)</f>
        <v>18984</v>
      </c>
      <c r="C29" s="767"/>
      <c r="D29" s="767"/>
      <c r="E29" s="767"/>
      <c r="F29" s="767"/>
      <c r="G29" s="767"/>
      <c r="H29" s="767"/>
      <c r="I29" s="767"/>
      <c r="J29" s="767"/>
      <c r="K29" s="767"/>
      <c r="L29" s="767"/>
      <c r="M29" s="767"/>
      <c r="N29" s="767"/>
      <c r="O29" s="767"/>
      <c r="P29" s="767"/>
      <c r="Q29" s="767"/>
      <c r="R29" s="767"/>
      <c r="S29" s="767"/>
      <c r="T29" s="767"/>
      <c r="U29" s="767"/>
      <c r="V29" s="767"/>
      <c r="W29" s="767"/>
      <c r="X29" s="767"/>
      <c r="Y29" s="767"/>
      <c r="Z29" s="767"/>
      <c r="AA29" s="768"/>
      <c r="AB29" s="1"/>
    </row>
    <row r="30" customFormat="false" ht="12.6" hidden="false" customHeight="true" outlineLevel="0" collapsed="false">
      <c r="A30" s="412" t="s">
        <v>547</v>
      </c>
      <c r="B30" s="385"/>
      <c r="C30" s="438" t="n">
        <f aca="false">IF('Project Assumptions'!$I$35="Normal",'Debt Amortization'!E29,'Debt Amortization'!E74)</f>
        <v>6023.6232</v>
      </c>
      <c r="D30" s="438" t="n">
        <f aca="false">IF('Project Assumptions'!$I$35="Normal",'Debt Amortization'!F29,'Debt Amortization'!F74)</f>
        <v>5704.2174</v>
      </c>
      <c r="E30" s="438" t="n">
        <f aca="false">IF('Project Assumptions'!$I$35="Normal",'Debt Amortization'!G29,'Debt Amortization'!G74)</f>
        <v>5384.8116</v>
      </c>
      <c r="F30" s="438" t="n">
        <f aca="false">IF('Project Assumptions'!$I$35="Normal",'Debt Amortization'!H29,'Debt Amortization'!H74)</f>
        <v>5065.4058</v>
      </c>
      <c r="G30" s="438" t="n">
        <f aca="false">IF('Project Assumptions'!$I$35="Normal",'Debt Amortization'!I29,'Debt Amortization'!I74)</f>
        <v>0</v>
      </c>
      <c r="H30" s="438" t="n">
        <f aca="false">IF('Project Assumptions'!$I$35="Normal",'Debt Amortization'!J29,'Debt Amortization'!J74)</f>
        <v>0</v>
      </c>
      <c r="I30" s="438" t="n">
        <f aca="false">IF('Project Assumptions'!$I$35="Normal",'Debt Amortization'!K29,'Debt Amortization'!K74)</f>
        <v>0</v>
      </c>
      <c r="J30" s="438" t="n">
        <f aca="false">IF('Project Assumptions'!$I$35="Normal",'Debt Amortization'!L29,'Debt Amortization'!L74)</f>
        <v>0</v>
      </c>
      <c r="K30" s="438" t="n">
        <f aca="false">IF('Project Assumptions'!$I$35="Normal",'Debt Amortization'!M29,'Debt Amortization'!M74)</f>
        <v>0</v>
      </c>
      <c r="L30" s="438" t="n">
        <f aca="false">IF('Project Assumptions'!$I$35="Normal",'Debt Amortization'!N29,'Debt Amortization'!N74)</f>
        <v>0</v>
      </c>
      <c r="M30" s="438" t="n">
        <f aca="false">IF('Project Assumptions'!$I$35="Normal",'Debt Amortization'!O29,'Debt Amortization'!O74)</f>
        <v>0</v>
      </c>
      <c r="N30" s="438" t="n">
        <f aca="false">IF('Project Assumptions'!$I$35="Normal",'Debt Amortization'!P29,'Debt Amortization'!P74)</f>
        <v>0</v>
      </c>
      <c r="O30" s="438" t="n">
        <f aca="false">IF('Project Assumptions'!$I$35="Normal",'Debt Amortization'!Q29,'Debt Amortization'!Q74)</f>
        <v>0</v>
      </c>
      <c r="P30" s="438" t="n">
        <f aca="false">IF('Project Assumptions'!$I$35="Normal",'Debt Amortization'!R29,'Debt Amortization'!R74)</f>
        <v>0</v>
      </c>
      <c r="Q30" s="438" t="n">
        <f aca="false">IF('Project Assumptions'!$I$35="Normal",'Debt Amortization'!S29,'Debt Amortization'!S74)</f>
        <v>0</v>
      </c>
      <c r="R30" s="438" t="n">
        <f aca="false">IF('Project Assumptions'!$I$35="Normal",'Debt Amortization'!T29,'Debt Amortization'!T74)</f>
        <v>0</v>
      </c>
      <c r="S30" s="438" t="n">
        <f aca="false">IF('Project Assumptions'!$I$35="Normal",'Debt Amortization'!U29,'Debt Amortization'!U74)</f>
        <v>0</v>
      </c>
      <c r="T30" s="438" t="n">
        <f aca="false">IF('Project Assumptions'!$I$35="Normal",'Debt Amortization'!V29,'Debt Amortization'!V74)</f>
        <v>0</v>
      </c>
      <c r="U30" s="438" t="n">
        <f aca="false">IF('Project Assumptions'!$I$35="Normal",'Debt Amortization'!W29,'Debt Amortization'!W74)</f>
        <v>0</v>
      </c>
      <c r="V30" s="438" t="n">
        <f aca="false">IF('Project Assumptions'!$I$35="Normal",'Debt Amortization'!X29,'Debt Amortization'!X74)</f>
        <v>0</v>
      </c>
      <c r="W30" s="438" t="n">
        <f aca="false">IF('Project Assumptions'!$I$35="Normal",'Debt Amortization'!Y29,'Debt Amortization'!Y74)</f>
        <v>0</v>
      </c>
      <c r="X30" s="438" t="n">
        <f aca="false">IF('Project Assumptions'!$I$35="Normal",'Debt Amortization'!Z29,'Debt Amortization'!Z74)</f>
        <v>0</v>
      </c>
      <c r="Y30" s="438" t="n">
        <f aca="false">IF('Project Assumptions'!$I$35="Normal",'Debt Amortization'!AA29,'Debt Amortization'!AA74)</f>
        <v>0</v>
      </c>
      <c r="Z30" s="438" t="n">
        <f aca="false">IF('Project Assumptions'!$I$35="Normal",'Debt Amortization'!AB29,'Debt Amortization'!AB74)</f>
        <v>0</v>
      </c>
      <c r="AA30" s="438" t="n">
        <f aca="false">IF('Project Assumptions'!$I$35="Normal",'Debt Amortization'!AC29,'Debt Amortization'!AC74)</f>
        <v>0</v>
      </c>
      <c r="AB30" s="1"/>
    </row>
    <row r="31" customFormat="false" ht="12.6" hidden="false" customHeight="true" outlineLevel="0" collapsed="false">
      <c r="A31" s="412" t="s">
        <v>548</v>
      </c>
      <c r="B31" s="385"/>
      <c r="C31" s="769" t="n">
        <f aca="false">IF(C30&lt;1,"N/A",'Book Income Statement'!D61/C30)</f>
        <v>1.33894771530042</v>
      </c>
      <c r="D31" s="769" t="n">
        <f aca="false">IF(D30&lt;1,"N/A",+'Book Income Statement'!E61/D30)</f>
        <v>3.37214151234159</v>
      </c>
      <c r="E31" s="769" t="n">
        <f aca="false">IF(E30&lt;1,"N/A",+'Book Income Statement'!F61/E30)</f>
        <v>3.61962157891281</v>
      </c>
      <c r="F31" s="769" t="n">
        <f aca="false">IF(F30&lt;1,"N/A",+'Book Income Statement'!G61/F30)</f>
        <v>3.83875779000931</v>
      </c>
      <c r="G31" s="769" t="str">
        <f aca="false">IF(G30&lt;1,"N/A",+'Book Income Statement'!H61/G30)</f>
        <v>N/A</v>
      </c>
      <c r="H31" s="769" t="str">
        <f aca="false">IF(H30&lt;1,"N/A",+'Book Income Statement'!I61/H30)</f>
        <v>N/A</v>
      </c>
      <c r="I31" s="769" t="str">
        <f aca="false">IF(I30&lt;1,"N/A",+'Book Income Statement'!J61/I30)</f>
        <v>N/A</v>
      </c>
      <c r="J31" s="769" t="str">
        <f aca="false">IF(J30&lt;1,"N/A",+'Book Income Statement'!K61/J30)</f>
        <v>N/A</v>
      </c>
      <c r="K31" s="769" t="str">
        <f aca="false">IF(K30&lt;1,"N/A",+'Book Income Statement'!L61/K30)</f>
        <v>N/A</v>
      </c>
      <c r="L31" s="769" t="str">
        <f aca="false">IF(L30&lt;1,"N/A",+'Book Income Statement'!M61/L30)</f>
        <v>N/A</v>
      </c>
      <c r="M31" s="769" t="str">
        <f aca="false">IF(M30&lt;1,"N/A",+'Book Income Statement'!N61/M30)</f>
        <v>N/A</v>
      </c>
      <c r="N31" s="769" t="str">
        <f aca="false">IF(N30&lt;1,"N/A",+'Book Income Statement'!O61/N30)</f>
        <v>N/A</v>
      </c>
      <c r="O31" s="769" t="str">
        <f aca="false">IF(O30&lt;1,"N/A",+'Book Income Statement'!P61/O30)</f>
        <v>N/A</v>
      </c>
      <c r="P31" s="769" t="str">
        <f aca="false">IF(P30&lt;1,"N/A",+'Book Income Statement'!Q61/P30)</f>
        <v>N/A</v>
      </c>
      <c r="Q31" s="769" t="str">
        <f aca="false">IF(Q30&lt;1,"N/A",+'Book Income Statement'!R61/Q30)</f>
        <v>N/A</v>
      </c>
      <c r="R31" s="769" t="str">
        <f aca="false">IF(R30&lt;1,"N/A",+'Book Income Statement'!S61/R30)</f>
        <v>N/A</v>
      </c>
      <c r="S31" s="769" t="str">
        <f aca="false">IF(S30&lt;1,"N/A",+'Book Income Statement'!T61/S30)</f>
        <v>N/A</v>
      </c>
      <c r="T31" s="769" t="str">
        <f aca="false">IF(T30&lt;1,"N/A",+'Book Income Statement'!U61/T30)</f>
        <v>N/A</v>
      </c>
      <c r="U31" s="769" t="str">
        <f aca="false">IF(U30&lt;1,"N/A",+'Book Income Statement'!V61/U30)</f>
        <v>N/A</v>
      </c>
      <c r="V31" s="769" t="str">
        <f aca="false">IF(V30&lt;1,"N/A",+'Book Income Statement'!W61/V30)</f>
        <v>N/A</v>
      </c>
      <c r="W31" s="769" t="str">
        <f aca="false">IF(W30&lt;1,"N/A",+'Book Income Statement'!X61/W30)</f>
        <v>N/A</v>
      </c>
      <c r="X31" s="769" t="str">
        <f aca="false">IF(X30&lt;1,"N/A",+'Book Income Statement'!Y61/X30)</f>
        <v>N/A</v>
      </c>
      <c r="Y31" s="769" t="str">
        <f aca="false">IF(Y30&lt;1,"N/A",+'Book Income Statement'!Z61/Y30)</f>
        <v>N/A</v>
      </c>
      <c r="Z31" s="769" t="str">
        <f aca="false">IF(Z30&lt;1,"N/A",+'Book Income Statement'!AA61/Z30)</f>
        <v>N/A</v>
      </c>
      <c r="AA31" s="770" t="str">
        <f aca="false">IF(AA30&lt;1,"N/A",+'Book Income Statement'!AB61/AA30)</f>
        <v>N/A</v>
      </c>
      <c r="AB31" s="1"/>
    </row>
    <row r="32" customFormat="false" ht="12.6" hidden="false" customHeight="true" outlineLevel="0" collapsed="false">
      <c r="A32" s="412" t="s">
        <v>545</v>
      </c>
      <c r="B32" s="385"/>
      <c r="C32" s="697" t="n">
        <f aca="false">($B$29-IF('Project Assumptions'!$I$35="Normal",SUM('Debt Amortization'!$E$28:E28),SUM('Debt Amortization'!$E$88:E88)))/$B$29</f>
        <v>1</v>
      </c>
      <c r="D32" s="697" t="n">
        <f aca="false">($B$29-IF('Project Assumptions'!$I$35="Normal",SUM('Debt Amortization'!$E$28:F28),SUM('Debt Amortization'!$E$88:F88)))/$B$29</f>
        <v>1</v>
      </c>
      <c r="E32" s="697" t="n">
        <f aca="false">($B$29-IF('Project Assumptions'!$I$35="Normal",SUM('Debt Amortization'!$E$28:G28),SUM('Debt Amortization'!$E$88:G88)))/$B$29</f>
        <v>0.908006742520017</v>
      </c>
      <c r="F32" s="697" t="n">
        <f aca="false">($B$29-IF('Project Assumptions'!$I$35="Normal",SUM('Debt Amortization'!$E$28:H28),SUM('Debt Amortization'!$E$88:H88)))/$B$29</f>
        <v>0.724020227560051</v>
      </c>
      <c r="G32" s="697" t="n">
        <f aca="false">($B$29-IF('Project Assumptions'!$I$35="Normal",SUM('Debt Amortization'!$E$28:I28),SUM('Debt Amortization'!$E$88:I88)))/$B$29</f>
        <v>0.540033712600084</v>
      </c>
      <c r="H32" s="697" t="n">
        <f aca="false">($B$29-IF('Project Assumptions'!$I$35="Normal",SUM('Debt Amortization'!$E$28:J28),SUM('Debt Amortization'!$E$88:J88)))/$B$29</f>
        <v>0.356047197640118</v>
      </c>
      <c r="I32" s="697" t="n">
        <f aca="false">($B$29-IF('Project Assumptions'!$I$35="Normal",SUM('Debt Amortization'!$E$28:K28),SUM('Debt Amortization'!$E$88:K88)))/$B$29</f>
        <v>0.172060682680152</v>
      </c>
      <c r="J32" s="697" t="n">
        <f aca="false">($B$29-IF('Project Assumptions'!$I$35="Normal",SUM('Debt Amortization'!$E$28:L28),SUM('Debt Amortization'!$E$88:L88)))/$B$29</f>
        <v>-0.0119258322798147</v>
      </c>
      <c r="K32" s="697" t="n">
        <f aca="false">($B$29-IF('Project Assumptions'!$I$35="Normal",SUM('Debt Amortization'!$E$28:M28),SUM('Debt Amortization'!$E$88:M88)))/$B$29</f>
        <v>-0.379898862199747</v>
      </c>
      <c r="L32" s="697" t="n">
        <f aca="false">($B$29-IF('Project Assumptions'!$I$35="Normal",SUM('Debt Amortization'!$E$28:N28),SUM('Debt Amortization'!$E$88:N88)))/$B$29</f>
        <v>-0.839865149599663</v>
      </c>
      <c r="M32" s="697" t="n">
        <f aca="false">($B$29-IF('Project Assumptions'!$I$35="Normal",SUM('Debt Amortization'!$E$28:O28),SUM('Debt Amortization'!$E$88:O88)))/$B$29</f>
        <v>-0.839865149599663</v>
      </c>
      <c r="N32" s="697" t="n">
        <f aca="false">($B$29-IF('Project Assumptions'!$I$35="Normal",SUM('Debt Amortization'!$E$28:P28),SUM('Debt Amortization'!$E$88:P88)))/$B$29</f>
        <v>-0.839865149599663</v>
      </c>
      <c r="O32" s="697" t="n">
        <f aca="false">($B$29-IF('Project Assumptions'!$I$35="Normal",SUM('Debt Amortization'!$E$28:Q28),SUM('Debt Amortization'!$E$88:Q88)))/$B$29</f>
        <v>-0.839865149599663</v>
      </c>
      <c r="P32" s="697" t="n">
        <f aca="false">($B$29-IF('Project Assumptions'!$I$35="Normal",SUM('Debt Amortization'!$E$28:R28),SUM('Debt Amortization'!$E$88:R88)))/$B$29</f>
        <v>-0.839865149599663</v>
      </c>
      <c r="Q32" s="697" t="n">
        <f aca="false">($B$29-IF('Project Assumptions'!$I$35="Normal",SUM('Debt Amortization'!$E$28:S28),SUM('Debt Amortization'!$E$88:S88)))/$B$29</f>
        <v>-0.839865149599663</v>
      </c>
      <c r="R32" s="697" t="n">
        <f aca="false">($B$29-IF('Project Assumptions'!$I$35="Normal",SUM('Debt Amortization'!$E$28:T28),SUM('Debt Amortization'!$E$88:T88)))/$B$29</f>
        <v>-0.839865149599663</v>
      </c>
      <c r="S32" s="697" t="n">
        <f aca="false">($B$29-IF('Project Assumptions'!$I$35="Normal",SUM('Debt Amortization'!$E$28:U28),SUM('Debt Amortization'!$E$88:U88)))/$B$29</f>
        <v>-0.839865149599663</v>
      </c>
      <c r="T32" s="697" t="n">
        <f aca="false">($B$29-IF('Project Assumptions'!$I$35="Normal",SUM('Debt Amortization'!$E$28:V28),SUM('Debt Amortization'!$E$88:V88)))/$B$29</f>
        <v>-0.839865149599663</v>
      </c>
      <c r="U32" s="697" t="n">
        <f aca="false">($B$29-IF('Project Assumptions'!$I$35="Normal",SUM('Debt Amortization'!$E$28:W28),SUM('Debt Amortization'!$E$88:W88)))/$B$29</f>
        <v>-0.839865149599663</v>
      </c>
      <c r="V32" s="697" t="n">
        <f aca="false">($B$29-IF('Project Assumptions'!$I$35="Normal",SUM('Debt Amortization'!$E$28:X28),SUM('Debt Amortization'!$E$88:X88)))/$B$29</f>
        <v>-0.839865149599663</v>
      </c>
      <c r="W32" s="697" t="n">
        <f aca="false">($B$29-IF('Project Assumptions'!$I$35="Normal",SUM('Debt Amortization'!$E$28:Y28),SUM('Debt Amortization'!$E$88:Y88)))/$B$29</f>
        <v>-0.839865149599663</v>
      </c>
      <c r="X32" s="697" t="n">
        <f aca="false">($B$29-IF('Project Assumptions'!$I$35="Normal",SUM('Debt Amortization'!$E$28:Z28),SUM('Debt Amortization'!$E$88:Z88)))/$B$29</f>
        <v>-0.839865149599663</v>
      </c>
      <c r="Y32" s="697" t="n">
        <f aca="false">($B$29-IF('Project Assumptions'!$I$35="Normal",SUM('Debt Amortization'!$E$28:AA28),SUM('Debt Amortization'!$E$88:AA88)))/$B$29</f>
        <v>-0.839865149599663</v>
      </c>
      <c r="Z32" s="697" t="n">
        <f aca="false">($B$29-IF('Project Assumptions'!$I$35="Normal",SUM('Debt Amortization'!$E$28:AB28),SUM('Debt Amortization'!$E$88:AB88)))/$B$29</f>
        <v>-0.839865149599663</v>
      </c>
      <c r="AA32" s="697" t="n">
        <f aca="false">($B$29-IF('Project Assumptions'!$I$35="Normal",SUM('Debt Amortization'!$E$28:AC28),SUM('Debt Amortization'!$E$88:AC88)))/$B$29</f>
        <v>-0.839865149599663</v>
      </c>
      <c r="AB32" s="1"/>
    </row>
    <row r="33" customFormat="false" ht="12.6" hidden="false" customHeight="true" outlineLevel="0" collapsed="false">
      <c r="A33" s="412"/>
      <c r="B33" s="385"/>
      <c r="C33" s="697"/>
      <c r="D33" s="697"/>
      <c r="E33" s="697"/>
      <c r="F33" s="697"/>
      <c r="G33" s="697"/>
      <c r="H33" s="697"/>
      <c r="I33" s="697"/>
      <c r="J33" s="697"/>
      <c r="K33" s="697"/>
      <c r="L33" s="697"/>
      <c r="M33" s="697"/>
      <c r="N33" s="697"/>
      <c r="O33" s="697"/>
      <c r="P33" s="697"/>
      <c r="Q33" s="697"/>
      <c r="R33" s="697"/>
      <c r="S33" s="697"/>
      <c r="T33" s="697"/>
      <c r="U33" s="697"/>
      <c r="V33" s="697"/>
      <c r="W33" s="697"/>
      <c r="X33" s="697"/>
      <c r="Y33" s="697"/>
      <c r="Z33" s="697"/>
      <c r="AA33" s="771"/>
      <c r="AB33" s="1"/>
    </row>
    <row r="34" customFormat="false" ht="12.6" hidden="false" customHeight="true" outlineLevel="0" collapsed="false">
      <c r="A34" s="435" t="s">
        <v>245</v>
      </c>
      <c r="B34" s="438" t="n">
        <f aca="false">IF('Project Assumptions'!$I$35="Normal",'Debt Amortization'!B20,'Debt Amortization'!C86)</f>
        <v>34928</v>
      </c>
      <c r="C34" s="767"/>
      <c r="D34" s="767"/>
      <c r="E34" s="767"/>
      <c r="F34" s="767"/>
      <c r="G34" s="767"/>
      <c r="H34" s="767"/>
      <c r="I34" s="767"/>
      <c r="J34" s="767"/>
      <c r="K34" s="767"/>
      <c r="L34" s="767"/>
      <c r="M34" s="767"/>
      <c r="N34" s="767"/>
      <c r="O34" s="767"/>
      <c r="P34" s="767"/>
      <c r="Q34" s="767"/>
      <c r="R34" s="767"/>
      <c r="S34" s="767"/>
      <c r="T34" s="767"/>
      <c r="U34" s="767"/>
      <c r="V34" s="767"/>
      <c r="W34" s="767"/>
      <c r="X34" s="767"/>
      <c r="Y34" s="767"/>
      <c r="Z34" s="767"/>
      <c r="AA34" s="768"/>
      <c r="AB34" s="1"/>
    </row>
    <row r="35" customFormat="false" ht="12.6" hidden="false" customHeight="true" outlineLevel="0" collapsed="false">
      <c r="A35" s="412" t="s">
        <v>547</v>
      </c>
      <c r="B35" s="385"/>
      <c r="C35" s="438" t="n">
        <f aca="false">IF('Project Assumptions'!$I$35="Normal",'Debt Amortization'!E37,'Debt Amortization'!E89)</f>
        <v>2644.0496</v>
      </c>
      <c r="D35" s="438" t="n">
        <f aca="false">IF('Project Assumptions'!$I$35="Normal",'Debt Amortization'!F37,'Debt Amortization'!F89)</f>
        <v>2644.0496</v>
      </c>
      <c r="E35" s="438" t="n">
        <f aca="false">IF('Project Assumptions'!$I$35="Normal",'Debt Amortization'!G37,'Debt Amortization'!G89)</f>
        <v>4390.4496</v>
      </c>
      <c r="F35" s="438" t="n">
        <f aca="false">IF('Project Assumptions'!$I$35="Normal",'Debt Amortization'!H37,'Debt Amortization'!H89)</f>
        <v>6004.64712</v>
      </c>
      <c r="G35" s="438" t="n">
        <f aca="false">IF('Project Assumptions'!$I$35="Normal",'Debt Amortization'!I37,'Debt Amortization'!I89)</f>
        <v>5740.24216</v>
      </c>
      <c r="H35" s="438" t="n">
        <f aca="false">IF('Project Assumptions'!$I$35="Normal",'Debt Amortization'!J37,'Debt Amortization'!J89)</f>
        <v>5475.8372</v>
      </c>
      <c r="I35" s="438" t="n">
        <f aca="false">IF('Project Assumptions'!$I$35="Normal",'Debt Amortization'!K37,'Debt Amortization'!K89)</f>
        <v>5211.43224</v>
      </c>
      <c r="J35" s="438" t="n">
        <f aca="false">IF('Project Assumptions'!$I$35="Normal",'Debt Amortization'!L37,'Debt Amortization'!L89)</f>
        <v>4947.02728</v>
      </c>
      <c r="K35" s="438" t="n">
        <f aca="false">IF('Project Assumptions'!$I$35="Normal",'Debt Amortization'!M37,'Debt Amortization'!M89)</f>
        <v>8175.42232</v>
      </c>
      <c r="L35" s="438" t="n">
        <f aca="false">IF('Project Assumptions'!$I$35="Normal",'Debt Amortization'!N37,'Debt Amortization'!N89)</f>
        <v>9393.0124</v>
      </c>
      <c r="M35" s="438" t="n">
        <f aca="false">IF('Project Assumptions'!$I$35="Normal",'Debt Amortization'!O37,'Debt Amortization'!O89)</f>
        <v>0</v>
      </c>
      <c r="N35" s="438" t="n">
        <f aca="false">IF('Project Assumptions'!$I$35="Normal",'Debt Amortization'!P37,'Debt Amortization'!P89)</f>
        <v>0</v>
      </c>
      <c r="O35" s="438" t="n">
        <f aca="false">IF('Project Assumptions'!$I$35="Normal",'Debt Amortization'!Q37,'Debt Amortization'!Q89)</f>
        <v>0</v>
      </c>
      <c r="P35" s="438" t="n">
        <f aca="false">IF('Project Assumptions'!$I$35="Normal",'Debt Amortization'!R37,'Debt Amortization'!R89)</f>
        <v>0</v>
      </c>
      <c r="Q35" s="438" t="n">
        <f aca="false">IF('Project Assumptions'!$I$35="Normal",'Debt Amortization'!S37,'Debt Amortization'!S89)</f>
        <v>0</v>
      </c>
      <c r="R35" s="438" t="n">
        <f aca="false">IF('Project Assumptions'!$I$35="Normal",'Debt Amortization'!T37,'Debt Amortization'!T89)</f>
        <v>0</v>
      </c>
      <c r="S35" s="438" t="n">
        <f aca="false">IF('Project Assumptions'!$I$35="Normal",'Debt Amortization'!U37,'Debt Amortization'!U89)</f>
        <v>0</v>
      </c>
      <c r="T35" s="438" t="n">
        <f aca="false">IF('Project Assumptions'!$I$35="Normal",'Debt Amortization'!V37,'Debt Amortization'!V89)</f>
        <v>0</v>
      </c>
      <c r="U35" s="438" t="n">
        <f aca="false">IF('Project Assumptions'!$I$35="Normal",'Debt Amortization'!W37,'Debt Amortization'!W89)</f>
        <v>0</v>
      </c>
      <c r="V35" s="438" t="n">
        <f aca="false">IF('Project Assumptions'!$I$35="Normal",'Debt Amortization'!X37,'Debt Amortization'!X89)</f>
        <v>0</v>
      </c>
      <c r="W35" s="438" t="n">
        <f aca="false">IF('Project Assumptions'!$I$35="Normal",'Debt Amortization'!Y37,'Debt Amortization'!Y89)</f>
        <v>0</v>
      </c>
      <c r="X35" s="438" t="n">
        <f aca="false">IF('Project Assumptions'!$I$35="Normal",'Debt Amortization'!Z37,'Debt Amortization'!Z89)</f>
        <v>0</v>
      </c>
      <c r="Y35" s="438" t="n">
        <f aca="false">IF('Project Assumptions'!$I$35="Normal",'Debt Amortization'!AA37,'Debt Amortization'!AA89)</f>
        <v>0</v>
      </c>
      <c r="Z35" s="438" t="n">
        <f aca="false">IF('Project Assumptions'!$I$35="Normal",'Debt Amortization'!AB37,'Debt Amortization'!AB89)</f>
        <v>0</v>
      </c>
      <c r="AA35" s="438" t="n">
        <f aca="false">IF('Project Assumptions'!$I$35="Normal",'Debt Amortization'!AC37,'Debt Amortization'!AC89)</f>
        <v>0</v>
      </c>
      <c r="AB35" s="1"/>
    </row>
    <row r="36" customFormat="false" ht="12.6" hidden="false" customHeight="true" outlineLevel="0" collapsed="false">
      <c r="A36" s="412" t="s">
        <v>548</v>
      </c>
      <c r="B36" s="385"/>
      <c r="C36" s="769" t="n">
        <f aca="false">IF(C35&lt;1,"N/A",'Book Income Statement'!D61/C35)</f>
        <v>3.05036506178651</v>
      </c>
      <c r="D36" s="769" t="n">
        <f aca="false">IF(D35&lt;1,"N/A",'Book Income Statement'!E61/D35)</f>
        <v>7.27498768932367</v>
      </c>
      <c r="E36" s="769" t="n">
        <f aca="false">IF(E35&lt;1,"N/A",'Book Income Statement'!F61/E35)</f>
        <v>4.43940417075737</v>
      </c>
      <c r="F36" s="769" t="n">
        <f aca="false">IF(F35&lt;1,"N/A",'Book Income Statement'!G61/F35)</f>
        <v>3.23830286538276</v>
      </c>
      <c r="G36" s="769" t="n">
        <f aca="false">IF(G35&lt;1,"N/A",'Book Income Statement'!H61/G35)</f>
        <v>4.36737563175629</v>
      </c>
      <c r="H36" s="769" t="n">
        <f aca="false">IF(H35&lt;1,"N/A",'Book Income Statement'!I61/H35)</f>
        <v>5.37802753397836</v>
      </c>
      <c r="I36" s="769" t="n">
        <f aca="false">IF(I35&lt;1,"N/A",'Book Income Statement'!J61/I35)</f>
        <v>5.71123691054433</v>
      </c>
      <c r="J36" s="769" t="n">
        <f aca="false">IF(J35&lt;1,"N/A",'Book Income Statement'!K61/J35)</f>
        <v>6.07941864407869</v>
      </c>
      <c r="K36" s="769" t="n">
        <f aca="false">IF(K35&lt;1,"N/A",'Book Income Statement'!L61/K35)</f>
        <v>3.79281921890992</v>
      </c>
      <c r="L36" s="769" t="n">
        <f aca="false">IF(L35&lt;1,"N/A",'Book Income Statement'!M61/L35)</f>
        <v>3.33420607349001</v>
      </c>
      <c r="M36" s="769" t="str">
        <f aca="false">IF(M35&lt;1,"N/A",'Book Income Statement'!N61/M35)</f>
        <v>N/A</v>
      </c>
      <c r="N36" s="769" t="str">
        <f aca="false">IF(N35&lt;1,"N/A",'Book Income Statement'!O61/N35)</f>
        <v>N/A</v>
      </c>
      <c r="O36" s="769" t="str">
        <f aca="false">IF(O35&lt;1,"N/A",'Book Income Statement'!P61/O35)</f>
        <v>N/A</v>
      </c>
      <c r="P36" s="769" t="str">
        <f aca="false">IF(P35&lt;1,"N/A",'Book Income Statement'!Q61/P35)</f>
        <v>N/A</v>
      </c>
      <c r="Q36" s="769" t="str">
        <f aca="false">IF(Q35&lt;1,"N/A",'Book Income Statement'!R61/Q35)</f>
        <v>N/A</v>
      </c>
      <c r="R36" s="769" t="str">
        <f aca="false">IF(R35&lt;1,"N/A",'Book Income Statement'!S61/R35)</f>
        <v>N/A</v>
      </c>
      <c r="S36" s="769" t="str">
        <f aca="false">IF(S35&lt;1,"N/A",'Book Income Statement'!T61/S35)</f>
        <v>N/A</v>
      </c>
      <c r="T36" s="769" t="str">
        <f aca="false">IF(T35&lt;1,"N/A",'Book Income Statement'!U61/T35)</f>
        <v>N/A</v>
      </c>
      <c r="U36" s="769" t="str">
        <f aca="false">IF(U35&lt;1,"N/A",'Book Income Statement'!V61/U35)</f>
        <v>N/A</v>
      </c>
      <c r="V36" s="769" t="str">
        <f aca="false">IF(V35&lt;1,"N/A",'Book Income Statement'!W61/V35)</f>
        <v>N/A</v>
      </c>
      <c r="W36" s="769" t="str">
        <f aca="false">IF(W35&lt;1,"N/A",'Book Income Statement'!X61/W35)</f>
        <v>N/A</v>
      </c>
      <c r="X36" s="769" t="str">
        <f aca="false">IF(X35&lt;1,"N/A",'Book Income Statement'!Y61/X35)</f>
        <v>N/A</v>
      </c>
      <c r="Y36" s="769" t="str">
        <f aca="false">IF(Y35&lt;1,"N/A",'Book Income Statement'!Z61/Y35)</f>
        <v>N/A</v>
      </c>
      <c r="Z36" s="769" t="str">
        <f aca="false">IF(Z35&lt;1,"N/A",'Book Income Statement'!AA61/Z35)</f>
        <v>N/A</v>
      </c>
      <c r="AA36" s="770" t="str">
        <f aca="false">IF(AA35&lt;1,"N/A",'Book Income Statement'!AB61/AA35)</f>
        <v>N/A</v>
      </c>
      <c r="AB36" s="1"/>
    </row>
    <row r="37" customFormat="false" ht="12.6" hidden="false" customHeight="true" outlineLevel="0" collapsed="false">
      <c r="A37" s="412" t="s">
        <v>545</v>
      </c>
      <c r="B37" s="385"/>
      <c r="C37" s="697" t="n">
        <f aca="false">IF($B$34&gt;0,(($B$34-IF('Project Assumptions'!$I$35="Normal",SUM('Debt Amortization'!$E$36:E36),SUM('Debt Amortization'!$E$88:E88)))/$B$34),0)</f>
        <v>1</v>
      </c>
      <c r="D37" s="697" t="n">
        <f aca="false">IF($B$34&gt;0,(($B$34-IF('Project Assumptions'!$I$35="Normal",SUM('Debt Amortization'!$E$36:F36),SUM('Debt Amortization'!$E$88:F88)))/$B$34),0)</f>
        <v>1</v>
      </c>
      <c r="E37" s="697" t="n">
        <f aca="false">IF($B$34&gt;0,(($B$34-IF('Project Assumptions'!$I$35="Normal",SUM('Debt Amortization'!$E$36:G36),SUM('Debt Amortization'!$E$88:G88)))/$B$34),0)</f>
        <v>0.95</v>
      </c>
      <c r="F37" s="697" t="n">
        <f aca="false">IF($B$34&gt;0,(($B$34-IF('Project Assumptions'!$I$35="Normal",SUM('Debt Amortization'!$E$36:H36),SUM('Debt Amortization'!$E$88:H88)))/$B$34),0)</f>
        <v>0.85</v>
      </c>
      <c r="G37" s="697" t="n">
        <f aca="false">IF($B$34&gt;0,(($B$34-IF('Project Assumptions'!$I$35="Normal",SUM('Debt Amortization'!$E$36:I36),SUM('Debt Amortization'!$E$88:I88)))/$B$34),0)</f>
        <v>0.75</v>
      </c>
      <c r="H37" s="697" t="n">
        <f aca="false">IF($B$34&gt;0,(($B$34-IF('Project Assumptions'!$I$35="Normal",SUM('Debt Amortization'!$E$36:J36),SUM('Debt Amortization'!$E$88:J88)))/$B$34),0)</f>
        <v>0.65</v>
      </c>
      <c r="I37" s="697" t="n">
        <f aca="false">IF($B$34&gt;0,(($B$34-IF('Project Assumptions'!$I$35="Normal",SUM('Debt Amortization'!$E$36:K36),SUM('Debt Amortization'!$E$88:K88)))/$B$34),0)</f>
        <v>0.55</v>
      </c>
      <c r="J37" s="697" t="n">
        <f aca="false">IF($B$34&gt;0,(($B$34-IF('Project Assumptions'!$I$35="Normal",SUM('Debt Amortization'!$E$36:L36),SUM('Debt Amortization'!$E$88:L88)))/$B$34),0)</f>
        <v>0.45</v>
      </c>
      <c r="K37" s="697" t="n">
        <f aca="false">IF($B$34&gt;0,(($B$34-IF('Project Assumptions'!$I$35="Normal",SUM('Debt Amortization'!$E$36:M36),SUM('Debt Amortization'!$E$88:M88)))/$B$34),0)</f>
        <v>0.25</v>
      </c>
      <c r="L37" s="697" t="n">
        <f aca="false">IF($B$34&gt;0,(($B$34-IF('Project Assumptions'!$I$35="Normal",SUM('Debt Amortization'!$E$36:N36),SUM('Debt Amortization'!$E$88:N88)))/$B$34),0)</f>
        <v>0</v>
      </c>
      <c r="M37" s="697" t="n">
        <f aca="false">IF($B$34&gt;0,(($B$34-IF('Project Assumptions'!$I$35="Normal",SUM('Debt Amortization'!$E$36:O36),SUM('Debt Amortization'!$E$88:O88)))/$B$34),0)</f>
        <v>0</v>
      </c>
      <c r="N37" s="697" t="n">
        <f aca="false">IF($B$34&gt;0,(($B$34-IF('Project Assumptions'!$I$35="Normal",SUM('Debt Amortization'!$E$36:P36),SUM('Debt Amortization'!$E$88:P88)))/$B$34),0)</f>
        <v>0</v>
      </c>
      <c r="O37" s="697" t="n">
        <f aca="false">IF($B$34&gt;0,(($B$34-IF('Project Assumptions'!$I$35="Normal",SUM('Debt Amortization'!$E$36:Q36),SUM('Debt Amortization'!$E$88:Q88)))/$B$34),0)</f>
        <v>0</v>
      </c>
      <c r="P37" s="697" t="n">
        <f aca="false">IF($B$34&gt;0,(($B$34-IF('Project Assumptions'!$I$35="Normal",SUM('Debt Amortization'!$E$36:R36),SUM('Debt Amortization'!$E$88:R88)))/$B$34),0)</f>
        <v>0</v>
      </c>
      <c r="Q37" s="697" t="n">
        <f aca="false">IF($B$34&gt;0,(($B$34-IF('Project Assumptions'!$I$35="Normal",SUM('Debt Amortization'!$E$36:S36),SUM('Debt Amortization'!$E$88:S88)))/$B$34),0)</f>
        <v>0</v>
      </c>
      <c r="R37" s="697" t="n">
        <f aca="false">IF($B$34&gt;0,(($B$34-IF('Project Assumptions'!$I$35="Normal",SUM('Debt Amortization'!$E$36:T36),SUM('Debt Amortization'!$E$88:T88)))/$B$34),0)</f>
        <v>0</v>
      </c>
      <c r="S37" s="697" t="n">
        <f aca="false">IF($B$34&gt;0,(($B$34-IF('Project Assumptions'!$I$35="Normal",SUM('Debt Amortization'!$E$36:U36),SUM('Debt Amortization'!$E$88:U88)))/$B$34),0)</f>
        <v>0</v>
      </c>
      <c r="T37" s="697" t="n">
        <f aca="false">IF($B$34&gt;0,(($B$34-IF('Project Assumptions'!$I$35="Normal",SUM('Debt Amortization'!$E$36:V36),SUM('Debt Amortization'!$E$88:V88)))/$B$34),0)</f>
        <v>0</v>
      </c>
      <c r="U37" s="697" t="n">
        <f aca="false">IF($B$34&gt;0,(($B$34-IF('Project Assumptions'!$I$35="Normal",SUM('Debt Amortization'!$E$36:W36),SUM('Debt Amortization'!$E$88:W88)))/$B$34),0)</f>
        <v>0</v>
      </c>
      <c r="V37" s="697" t="n">
        <f aca="false">IF($B$34&gt;0,(($B$34-IF('Project Assumptions'!$I$35="Normal",SUM('Debt Amortization'!$E$36:X36),SUM('Debt Amortization'!$E$88:X88)))/$B$34),0)</f>
        <v>0</v>
      </c>
      <c r="W37" s="697" t="n">
        <f aca="false">IF($B$34&gt;0,(($B$34-IF('Project Assumptions'!$I$35="Normal",SUM('Debt Amortization'!$E$36:Y36),SUM('Debt Amortization'!$E$88:Y88)))/$B$34),0)</f>
        <v>0</v>
      </c>
      <c r="X37" s="697" t="n">
        <f aca="false">IF($B$34&gt;0,(($B$34-IF('Project Assumptions'!$I$35="Normal",SUM('Debt Amortization'!$E$36:Z36),SUM('Debt Amortization'!$E$88:Z88)))/$B$34),0)</f>
        <v>0</v>
      </c>
      <c r="Y37" s="697" t="n">
        <f aca="false">IF($B$34&gt;0,(($B$34-IF('Project Assumptions'!$I$35="Normal",SUM('Debt Amortization'!$E$36:AA36),SUM('Debt Amortization'!$E$88:AA88)))/$B$34),0)</f>
        <v>0</v>
      </c>
      <c r="Z37" s="697" t="n">
        <f aca="false">IF($B$34&gt;0,(($B$34-IF('Project Assumptions'!$I$35="Normal",SUM('Debt Amortization'!$E$36:AB36),SUM('Debt Amortization'!$E$88:AB88)))/$B$34),0)</f>
        <v>0</v>
      </c>
      <c r="AA37" s="697" t="n">
        <f aca="false">IF($B$34&gt;0,(($B$34-IF('Project Assumptions'!$I$35="Normal",SUM('Debt Amortization'!$E$36:AC36),SUM('Debt Amortization'!$E$88:AC88)))/$B$34),0)</f>
        <v>0</v>
      </c>
      <c r="AB37" s="1"/>
    </row>
    <row r="38" customFormat="false" ht="11.25" hidden="false" customHeight="false" outlineLevel="0" collapsed="false">
      <c r="A38" s="412"/>
      <c r="B38" s="385"/>
      <c r="C38" s="385"/>
      <c r="D38" s="385"/>
      <c r="E38" s="385"/>
      <c r="F38" s="385"/>
      <c r="G38" s="385"/>
      <c r="H38" s="385"/>
      <c r="I38" s="385"/>
      <c r="J38" s="385"/>
      <c r="K38" s="385"/>
      <c r="L38" s="385"/>
      <c r="M38" s="385"/>
      <c r="N38" s="385"/>
      <c r="O38" s="385"/>
      <c r="P38" s="385"/>
      <c r="Q38" s="385"/>
      <c r="R38" s="385"/>
      <c r="S38" s="385"/>
      <c r="T38" s="385"/>
      <c r="U38" s="385"/>
      <c r="V38" s="385"/>
      <c r="W38" s="385"/>
      <c r="X38" s="385"/>
      <c r="Y38" s="385"/>
      <c r="Z38" s="385"/>
      <c r="AA38" s="416"/>
      <c r="AB38" s="1"/>
    </row>
    <row r="39" customFormat="false" ht="12.6" hidden="false" customHeight="true" outlineLevel="0" collapsed="false">
      <c r="A39" s="435" t="s">
        <v>246</v>
      </c>
      <c r="B39" s="438" t="str">
        <f aca="false">IF('Project Assumptions'!$I$35="Normal",'Debt Amortization'!B21,"N/A")</f>
        <v>N/A</v>
      </c>
      <c r="C39" s="767"/>
      <c r="D39" s="767"/>
      <c r="E39" s="767"/>
      <c r="F39" s="767"/>
      <c r="G39" s="767"/>
      <c r="H39" s="767"/>
      <c r="I39" s="767"/>
      <c r="J39" s="767"/>
      <c r="K39" s="767"/>
      <c r="L39" s="767"/>
      <c r="M39" s="767"/>
      <c r="N39" s="767"/>
      <c r="O39" s="767"/>
      <c r="P39" s="767"/>
      <c r="Q39" s="767"/>
      <c r="R39" s="767"/>
      <c r="S39" s="767"/>
      <c r="T39" s="767"/>
      <c r="U39" s="767"/>
      <c r="V39" s="767"/>
      <c r="W39" s="767"/>
      <c r="X39" s="767"/>
      <c r="Y39" s="767"/>
      <c r="Z39" s="767"/>
      <c r="AA39" s="768"/>
      <c r="AB39" s="1"/>
    </row>
    <row r="40" customFormat="false" ht="12.6" hidden="false" customHeight="true" outlineLevel="0" collapsed="false">
      <c r="A40" s="412" t="s">
        <v>547</v>
      </c>
      <c r="B40" s="385"/>
      <c r="C40" s="438" t="str">
        <f aca="false">IF('Project Assumptions'!$I$35="Normal",'Debt Amortization'!E45,"N/A")</f>
        <v>N/A</v>
      </c>
      <c r="D40" s="438" t="str">
        <f aca="false">IF('Project Assumptions'!$I$35="Normal",'Debt Amortization'!F45,"N/A")</f>
        <v>N/A</v>
      </c>
      <c r="E40" s="438" t="str">
        <f aca="false">IF('Project Assumptions'!$I$35="Normal",'Debt Amortization'!G45,"N/A")</f>
        <v>N/A</v>
      </c>
      <c r="F40" s="438" t="str">
        <f aca="false">IF('Project Assumptions'!$I$35="Normal",'Debt Amortization'!H45,"N/A")</f>
        <v>N/A</v>
      </c>
      <c r="G40" s="438" t="str">
        <f aca="false">IF('Project Assumptions'!$I$35="Normal",'Debt Amortization'!I45,"N/A")</f>
        <v>N/A</v>
      </c>
      <c r="H40" s="438" t="str">
        <f aca="false">IF('Project Assumptions'!$I$35="Normal",'Debt Amortization'!J45,"N/A")</f>
        <v>N/A</v>
      </c>
      <c r="I40" s="438" t="str">
        <f aca="false">IF('Project Assumptions'!$I$35="Normal",'Debt Amortization'!K45,"N/A")</f>
        <v>N/A</v>
      </c>
      <c r="J40" s="438" t="str">
        <f aca="false">IF('Project Assumptions'!$I$35="Normal",'Debt Amortization'!L45,"N/A")</f>
        <v>N/A</v>
      </c>
      <c r="K40" s="438" t="str">
        <f aca="false">IF('Project Assumptions'!$I$35="Normal",'Debt Amortization'!M45,"N/A")</f>
        <v>N/A</v>
      </c>
      <c r="L40" s="438" t="str">
        <f aca="false">IF('Project Assumptions'!$I$35="Normal",'Debt Amortization'!N45,"N/A")</f>
        <v>N/A</v>
      </c>
      <c r="M40" s="438" t="str">
        <f aca="false">IF('Project Assumptions'!$I$35="Normal",'Debt Amortization'!O45,"N/A")</f>
        <v>N/A</v>
      </c>
      <c r="N40" s="438" t="str">
        <f aca="false">IF('Project Assumptions'!$I$35="Normal",'Debt Amortization'!P45,"N/A")</f>
        <v>N/A</v>
      </c>
      <c r="O40" s="438" t="str">
        <f aca="false">IF('Project Assumptions'!$I$35="Normal",'Debt Amortization'!Q45,"N/A")</f>
        <v>N/A</v>
      </c>
      <c r="P40" s="438" t="str">
        <f aca="false">IF('Project Assumptions'!$I$35="Normal",'Debt Amortization'!R45,"N/A")</f>
        <v>N/A</v>
      </c>
      <c r="Q40" s="438" t="str">
        <f aca="false">IF('Project Assumptions'!$I$35="Normal",'Debt Amortization'!S45,"N/A")</f>
        <v>N/A</v>
      </c>
      <c r="R40" s="438" t="str">
        <f aca="false">IF('Project Assumptions'!$I$35="Normal",'Debt Amortization'!T45,"N/A")</f>
        <v>N/A</v>
      </c>
      <c r="S40" s="438" t="str">
        <f aca="false">IF('Project Assumptions'!$I$35="Normal",'Debt Amortization'!U45,"N/A")</f>
        <v>N/A</v>
      </c>
      <c r="T40" s="438" t="str">
        <f aca="false">IF('Project Assumptions'!$I$35="Normal",'Debt Amortization'!V45,"N/A")</f>
        <v>N/A</v>
      </c>
      <c r="U40" s="438" t="str">
        <f aca="false">IF('Project Assumptions'!$I$35="Normal",'Debt Amortization'!W45,"N/A")</f>
        <v>N/A</v>
      </c>
      <c r="V40" s="438" t="str">
        <f aca="false">IF('Project Assumptions'!$I$35="Normal",'Debt Amortization'!X45,"N/A")</f>
        <v>N/A</v>
      </c>
      <c r="W40" s="438" t="str">
        <f aca="false">IF('Project Assumptions'!$I$35="Normal",'Debt Amortization'!Y45,"N/A")</f>
        <v>N/A</v>
      </c>
      <c r="X40" s="438" t="str">
        <f aca="false">IF('Project Assumptions'!$I$35="Normal",'Debt Amortization'!Z45,"N/A")</f>
        <v>N/A</v>
      </c>
      <c r="Y40" s="438" t="str">
        <f aca="false">IF('Project Assumptions'!$I$35="Normal",'Debt Amortization'!AA45,"N/A")</f>
        <v>N/A</v>
      </c>
      <c r="Z40" s="438" t="str">
        <f aca="false">IF('Project Assumptions'!$I$35="Normal",'Debt Amortization'!AB45,"N/A")</f>
        <v>N/A</v>
      </c>
      <c r="AA40" s="439" t="str">
        <f aca="false">IF('Project Assumptions'!$I$35="Normal",'Debt Amortization'!AC45,"N/A")</f>
        <v>N/A</v>
      </c>
      <c r="AB40" s="1"/>
    </row>
    <row r="41" customFormat="false" ht="12.6" hidden="false" customHeight="true" outlineLevel="0" collapsed="false">
      <c r="A41" s="412" t="s">
        <v>548</v>
      </c>
      <c r="B41" s="385"/>
      <c r="C41" s="769" t="e">
        <f aca="false">+IF(C40&lt;1,"N/A",'Book Income Statement'!D61/C40)</f>
        <v>#VALUE!</v>
      </c>
      <c r="D41" s="769" t="e">
        <f aca="false">+IF(D40&lt;1,"N/A",'Book Income Statement'!E61/D40)</f>
        <v>#VALUE!</v>
      </c>
      <c r="E41" s="769" t="e">
        <f aca="false">+IF(E40&lt;1,"N/A",'Book Income Statement'!F61/E40)</f>
        <v>#VALUE!</v>
      </c>
      <c r="F41" s="769" t="e">
        <f aca="false">+IF(F40&lt;1,"N/A",'Book Income Statement'!G61/F40)</f>
        <v>#VALUE!</v>
      </c>
      <c r="G41" s="769" t="e">
        <f aca="false">+IF(G40&lt;1,"N/A",'Book Income Statement'!H61/G40)</f>
        <v>#VALUE!</v>
      </c>
      <c r="H41" s="769" t="e">
        <f aca="false">+IF(H40&lt;1,"N/A",'Book Income Statement'!I61/H40)</f>
        <v>#VALUE!</v>
      </c>
      <c r="I41" s="769" t="e">
        <f aca="false">+IF(I40&lt;1,"N/A",'Book Income Statement'!J61/I40)</f>
        <v>#VALUE!</v>
      </c>
      <c r="J41" s="769" t="e">
        <f aca="false">+IF(J40&lt;1,"N/A",'Book Income Statement'!K61/J40)</f>
        <v>#VALUE!</v>
      </c>
      <c r="K41" s="769" t="e">
        <f aca="false">+IF(K40&lt;1,"N/A",'Book Income Statement'!L61/K40)</f>
        <v>#VALUE!</v>
      </c>
      <c r="L41" s="769" t="e">
        <f aca="false">+IF(L40&lt;1,"N/A",'Book Income Statement'!M61/L40)</f>
        <v>#VALUE!</v>
      </c>
      <c r="M41" s="769" t="e">
        <f aca="false">+IF(M40&lt;1,"N/A",'Book Income Statement'!N61/M40)</f>
        <v>#VALUE!</v>
      </c>
      <c r="N41" s="769" t="e">
        <f aca="false">+IF(N40&lt;1,"N/A",'Book Income Statement'!O61/N40)</f>
        <v>#VALUE!</v>
      </c>
      <c r="O41" s="769" t="e">
        <f aca="false">+IF(O40&lt;1,"N/A",'Book Income Statement'!P61/O40)</f>
        <v>#VALUE!</v>
      </c>
      <c r="P41" s="769" t="e">
        <f aca="false">+IF(P40&lt;1,"N/A",'Book Income Statement'!Q61/P40)</f>
        <v>#VALUE!</v>
      </c>
      <c r="Q41" s="769" t="e">
        <f aca="false">+IF(Q40&lt;1,"N/A",'Book Income Statement'!R61/Q40)</f>
        <v>#VALUE!</v>
      </c>
      <c r="R41" s="769" t="e">
        <f aca="false">+IF(R40&lt;1,"N/A",'Book Income Statement'!S61/R40)</f>
        <v>#VALUE!</v>
      </c>
      <c r="S41" s="769" t="e">
        <f aca="false">+IF(S40&lt;1,"N/A",'Book Income Statement'!T61/S40)</f>
        <v>#VALUE!</v>
      </c>
      <c r="T41" s="769" t="e">
        <f aca="false">+IF(T40&lt;1,"N/A",'Book Income Statement'!U61/T40)</f>
        <v>#VALUE!</v>
      </c>
      <c r="U41" s="769" t="e">
        <f aca="false">+IF(U40&lt;1,"N/A",'Book Income Statement'!V61/U40)</f>
        <v>#VALUE!</v>
      </c>
      <c r="V41" s="769" t="e">
        <f aca="false">+IF(V40&lt;1,"N/A",'Book Income Statement'!W61/V40)</f>
        <v>#VALUE!</v>
      </c>
      <c r="W41" s="769" t="e">
        <f aca="false">+IF(W40&lt;1,"N/A",'Book Income Statement'!X61/W40)</f>
        <v>#VALUE!</v>
      </c>
      <c r="X41" s="769" t="e">
        <f aca="false">+IF(X40&lt;1,"N/A",'Book Income Statement'!Y61/X40)</f>
        <v>#VALUE!</v>
      </c>
      <c r="Y41" s="769" t="e">
        <f aca="false">+IF(Y40&lt;1,"N/A",'Book Income Statement'!Z61/Y40)</f>
        <v>#VALUE!</v>
      </c>
      <c r="Z41" s="769" t="e">
        <f aca="false">+IF(Z40&lt;1,"N/A",'Book Income Statement'!AA61/Z40)</f>
        <v>#VALUE!</v>
      </c>
      <c r="AA41" s="770" t="e">
        <f aca="false">+IF(AA40&lt;1,"N/A",'Book Income Statement'!AB61/AA40)</f>
        <v>#VALUE!</v>
      </c>
      <c r="AB41" s="1"/>
    </row>
    <row r="42" customFormat="false" ht="12.6" hidden="false" customHeight="true" outlineLevel="0" collapsed="false">
      <c r="A42" s="468" t="s">
        <v>545</v>
      </c>
      <c r="B42" s="772"/>
      <c r="C42" s="773" t="e">
        <f aca="false">IF($B$39&gt;0,(($B$39-IF('Project Assumptions'!$I$35="Normal",SUM('Debt Amortization'!$E$44:E44),0))/$B$39),0)</f>
        <v>#VALUE!</v>
      </c>
      <c r="D42" s="773" t="e">
        <f aca="false">IF($B$39&gt;0,(($B$39-IF('Project Assumptions'!$I$35="Normal",SUM('Debt Amortization'!$E$44:F44),0))/$B$39),0)</f>
        <v>#VALUE!</v>
      </c>
      <c r="E42" s="773" t="e">
        <f aca="false">IF($B$39&gt;0,(($B$39-IF('Project Assumptions'!$I$35="Normal",SUM('Debt Amortization'!$E$44:G44),0))/$B$39),0)</f>
        <v>#VALUE!</v>
      </c>
      <c r="F42" s="773" t="e">
        <f aca="false">IF($B$39&gt;0,(($B$39-IF('Project Assumptions'!$I$35="Normal",SUM('Debt Amortization'!$E$44:H44),0))/$B$39),0)</f>
        <v>#VALUE!</v>
      </c>
      <c r="G42" s="773" t="e">
        <f aca="false">IF($B$39&gt;0,(($B$39-IF('Project Assumptions'!$I$35="Normal",SUM('Debt Amortization'!$E$44:I44),0))/$B$39),0)</f>
        <v>#VALUE!</v>
      </c>
      <c r="H42" s="773" t="e">
        <f aca="false">IF($B$39&gt;0,(($B$39-IF('Project Assumptions'!$I$35="Normal",SUM('Debt Amortization'!$E$44:J44),0))/$B$39),0)</f>
        <v>#VALUE!</v>
      </c>
      <c r="I42" s="773" t="e">
        <f aca="false">IF($B$39&gt;0,(($B$39-IF('Project Assumptions'!$I$35="Normal",SUM('Debt Amortization'!$E$44:K44),0))/$B$39),0)</f>
        <v>#VALUE!</v>
      </c>
      <c r="J42" s="773" t="e">
        <f aca="false">IF($B$39&gt;0,(($B$39-IF('Project Assumptions'!$I$35="Normal",SUM('Debt Amortization'!$E$44:L44),0))/$B$39),0)</f>
        <v>#VALUE!</v>
      </c>
      <c r="K42" s="773" t="e">
        <f aca="false">IF($B$39&gt;0,(($B$39-IF('Project Assumptions'!$I$35="Normal",SUM('Debt Amortization'!$E$44:M44),0))/$B$39),0)</f>
        <v>#VALUE!</v>
      </c>
      <c r="L42" s="773" t="e">
        <f aca="false">IF($B$39&gt;0,(($B$39-IF('Project Assumptions'!$I$35="Normal",SUM('Debt Amortization'!$E$44:N44),0))/$B$39),0)</f>
        <v>#VALUE!</v>
      </c>
      <c r="M42" s="773" t="e">
        <f aca="false">IF($B$39&gt;0,(($B$39-IF('Project Assumptions'!$I$35="Normal",SUM('Debt Amortization'!$E$44:O44),0))/$B$39),0)</f>
        <v>#VALUE!</v>
      </c>
      <c r="N42" s="773" t="e">
        <f aca="false">IF($B$39&gt;0,(($B$39-IF('Project Assumptions'!$I$35="Normal",SUM('Debt Amortization'!$E$44:P44),0))/$B$39),0)</f>
        <v>#VALUE!</v>
      </c>
      <c r="O42" s="773" t="e">
        <f aca="false">IF($B$39&gt;0,(($B$39-IF('Project Assumptions'!$I$35="Normal",SUM('Debt Amortization'!$E$44:Q44),0))/$B$39),0)</f>
        <v>#VALUE!</v>
      </c>
      <c r="P42" s="773" t="e">
        <f aca="false">IF($B$39&gt;0,(($B$39-IF('Project Assumptions'!$I$35="Normal",SUM('Debt Amortization'!$E$44:R44),0))/$B$39),0)</f>
        <v>#VALUE!</v>
      </c>
      <c r="Q42" s="773" t="e">
        <f aca="false">IF($B$39&gt;0,(($B$39-IF('Project Assumptions'!$I$35="Normal",SUM('Debt Amortization'!$E$44:S44),0))/$B$39),0)</f>
        <v>#VALUE!</v>
      </c>
      <c r="R42" s="773" t="e">
        <f aca="false">IF($B$39&gt;0,(($B$39-IF('Project Assumptions'!$I$35="Normal",SUM('Debt Amortization'!$E$44:T44),0))/$B$39),0)</f>
        <v>#VALUE!</v>
      </c>
      <c r="S42" s="773" t="e">
        <f aca="false">IF($B$39&gt;0,(($B$39-IF('Project Assumptions'!$I$35="Normal",SUM('Debt Amortization'!$E$44:U44),0))/$B$39),0)</f>
        <v>#VALUE!</v>
      </c>
      <c r="T42" s="773" t="e">
        <f aca="false">IF($B$39&gt;0,(($B$39-IF('Project Assumptions'!$I$35="Normal",SUM('Debt Amortization'!$E$44:V44),0))/$B$39),0)</f>
        <v>#VALUE!</v>
      </c>
      <c r="U42" s="773" t="e">
        <f aca="false">IF($B$39&gt;0,(($B$39-IF('Project Assumptions'!$I$35="Normal",SUM('Debt Amortization'!$E$44:W44),0))/$B$39),0)</f>
        <v>#VALUE!</v>
      </c>
      <c r="V42" s="773" t="e">
        <f aca="false">IF($B$39&gt;0,(($B$39-IF('Project Assumptions'!$I$35="Normal",SUM('Debt Amortization'!$E$44:X44),0))/$B$39),0)</f>
        <v>#VALUE!</v>
      </c>
      <c r="W42" s="773" t="e">
        <f aca="false">IF($B$39&gt;0,(($B$39-IF('Project Assumptions'!$I$35="Normal",SUM('Debt Amortization'!$E$44:Y44),0))/$B$39),0)</f>
        <v>#VALUE!</v>
      </c>
      <c r="X42" s="773" t="e">
        <f aca="false">IF($B$39&gt;0,(($B$39-IF('Project Assumptions'!$I$35="Normal",SUM('Debt Amortization'!$E$44:Z44),0))/$B$39),0)</f>
        <v>#VALUE!</v>
      </c>
      <c r="Y42" s="773" t="e">
        <f aca="false">IF($B$39&gt;0,(($B$39-IF('Project Assumptions'!$I$35="Normal",SUM('Debt Amortization'!$E$44:AA44),0))/$B$39),0)</f>
        <v>#VALUE!</v>
      </c>
      <c r="Z42" s="773" t="e">
        <f aca="false">IF($B$39&gt;0,(($B$39-IF('Project Assumptions'!$I$35="Normal",SUM('Debt Amortization'!$E$44:AB44),0))/$B$39),0)</f>
        <v>#VALUE!</v>
      </c>
      <c r="AA42" s="774" t="e">
        <f aca="false">IF($B$39&gt;0,(($B$39-IF('Project Assumptions'!$I$35="Normal",SUM('Debt Amortization'!$E$44:AC44),0))/$B$39),0)</f>
        <v>#VALUE!</v>
      </c>
      <c r="AB42" s="1"/>
    </row>
    <row r="43" customFormat="false" ht="12.6" hidden="false" customHeight="true" outlineLevel="0" collapsed="false"/>
    <row r="44" customFormat="false" ht="12.6" hidden="false" customHeight="true" outlineLevel="0" collapsed="false"/>
    <row r="45" customFormat="false" ht="12.6" hidden="false" customHeight="true" outlineLevel="0" collapsed="false"/>
    <row r="46" customFormat="false" ht="12.6" hidden="false" customHeight="true" outlineLevel="0" collapsed="false"/>
    <row r="47" customFormat="false" ht="12.6" hidden="false" customHeight="true" outlineLevel="0" collapsed="false"/>
    <row r="48" customFormat="false" ht="12.6" hidden="false" customHeight="true" outlineLevel="0" collapsed="false"/>
    <row r="49" customFormat="false" ht="12.6" hidden="false" customHeight="true" outlineLevel="0" collapsed="false"/>
    <row r="87" customFormat="false" ht="12.6" hidden="false" customHeight="true" outlineLevel="0" collapsed="false">
      <c r="A87" s="1"/>
      <c r="B87" s="1"/>
      <c r="C87" s="560"/>
      <c r="D87" s="560"/>
      <c r="E87" s="560"/>
      <c r="F87" s="560"/>
      <c r="G87" s="560"/>
      <c r="H87" s="560"/>
      <c r="I87" s="560"/>
      <c r="J87" s="560"/>
      <c r="K87" s="560"/>
      <c r="L87" s="560"/>
      <c r="M87" s="560"/>
      <c r="N87" s="560"/>
      <c r="O87" s="560"/>
      <c r="P87" s="560"/>
      <c r="Q87" s="560"/>
      <c r="R87" s="560"/>
      <c r="S87" s="560"/>
      <c r="T87" s="560"/>
      <c r="U87" s="560"/>
      <c r="V87" s="560"/>
      <c r="W87" s="560"/>
      <c r="X87" s="560"/>
      <c r="Y87" s="560"/>
      <c r="Z87" s="560"/>
      <c r="AA87" s="560"/>
      <c r="AB87" s="1"/>
    </row>
    <row r="88" customFormat="false" ht="12.6" hidden="false" customHeight="true" outlineLevel="0" collapsed="false">
      <c r="A88" s="1"/>
      <c r="B88" s="1"/>
      <c r="C88" s="775"/>
      <c r="D88" s="775"/>
      <c r="E88" s="775"/>
      <c r="F88" s="775"/>
      <c r="G88" s="775"/>
      <c r="H88" s="775"/>
      <c r="I88" s="775"/>
      <c r="J88" s="775"/>
      <c r="K88" s="775"/>
      <c r="L88" s="775"/>
      <c r="M88" s="775"/>
      <c r="N88" s="775"/>
      <c r="O88" s="775"/>
      <c r="P88" s="775"/>
      <c r="Q88" s="775"/>
      <c r="R88" s="775"/>
      <c r="S88" s="775"/>
      <c r="T88" s="775"/>
      <c r="U88" s="775"/>
      <c r="V88" s="775"/>
      <c r="W88" s="775"/>
      <c r="X88" s="775"/>
      <c r="Y88" s="775"/>
      <c r="Z88" s="775"/>
      <c r="AA88" s="775"/>
      <c r="AB88" s="1"/>
    </row>
    <row r="89" customFormat="false" ht="12.6" hidden="false" customHeight="true" outlineLevel="0" collapsed="false">
      <c r="A89" s="1"/>
      <c r="B89" s="1"/>
      <c r="C89" s="560"/>
      <c r="D89" s="560"/>
      <c r="E89" s="560"/>
      <c r="F89" s="560"/>
      <c r="G89" s="560"/>
      <c r="H89" s="560"/>
      <c r="I89" s="560"/>
      <c r="J89" s="560"/>
      <c r="K89" s="560"/>
      <c r="L89" s="560"/>
      <c r="M89" s="560"/>
      <c r="N89" s="560"/>
      <c r="O89" s="560"/>
      <c r="P89" s="560"/>
      <c r="Q89" s="560"/>
      <c r="R89" s="560"/>
      <c r="S89" s="560"/>
      <c r="T89" s="560"/>
      <c r="U89" s="560"/>
      <c r="V89" s="560"/>
      <c r="W89" s="560"/>
      <c r="X89" s="560"/>
      <c r="Y89" s="560"/>
      <c r="Z89" s="560"/>
      <c r="AA89" s="560"/>
      <c r="AB89" s="1"/>
    </row>
    <row r="90" customFormat="false" ht="12.6" hidden="false" customHeight="true" outlineLevel="0" collapsed="false">
      <c r="A90" s="1"/>
      <c r="B90" s="1"/>
      <c r="C90" s="775"/>
      <c r="D90" s="775"/>
      <c r="E90" s="775"/>
      <c r="F90" s="775"/>
      <c r="G90" s="775"/>
      <c r="H90" s="775"/>
      <c r="I90" s="775"/>
      <c r="J90" s="775"/>
      <c r="K90" s="775"/>
      <c r="L90" s="775"/>
      <c r="M90" s="775"/>
      <c r="N90" s="775"/>
      <c r="O90" s="775"/>
      <c r="P90" s="775"/>
      <c r="Q90" s="775"/>
      <c r="R90" s="775"/>
      <c r="S90" s="775"/>
      <c r="T90" s="775"/>
      <c r="U90" s="775"/>
      <c r="V90" s="775"/>
      <c r="W90" s="775"/>
      <c r="X90" s="775"/>
      <c r="Y90" s="775"/>
      <c r="Z90" s="775"/>
      <c r="AA90" s="775"/>
      <c r="AB90" s="1"/>
    </row>
    <row r="91" customFormat="false" ht="12.75" hidden="false" customHeight="false" outlineLevel="0" collapsed="false">
      <c r="C91" s="776"/>
      <c r="D91" s="776"/>
      <c r="E91" s="776"/>
      <c r="F91" s="776"/>
      <c r="G91" s="776"/>
      <c r="H91" s="776"/>
      <c r="I91" s="776"/>
      <c r="J91" s="776"/>
      <c r="K91" s="776"/>
      <c r="L91" s="776"/>
      <c r="M91" s="776"/>
      <c r="N91" s="776"/>
      <c r="O91" s="776"/>
      <c r="P91" s="776"/>
      <c r="Q91" s="776"/>
      <c r="R91" s="776"/>
      <c r="S91" s="776"/>
      <c r="T91" s="776"/>
      <c r="U91" s="776"/>
      <c r="V91" s="776"/>
      <c r="W91" s="776"/>
      <c r="X91" s="776"/>
      <c r="Y91" s="776"/>
      <c r="Z91" s="776"/>
      <c r="AA91" s="776"/>
    </row>
    <row r="93" customFormat="false" ht="12.75" hidden="false" customHeight="false" outlineLevel="0" collapsed="false">
      <c r="C93" s="776"/>
      <c r="D93" s="776"/>
      <c r="E93" s="776"/>
      <c r="F93" s="776"/>
      <c r="G93" s="776"/>
      <c r="H93" s="776"/>
      <c r="I93" s="776"/>
      <c r="J93" s="776"/>
      <c r="K93" s="776"/>
      <c r="L93" s="776"/>
      <c r="M93" s="776"/>
      <c r="N93" s="776"/>
      <c r="O93" s="776"/>
      <c r="P93" s="776"/>
      <c r="Q93" s="776"/>
      <c r="R93" s="776"/>
      <c r="S93" s="776"/>
      <c r="T93" s="776"/>
      <c r="U93" s="776"/>
      <c r="V93" s="776"/>
      <c r="W93" s="776"/>
      <c r="X93" s="776"/>
      <c r="Y93" s="776"/>
      <c r="Z93" s="776"/>
      <c r="AA93" s="776"/>
    </row>
    <row r="96" customFormat="false" ht="12.6" hidden="false" customHeight="true" outlineLevel="0" collapsed="false"/>
    <row r="97" customFormat="false" ht="12.6" hidden="false" customHeight="true" outlineLevel="0" collapsed="false"/>
    <row r="131" customFormat="false" ht="12.6" hidden="false" customHeight="true" outlineLevel="0" collapsed="false">
      <c r="A131" s="1"/>
      <c r="B131" s="1"/>
      <c r="C131" s="410"/>
      <c r="D131" s="410"/>
      <c r="E131" s="410"/>
      <c r="F131" s="410"/>
      <c r="G131" s="410"/>
      <c r="H131" s="410"/>
      <c r="I131" s="410"/>
      <c r="J131" s="410"/>
      <c r="K131" s="410"/>
      <c r="L131" s="410"/>
      <c r="M131" s="410"/>
      <c r="N131" s="410"/>
      <c r="O131" s="410"/>
      <c r="P131" s="410"/>
      <c r="Q131" s="410"/>
      <c r="R131" s="410"/>
      <c r="S131" s="410"/>
      <c r="T131" s="410"/>
      <c r="U131" s="410"/>
      <c r="V131" s="410"/>
      <c r="W131" s="410"/>
      <c r="X131" s="410"/>
      <c r="Y131" s="410"/>
      <c r="Z131" s="410"/>
      <c r="AA131" s="410"/>
      <c r="AB131" s="1"/>
    </row>
    <row r="132" customFormat="false" ht="12.6" hidden="false" customHeight="true" outlineLevel="0" collapsed="false">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customFormat="false" ht="12.6" hidden="false" customHeight="true" outlineLevel="0" collapsed="false">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customFormat="false" ht="15.75" hidden="false" customHeight="false" outlineLevel="0" collapsed="false">
      <c r="A134" s="777"/>
      <c r="B134" s="385"/>
      <c r="C134" s="385"/>
      <c r="D134" s="385"/>
      <c r="E134" s="385"/>
      <c r="F134" s="385"/>
      <c r="G134" s="385"/>
      <c r="H134" s="385"/>
      <c r="I134" s="385"/>
      <c r="J134" s="385"/>
      <c r="K134" s="385"/>
      <c r="L134" s="385"/>
      <c r="M134" s="385"/>
      <c r="N134" s="385"/>
      <c r="O134" s="385"/>
      <c r="P134" s="385"/>
      <c r="Q134" s="385"/>
      <c r="R134" s="385"/>
      <c r="S134" s="385"/>
      <c r="T134" s="385"/>
      <c r="U134" s="385"/>
      <c r="V134" s="385"/>
      <c r="W134" s="385"/>
      <c r="X134" s="385"/>
      <c r="Y134" s="385"/>
      <c r="Z134" s="385"/>
      <c r="AA134" s="385"/>
      <c r="AB134" s="385"/>
    </row>
    <row r="135" customFormat="false" ht="12.6" hidden="false" customHeight="true" outlineLevel="0" collapsed="false">
      <c r="A135" s="1"/>
      <c r="B135" s="1"/>
      <c r="C135" s="775"/>
      <c r="D135" s="775"/>
      <c r="E135" s="775"/>
      <c r="F135" s="775"/>
      <c r="G135" s="775"/>
      <c r="H135" s="775"/>
      <c r="I135" s="775"/>
      <c r="J135" s="775"/>
      <c r="K135" s="775"/>
      <c r="L135" s="775"/>
      <c r="M135" s="775"/>
      <c r="N135" s="775"/>
      <c r="O135" s="775"/>
      <c r="P135" s="775"/>
      <c r="Q135" s="775"/>
      <c r="R135" s="775"/>
      <c r="S135" s="775"/>
      <c r="T135" s="775"/>
      <c r="U135" s="775"/>
      <c r="V135" s="775"/>
      <c r="W135" s="775"/>
      <c r="X135" s="775"/>
      <c r="Y135" s="775"/>
      <c r="Z135" s="775"/>
      <c r="AA135" s="775"/>
      <c r="AB135" s="1"/>
    </row>
    <row r="136" customFormat="false" ht="12.6" hidden="false" customHeight="true" outlineLevel="0" collapsed="false">
      <c r="A136" s="1"/>
      <c r="B136" s="1"/>
      <c r="C136" s="775"/>
      <c r="D136" s="775"/>
      <c r="E136" s="775"/>
      <c r="F136" s="775"/>
      <c r="G136" s="775"/>
      <c r="H136" s="775"/>
      <c r="I136" s="775"/>
      <c r="J136" s="775"/>
      <c r="K136" s="775"/>
      <c r="L136" s="775"/>
      <c r="M136" s="775"/>
      <c r="N136" s="775"/>
      <c r="O136" s="775"/>
      <c r="P136" s="775"/>
      <c r="Q136" s="775"/>
      <c r="R136" s="775"/>
      <c r="S136" s="775"/>
      <c r="T136" s="775"/>
      <c r="U136" s="775"/>
      <c r="V136" s="775"/>
      <c r="W136" s="775"/>
      <c r="X136" s="775"/>
      <c r="Y136" s="775"/>
      <c r="Z136" s="775"/>
      <c r="AA136" s="775"/>
      <c r="AB136" s="1"/>
    </row>
    <row r="137" customFormat="false" ht="12.6" hidden="false" customHeight="true" outlineLevel="0" collapsed="false">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customFormat="false" ht="12.6" hidden="false" customHeight="true" outlineLevel="0" collapsed="false">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customFormat="false" ht="12.6" hidden="false" customHeight="true" outlineLevel="0" collapsed="false">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customFormat="false" ht="12.6" hidden="false" customHeight="true" outlineLevel="0" collapsed="false">
      <c r="A140" s="430"/>
      <c r="B140" s="450"/>
      <c r="C140" s="418"/>
      <c r="D140" s="445"/>
      <c r="E140" s="445"/>
      <c r="F140" s="445"/>
      <c r="G140" s="445"/>
      <c r="H140" s="445"/>
      <c r="I140" s="445"/>
      <c r="J140" s="445"/>
      <c r="K140" s="445"/>
      <c r="L140" s="445"/>
      <c r="M140" s="445"/>
      <c r="N140" s="445"/>
      <c r="O140" s="445"/>
      <c r="P140" s="445"/>
      <c r="Q140" s="445"/>
      <c r="R140" s="445"/>
      <c r="S140" s="445"/>
      <c r="T140" s="445"/>
      <c r="U140" s="445"/>
      <c r="V140" s="445"/>
      <c r="W140" s="445"/>
      <c r="X140" s="445"/>
      <c r="Y140" s="445"/>
      <c r="Z140" s="445"/>
      <c r="AA140" s="445"/>
      <c r="AB140" s="445"/>
    </row>
    <row r="141" customFormat="false" ht="12.6" hidden="false" customHeight="true" outlineLevel="0" collapsed="false">
      <c r="A141" s="566"/>
      <c r="B141" s="329"/>
      <c r="C141" s="418"/>
      <c r="D141" s="418"/>
      <c r="E141" s="418"/>
      <c r="F141" s="418"/>
      <c r="G141" s="418"/>
      <c r="H141" s="418"/>
      <c r="I141" s="418"/>
      <c r="J141" s="418"/>
      <c r="K141" s="418"/>
      <c r="L141" s="418"/>
      <c r="M141" s="418"/>
      <c r="N141" s="418"/>
      <c r="O141" s="418"/>
      <c r="P141" s="418"/>
      <c r="Q141" s="418"/>
      <c r="R141" s="418"/>
      <c r="S141" s="418"/>
      <c r="T141" s="418"/>
      <c r="U141" s="418"/>
      <c r="V141" s="418"/>
      <c r="W141" s="418"/>
      <c r="X141" s="418"/>
      <c r="Y141" s="418"/>
      <c r="Z141" s="418"/>
      <c r="AA141" s="418"/>
      <c r="AB141" s="418"/>
      <c r="AC141" s="509"/>
      <c r="AD141" s="509"/>
      <c r="AE141" s="509"/>
      <c r="AF141" s="509"/>
      <c r="AG141" s="509"/>
      <c r="AH141" s="509"/>
      <c r="AI141" s="509"/>
      <c r="AJ141" s="509"/>
      <c r="AK141" s="509"/>
      <c r="AL141" s="509"/>
      <c r="AM141" s="509"/>
      <c r="AN141" s="509"/>
      <c r="AO141" s="509"/>
      <c r="AP141" s="509"/>
      <c r="AQ141" s="509"/>
      <c r="AR141" s="509"/>
      <c r="AS141" s="509"/>
      <c r="AT141" s="509"/>
      <c r="AU141" s="509"/>
      <c r="AV141" s="509"/>
      <c r="AW141" s="509"/>
      <c r="AX141" s="509"/>
      <c r="AY141" s="509"/>
      <c r="AZ141" s="509"/>
      <c r="BA141" s="509"/>
      <c r="BB141" s="509"/>
      <c r="BC141" s="509"/>
      <c r="BD141" s="509"/>
      <c r="BE141" s="509"/>
      <c r="BF141" s="509"/>
      <c r="BG141" s="509"/>
      <c r="BH141" s="509"/>
      <c r="BI141" s="509"/>
      <c r="BJ141" s="509"/>
      <c r="BK141" s="509"/>
      <c r="BL141" s="509"/>
      <c r="BM141" s="509"/>
      <c r="BN141" s="509"/>
      <c r="BO141" s="509"/>
      <c r="BP141" s="509"/>
      <c r="BQ141" s="509"/>
      <c r="BR141" s="509"/>
      <c r="BS141" s="509"/>
      <c r="BT141" s="509"/>
      <c r="BU141" s="509"/>
      <c r="BV141" s="509"/>
      <c r="BW141" s="509"/>
      <c r="BX141" s="509"/>
      <c r="BY141" s="509"/>
      <c r="BZ141" s="509"/>
      <c r="CA141" s="509"/>
      <c r="CB141" s="509"/>
      <c r="CC141" s="509"/>
      <c r="CD141" s="509"/>
      <c r="CE141" s="509"/>
      <c r="CF141" s="509"/>
      <c r="CG141" s="509"/>
      <c r="CH141" s="509"/>
      <c r="CI141" s="509"/>
      <c r="CJ141" s="509"/>
      <c r="CK141" s="509"/>
      <c r="CL141" s="509"/>
      <c r="CM141" s="509"/>
      <c r="CN141" s="509"/>
      <c r="CO141" s="509"/>
      <c r="CP141" s="509"/>
      <c r="CQ141" s="509"/>
      <c r="CR141" s="509"/>
      <c r="CS141" s="509"/>
      <c r="CT141" s="509"/>
      <c r="CU141" s="509"/>
      <c r="CV141" s="509"/>
      <c r="CW141" s="509"/>
      <c r="CX141" s="509"/>
      <c r="CY141" s="509"/>
      <c r="CZ141" s="509"/>
      <c r="DA141" s="509"/>
      <c r="DB141" s="509"/>
      <c r="DC141" s="509"/>
      <c r="DD141" s="509"/>
      <c r="DE141" s="509"/>
      <c r="DF141" s="509"/>
      <c r="DG141" s="509"/>
      <c r="DH141" s="509"/>
      <c r="DI141" s="509"/>
      <c r="DJ141" s="509"/>
      <c r="DK141" s="509"/>
      <c r="DL141" s="509"/>
      <c r="DM141" s="509"/>
      <c r="DN141" s="509"/>
      <c r="DO141" s="509"/>
      <c r="DP141" s="509"/>
      <c r="DQ141" s="509"/>
      <c r="DR141" s="509"/>
      <c r="DS141" s="509"/>
      <c r="DT141" s="509"/>
      <c r="DU141" s="509"/>
      <c r="DV141" s="509"/>
      <c r="DW141" s="509"/>
      <c r="DX141" s="509"/>
      <c r="DY141" s="509"/>
      <c r="DZ141" s="509"/>
      <c r="EA141" s="509"/>
      <c r="EB141" s="509"/>
      <c r="EC141" s="509"/>
      <c r="ED141" s="509"/>
      <c r="EE141" s="509"/>
      <c r="EF141" s="509"/>
      <c r="EG141" s="509"/>
      <c r="EH141" s="509"/>
      <c r="EI141" s="509"/>
      <c r="EJ141" s="509"/>
      <c r="EK141" s="509"/>
      <c r="EL141" s="509"/>
      <c r="EM141" s="509"/>
      <c r="EN141" s="509"/>
      <c r="EO141" s="509"/>
      <c r="EP141" s="509"/>
      <c r="EQ141" s="509"/>
      <c r="ER141" s="509"/>
      <c r="ES141" s="509"/>
      <c r="ET141" s="509"/>
      <c r="EU141" s="509"/>
      <c r="EV141" s="509"/>
      <c r="EW141" s="509"/>
      <c r="EX141" s="509"/>
      <c r="EY141" s="509"/>
      <c r="EZ141" s="509"/>
      <c r="FA141" s="509"/>
      <c r="FB141" s="509"/>
      <c r="FC141" s="509"/>
      <c r="FD141" s="509"/>
      <c r="FE141" s="509"/>
      <c r="FF141" s="509"/>
      <c r="FG141" s="509"/>
      <c r="FH141" s="509"/>
      <c r="FI141" s="509"/>
      <c r="FJ141" s="509"/>
      <c r="FK141" s="509"/>
      <c r="FL141" s="509"/>
      <c r="FM141" s="509"/>
      <c r="FN141" s="509"/>
      <c r="FO141" s="509"/>
      <c r="FP141" s="509"/>
      <c r="FQ141" s="509"/>
      <c r="FR141" s="509"/>
      <c r="FS141" s="509"/>
      <c r="FT141" s="509"/>
      <c r="FU141" s="509"/>
      <c r="FV141" s="509"/>
      <c r="FW141" s="509"/>
      <c r="FX141" s="509"/>
      <c r="FY141" s="509"/>
      <c r="FZ141" s="509"/>
      <c r="GA141" s="509"/>
      <c r="GB141" s="509"/>
      <c r="GC141" s="509"/>
      <c r="GD141" s="509"/>
      <c r="GE141" s="509"/>
      <c r="GF141" s="509"/>
      <c r="GG141" s="509"/>
      <c r="GH141" s="509"/>
      <c r="GI141" s="509"/>
      <c r="GJ141" s="509"/>
      <c r="GK141" s="509"/>
      <c r="GL141" s="509"/>
      <c r="GM141" s="509"/>
      <c r="GN141" s="509"/>
      <c r="GO141" s="509"/>
      <c r="GP141" s="509"/>
      <c r="GQ141" s="509"/>
      <c r="GR141" s="509"/>
      <c r="GS141" s="509"/>
      <c r="GT141" s="509"/>
      <c r="GU141" s="509"/>
      <c r="GV141" s="509"/>
      <c r="GW141" s="509"/>
      <c r="GX141" s="509"/>
      <c r="GY141" s="509"/>
      <c r="GZ141" s="509"/>
      <c r="HA141" s="509"/>
      <c r="HB141" s="509"/>
      <c r="HC141" s="509"/>
      <c r="HD141" s="509"/>
      <c r="HE141" s="509"/>
      <c r="HF141" s="509"/>
      <c r="HG141" s="509"/>
      <c r="HH141" s="509"/>
      <c r="HI141" s="509"/>
      <c r="HJ141" s="509"/>
      <c r="HK141" s="509"/>
      <c r="HL141" s="509"/>
      <c r="HM141" s="509"/>
      <c r="HN141" s="509"/>
      <c r="HO141" s="509"/>
      <c r="HP141" s="509"/>
      <c r="HQ141" s="509"/>
      <c r="HR141" s="509"/>
      <c r="HS141" s="509"/>
      <c r="HT141" s="509"/>
      <c r="HU141" s="509"/>
    </row>
    <row r="142" customFormat="false" ht="12.6" hidden="false" customHeight="true" outlineLevel="0" collapsed="false">
      <c r="A142" s="566"/>
      <c r="B142" s="329"/>
      <c r="C142" s="377"/>
      <c r="D142" s="377"/>
      <c r="E142" s="377"/>
      <c r="F142" s="377"/>
      <c r="G142" s="377"/>
      <c r="H142" s="377"/>
      <c r="I142" s="377"/>
      <c r="J142" s="377"/>
      <c r="K142" s="377"/>
      <c r="L142" s="377"/>
      <c r="M142" s="377"/>
      <c r="N142" s="377"/>
      <c r="O142" s="377"/>
      <c r="P142" s="377"/>
      <c r="Q142" s="377"/>
      <c r="R142" s="377"/>
      <c r="S142" s="377"/>
      <c r="T142" s="377"/>
      <c r="U142" s="377"/>
      <c r="V142" s="377"/>
      <c r="W142" s="377"/>
      <c r="X142" s="377"/>
      <c r="Y142" s="377"/>
      <c r="Z142" s="377"/>
      <c r="AA142" s="377"/>
      <c r="AB142" s="418"/>
    </row>
    <row r="143" customFormat="false" ht="12.6" hidden="false" customHeight="true" outlineLevel="0" collapsed="false">
      <c r="A143" s="1"/>
      <c r="B143" s="1"/>
      <c r="C143" s="410"/>
      <c r="D143" s="410"/>
      <c r="E143" s="410"/>
      <c r="F143" s="410"/>
      <c r="G143" s="410"/>
      <c r="H143" s="410"/>
      <c r="I143" s="410"/>
      <c r="J143" s="410"/>
      <c r="K143" s="410"/>
      <c r="L143" s="410"/>
      <c r="M143" s="410"/>
      <c r="N143" s="410"/>
      <c r="O143" s="410"/>
      <c r="P143" s="410"/>
      <c r="Q143" s="410"/>
      <c r="R143" s="410"/>
      <c r="S143" s="410"/>
      <c r="T143" s="410"/>
      <c r="U143" s="410"/>
      <c r="V143" s="410"/>
      <c r="W143" s="410"/>
      <c r="X143" s="410"/>
      <c r="Y143" s="410"/>
      <c r="Z143" s="410"/>
      <c r="AA143" s="410"/>
      <c r="AB143" s="1"/>
    </row>
    <row r="144" customFormat="false" ht="12.6" hidden="false" customHeight="true" outlineLevel="0" collapsed="false">
      <c r="A144" s="1"/>
      <c r="B144" s="1"/>
      <c r="C144" s="391"/>
      <c r="D144" s="391"/>
      <c r="E144" s="391"/>
      <c r="F144" s="391"/>
      <c r="G144" s="391"/>
      <c r="H144" s="391"/>
      <c r="I144" s="391"/>
      <c r="J144" s="391"/>
      <c r="K144" s="391"/>
      <c r="L144" s="391"/>
      <c r="M144" s="391"/>
      <c r="N144" s="391"/>
      <c r="O144" s="391"/>
      <c r="P144" s="391"/>
      <c r="Q144" s="391"/>
      <c r="R144" s="391"/>
      <c r="S144" s="391"/>
      <c r="T144" s="391"/>
      <c r="U144" s="391"/>
      <c r="V144" s="391"/>
      <c r="W144" s="391"/>
      <c r="X144" s="391"/>
      <c r="Y144" s="391"/>
      <c r="Z144" s="391"/>
      <c r="AA144" s="391"/>
      <c r="AB144" s="1"/>
    </row>
    <row r="145" customFormat="false" ht="12.6" hidden="false" customHeight="true" outlineLevel="0" collapsed="false">
      <c r="A145" s="430"/>
      <c r="B145" s="418"/>
      <c r="C145" s="377"/>
      <c r="D145" s="377"/>
      <c r="E145" s="377"/>
      <c r="F145" s="377"/>
      <c r="G145" s="377"/>
      <c r="H145" s="377"/>
      <c r="I145" s="377"/>
      <c r="J145" s="377"/>
      <c r="K145" s="377"/>
      <c r="L145" s="377"/>
      <c r="M145" s="377"/>
      <c r="N145" s="377"/>
      <c r="O145" s="377"/>
      <c r="P145" s="377"/>
      <c r="Q145" s="377"/>
      <c r="R145" s="377"/>
      <c r="S145" s="377"/>
      <c r="T145" s="377"/>
      <c r="U145" s="377"/>
      <c r="V145" s="377"/>
      <c r="W145" s="377"/>
      <c r="X145" s="377"/>
      <c r="Y145" s="377"/>
      <c r="Z145" s="377"/>
      <c r="AA145" s="377"/>
      <c r="AB145" s="418"/>
    </row>
    <row r="146" customFormat="false" ht="15.75" hidden="false" customHeight="false" outlineLevel="0" collapsed="false">
      <c r="A146" s="777"/>
      <c r="B146" s="385"/>
      <c r="C146" s="385"/>
      <c r="D146" s="385"/>
      <c r="E146" s="385"/>
      <c r="F146" s="385"/>
      <c r="G146" s="385"/>
      <c r="H146" s="385"/>
      <c r="I146" s="385"/>
      <c r="J146" s="385"/>
      <c r="K146" s="385"/>
      <c r="L146" s="385"/>
      <c r="M146" s="385"/>
      <c r="N146" s="385"/>
      <c r="O146" s="385"/>
      <c r="P146" s="385"/>
      <c r="Q146" s="385"/>
      <c r="R146" s="385"/>
      <c r="S146" s="385"/>
      <c r="T146" s="385"/>
      <c r="U146" s="385"/>
      <c r="V146" s="385"/>
      <c r="W146" s="385"/>
      <c r="X146" s="385"/>
      <c r="Y146" s="385"/>
      <c r="Z146" s="385"/>
      <c r="AA146" s="385"/>
      <c r="AB146" s="385"/>
    </row>
    <row r="147" customFormat="false" ht="12.6" hidden="false" customHeight="true" outlineLevel="0" collapsed="false">
      <c r="A147" s="1"/>
      <c r="B147" s="1"/>
      <c r="C147" s="410"/>
      <c r="D147" s="410"/>
      <c r="E147" s="410"/>
      <c r="F147" s="410"/>
      <c r="G147" s="410"/>
      <c r="H147" s="410"/>
      <c r="I147" s="410"/>
      <c r="J147" s="410"/>
      <c r="K147" s="410"/>
      <c r="L147" s="410"/>
      <c r="M147" s="410"/>
      <c r="N147" s="410"/>
      <c r="O147" s="410"/>
      <c r="P147" s="410"/>
      <c r="Q147" s="410"/>
      <c r="R147" s="410"/>
      <c r="S147" s="410"/>
      <c r="T147" s="410"/>
      <c r="U147" s="410"/>
      <c r="V147" s="410"/>
      <c r="W147" s="410"/>
      <c r="X147" s="410"/>
      <c r="Y147" s="410"/>
      <c r="Z147" s="410"/>
      <c r="AA147" s="410"/>
      <c r="AB147" s="1"/>
    </row>
    <row r="148" customFormat="false" ht="12.6" hidden="false" customHeight="true" outlineLevel="0" collapsed="false">
      <c r="A148" s="1"/>
      <c r="B148" s="1"/>
      <c r="C148" s="410"/>
      <c r="D148" s="410"/>
      <c r="E148" s="410"/>
      <c r="F148" s="410"/>
      <c r="G148" s="410"/>
      <c r="H148" s="410"/>
      <c r="I148" s="410"/>
      <c r="J148" s="410"/>
      <c r="K148" s="410"/>
      <c r="L148" s="410"/>
      <c r="M148" s="410"/>
      <c r="N148" s="410"/>
      <c r="O148" s="410"/>
      <c r="P148" s="410"/>
      <c r="Q148" s="410"/>
      <c r="R148" s="410"/>
      <c r="S148" s="410"/>
      <c r="T148" s="410"/>
      <c r="U148" s="410"/>
      <c r="V148" s="410"/>
      <c r="W148" s="410"/>
      <c r="X148" s="410"/>
      <c r="Y148" s="410"/>
      <c r="Z148" s="410"/>
      <c r="AA148" s="410"/>
      <c r="AB148" s="1"/>
    </row>
    <row r="149" customFormat="false" ht="12.6" hidden="false" customHeight="true" outlineLevel="0" collapsed="false">
      <c r="A149" s="1"/>
      <c r="B149" s="1"/>
      <c r="C149" s="410"/>
      <c r="D149" s="410"/>
      <c r="E149" s="410"/>
      <c r="F149" s="410"/>
      <c r="G149" s="410"/>
      <c r="H149" s="410"/>
      <c r="I149" s="410"/>
      <c r="J149" s="410"/>
      <c r="K149" s="410"/>
      <c r="L149" s="410"/>
      <c r="M149" s="410"/>
      <c r="N149" s="410"/>
      <c r="O149" s="410"/>
      <c r="P149" s="410"/>
      <c r="Q149" s="410"/>
      <c r="R149" s="410"/>
      <c r="S149" s="410"/>
      <c r="T149" s="410"/>
      <c r="U149" s="410"/>
      <c r="V149" s="410"/>
      <c r="W149" s="410"/>
      <c r="X149" s="410"/>
      <c r="Y149" s="410"/>
      <c r="Z149" s="410"/>
      <c r="AA149" s="410"/>
      <c r="AB149" s="1"/>
    </row>
    <row r="150" customFormat="false" ht="15.75" hidden="false" customHeight="false" outlineLevel="0" collapsed="false">
      <c r="A150" s="777"/>
      <c r="B150" s="385"/>
      <c r="C150" s="385"/>
      <c r="D150" s="385"/>
      <c r="E150" s="385"/>
      <c r="F150" s="385"/>
      <c r="G150" s="385"/>
      <c r="H150" s="385"/>
      <c r="I150" s="385"/>
      <c r="J150" s="385"/>
      <c r="K150" s="385"/>
      <c r="L150" s="385"/>
      <c r="M150" s="385"/>
      <c r="N150" s="385"/>
      <c r="O150" s="385"/>
      <c r="P150" s="385"/>
      <c r="Q150" s="385"/>
      <c r="R150" s="385"/>
      <c r="S150" s="385"/>
      <c r="T150" s="385"/>
      <c r="U150" s="385"/>
      <c r="V150" s="385"/>
      <c r="W150" s="385"/>
      <c r="X150" s="385"/>
      <c r="Y150" s="385"/>
      <c r="Z150" s="385"/>
      <c r="AA150" s="385"/>
      <c r="AB150" s="385"/>
    </row>
    <row r="151" customFormat="false" ht="12.6" hidden="false" customHeight="true" outlineLevel="0" collapsed="false">
      <c r="A151" s="430"/>
      <c r="B151" s="418"/>
      <c r="C151" s="377"/>
      <c r="D151" s="377"/>
      <c r="E151" s="377"/>
      <c r="F151" s="377"/>
      <c r="G151" s="377"/>
      <c r="H151" s="377"/>
      <c r="I151" s="377"/>
      <c r="J151" s="377"/>
      <c r="K151" s="377"/>
      <c r="L151" s="377"/>
      <c r="M151" s="377"/>
      <c r="N151" s="377"/>
      <c r="O151" s="377"/>
      <c r="P151" s="377"/>
      <c r="Q151" s="377"/>
      <c r="R151" s="377"/>
      <c r="S151" s="377"/>
      <c r="T151" s="377"/>
      <c r="U151" s="377"/>
      <c r="V151" s="377"/>
      <c r="W151" s="377"/>
      <c r="X151" s="377"/>
      <c r="Y151" s="377"/>
      <c r="Z151" s="377"/>
      <c r="AA151" s="377"/>
      <c r="AB151" s="418"/>
    </row>
    <row r="152" customFormat="false" ht="12.6" hidden="false" customHeight="true" outlineLevel="0" collapsed="false">
      <c r="A152" s="430"/>
      <c r="B152" s="418"/>
      <c r="C152" s="377"/>
      <c r="D152" s="377"/>
      <c r="E152" s="377"/>
      <c r="F152" s="377"/>
      <c r="G152" s="377"/>
      <c r="H152" s="377"/>
      <c r="I152" s="377"/>
      <c r="J152" s="377"/>
      <c r="K152" s="377"/>
      <c r="L152" s="377"/>
      <c r="M152" s="377"/>
      <c r="N152" s="377"/>
      <c r="O152" s="377"/>
      <c r="P152" s="377"/>
      <c r="Q152" s="377"/>
      <c r="R152" s="377"/>
      <c r="S152" s="377"/>
      <c r="T152" s="377"/>
      <c r="U152" s="377"/>
      <c r="V152" s="377"/>
      <c r="W152" s="377"/>
      <c r="X152" s="377"/>
      <c r="Y152" s="377"/>
      <c r="Z152" s="377"/>
      <c r="AA152" s="377"/>
      <c r="AB152" s="418"/>
    </row>
    <row r="153" customFormat="false" ht="12.6" hidden="false" customHeight="true" outlineLevel="0" collapsed="false">
      <c r="A153" s="430"/>
      <c r="B153" s="418"/>
      <c r="C153" s="377"/>
      <c r="D153" s="377"/>
      <c r="E153" s="377"/>
      <c r="F153" s="377"/>
      <c r="G153" s="377"/>
      <c r="H153" s="377"/>
      <c r="I153" s="377"/>
      <c r="J153" s="377"/>
      <c r="K153" s="377"/>
      <c r="L153" s="377"/>
      <c r="M153" s="377"/>
      <c r="N153" s="377"/>
      <c r="O153" s="377"/>
      <c r="P153" s="377"/>
      <c r="Q153" s="377"/>
      <c r="R153" s="377"/>
      <c r="S153" s="377"/>
      <c r="T153" s="377"/>
      <c r="U153" s="377"/>
      <c r="V153" s="377"/>
      <c r="W153" s="377"/>
      <c r="X153" s="377"/>
      <c r="Y153" s="377"/>
      <c r="Z153" s="377"/>
      <c r="AA153" s="377"/>
      <c r="AB153" s="418"/>
    </row>
    <row r="154" customFormat="false" ht="12.6" hidden="false" customHeight="true" outlineLevel="0" collapsed="false">
      <c r="A154" s="430"/>
      <c r="B154" s="418"/>
      <c r="C154" s="377"/>
      <c r="D154" s="377"/>
      <c r="E154" s="377"/>
      <c r="F154" s="377"/>
      <c r="G154" s="377"/>
      <c r="H154" s="377"/>
      <c r="I154" s="377"/>
      <c r="J154" s="377"/>
      <c r="K154" s="377"/>
      <c r="L154" s="377"/>
      <c r="M154" s="377"/>
      <c r="N154" s="377"/>
      <c r="O154" s="377"/>
      <c r="P154" s="377"/>
      <c r="Q154" s="377"/>
      <c r="R154" s="377"/>
      <c r="S154" s="377"/>
      <c r="T154" s="377"/>
      <c r="U154" s="377"/>
      <c r="V154" s="377"/>
      <c r="W154" s="377"/>
      <c r="X154" s="377"/>
      <c r="Y154" s="377"/>
      <c r="Z154" s="377"/>
      <c r="AA154" s="377"/>
      <c r="AB154" s="418"/>
    </row>
    <row r="155" customFormat="false" ht="12.6" hidden="false" customHeight="true" outlineLevel="0" collapsed="false">
      <c r="A155" s="430"/>
      <c r="B155" s="418"/>
      <c r="C155" s="377"/>
      <c r="D155" s="377"/>
      <c r="E155" s="377"/>
      <c r="F155" s="377"/>
      <c r="G155" s="377"/>
      <c r="H155" s="377"/>
      <c r="I155" s="377"/>
      <c r="J155" s="377"/>
      <c r="K155" s="377"/>
      <c r="L155" s="377"/>
      <c r="M155" s="377"/>
      <c r="N155" s="377"/>
      <c r="O155" s="377"/>
      <c r="P155" s="377"/>
      <c r="Q155" s="377"/>
      <c r="R155" s="377"/>
      <c r="S155" s="377"/>
      <c r="T155" s="377"/>
      <c r="U155" s="377"/>
      <c r="V155" s="377"/>
      <c r="W155" s="377"/>
      <c r="X155" s="377"/>
      <c r="Y155" s="377"/>
      <c r="Z155" s="377"/>
      <c r="AA155" s="377"/>
      <c r="AB155" s="418"/>
    </row>
    <row r="156" customFormat="false" ht="12.6" hidden="false" customHeight="true" outlineLevel="0" collapsed="false">
      <c r="A156" s="430"/>
      <c r="B156" s="418"/>
      <c r="C156" s="377"/>
      <c r="D156" s="377"/>
      <c r="E156" s="377"/>
      <c r="F156" s="377"/>
      <c r="G156" s="377"/>
      <c r="H156" s="377"/>
      <c r="I156" s="377"/>
      <c r="J156" s="377"/>
      <c r="K156" s="377"/>
      <c r="L156" s="377"/>
      <c r="M156" s="377"/>
      <c r="N156" s="377"/>
      <c r="O156" s="377"/>
      <c r="P156" s="377"/>
      <c r="Q156" s="377"/>
      <c r="R156" s="377"/>
      <c r="S156" s="377"/>
      <c r="T156" s="377"/>
      <c r="U156" s="377"/>
      <c r="V156" s="377"/>
      <c r="W156" s="377"/>
      <c r="X156" s="377"/>
      <c r="Y156" s="377"/>
      <c r="Z156" s="377"/>
      <c r="AA156" s="377"/>
      <c r="AB156" s="418"/>
    </row>
    <row r="157" customFormat="false" ht="12.6" hidden="false" customHeight="true" outlineLevel="0" collapsed="false">
      <c r="A157" s="430"/>
      <c r="B157" s="418"/>
      <c r="C157" s="377"/>
      <c r="D157" s="377"/>
      <c r="E157" s="377"/>
      <c r="F157" s="377"/>
      <c r="G157" s="377"/>
      <c r="H157" s="377"/>
      <c r="I157" s="377"/>
      <c r="J157" s="377"/>
      <c r="K157" s="377"/>
      <c r="L157" s="377"/>
      <c r="M157" s="377"/>
      <c r="N157" s="377"/>
      <c r="O157" s="377"/>
      <c r="P157" s="377"/>
      <c r="Q157" s="377"/>
      <c r="R157" s="377"/>
      <c r="S157" s="377"/>
      <c r="T157" s="377"/>
      <c r="U157" s="377"/>
      <c r="V157" s="377"/>
      <c r="W157" s="377"/>
      <c r="X157" s="377"/>
      <c r="Y157" s="377"/>
      <c r="Z157" s="377"/>
      <c r="AA157" s="377"/>
      <c r="AB157" s="418"/>
    </row>
    <row r="158" customFormat="false" ht="12.6" hidden="false" customHeight="true" outlineLevel="0" collapsed="false">
      <c r="A158" s="430"/>
      <c r="B158" s="418"/>
      <c r="C158" s="377"/>
      <c r="D158" s="377"/>
      <c r="E158" s="377"/>
      <c r="F158" s="377"/>
      <c r="G158" s="377"/>
      <c r="H158" s="377"/>
      <c r="I158" s="377"/>
      <c r="J158" s="377"/>
      <c r="K158" s="377"/>
      <c r="L158" s="377"/>
      <c r="M158" s="377"/>
      <c r="N158" s="377"/>
      <c r="O158" s="377"/>
      <c r="P158" s="377"/>
      <c r="Q158" s="377"/>
      <c r="R158" s="377"/>
      <c r="S158" s="377"/>
      <c r="T158" s="377"/>
      <c r="U158" s="377"/>
      <c r="V158" s="377"/>
      <c r="W158" s="377"/>
      <c r="X158" s="377"/>
      <c r="Y158" s="377"/>
      <c r="Z158" s="377"/>
      <c r="AA158" s="377"/>
      <c r="AB158" s="418"/>
    </row>
    <row r="164" customFormat="false" ht="12.6" hidden="false" customHeight="true" outlineLevel="0" collapsed="false">
      <c r="A164" s="566"/>
      <c r="B164" s="329"/>
      <c r="C164" s="441"/>
      <c r="D164" s="441"/>
      <c r="E164" s="441"/>
      <c r="F164" s="441"/>
      <c r="G164" s="441"/>
      <c r="H164" s="441"/>
      <c r="I164" s="441"/>
      <c r="J164" s="441"/>
      <c r="K164" s="441"/>
      <c r="L164" s="441"/>
      <c r="M164" s="441"/>
      <c r="N164" s="441"/>
      <c r="O164" s="441"/>
      <c r="P164" s="441"/>
      <c r="Q164" s="441"/>
      <c r="R164" s="441"/>
      <c r="S164" s="441"/>
      <c r="T164" s="441"/>
      <c r="U164" s="441"/>
      <c r="V164" s="441"/>
      <c r="W164" s="441"/>
      <c r="X164" s="441"/>
      <c r="Y164" s="441"/>
      <c r="Z164" s="441"/>
      <c r="AA164" s="441"/>
      <c r="AB164" s="450"/>
    </row>
    <row r="165" customFormat="false" ht="12.6" hidden="false" customHeight="true" outlineLevel="0" collapsed="false">
      <c r="A165" s="430"/>
      <c r="B165" s="450"/>
      <c r="C165" s="418"/>
      <c r="D165" s="418"/>
      <c r="E165" s="418"/>
      <c r="F165" s="418"/>
      <c r="G165" s="418"/>
      <c r="H165" s="418"/>
      <c r="I165" s="418"/>
      <c r="J165" s="418"/>
      <c r="K165" s="418"/>
      <c r="L165" s="418"/>
      <c r="M165" s="418"/>
      <c r="N165" s="418"/>
      <c r="O165" s="418"/>
      <c r="P165" s="418"/>
      <c r="Q165" s="418"/>
      <c r="R165" s="418"/>
      <c r="S165" s="418"/>
      <c r="T165" s="418"/>
      <c r="U165" s="418"/>
      <c r="V165" s="418"/>
      <c r="W165" s="418"/>
      <c r="X165" s="418"/>
      <c r="Y165" s="418"/>
      <c r="Z165" s="418"/>
      <c r="AA165" s="418"/>
      <c r="AB165" s="418"/>
      <c r="AC165" s="509"/>
      <c r="AD165" s="509"/>
      <c r="AE165" s="509"/>
      <c r="AF165" s="509"/>
      <c r="AG165" s="509"/>
      <c r="AH165" s="509"/>
      <c r="AI165" s="509"/>
      <c r="AJ165" s="509"/>
      <c r="AK165" s="509"/>
      <c r="AL165" s="509"/>
      <c r="AM165" s="509"/>
      <c r="AN165" s="509"/>
      <c r="AO165" s="509"/>
      <c r="AP165" s="509"/>
      <c r="AQ165" s="509"/>
      <c r="AR165" s="509"/>
      <c r="AS165" s="509"/>
      <c r="AT165" s="509"/>
      <c r="AU165" s="509"/>
      <c r="AV165" s="509"/>
      <c r="AW165" s="509"/>
      <c r="AX165" s="509"/>
      <c r="AY165" s="509"/>
      <c r="AZ165" s="509"/>
      <c r="BA165" s="509"/>
      <c r="BB165" s="509"/>
      <c r="BC165" s="509"/>
      <c r="BD165" s="509"/>
      <c r="BE165" s="509"/>
      <c r="BF165" s="509"/>
      <c r="BG165" s="509"/>
      <c r="BH165" s="509"/>
      <c r="BI165" s="509"/>
      <c r="BJ165" s="509"/>
      <c r="BK165" s="509"/>
      <c r="BL165" s="509"/>
      <c r="BM165" s="509"/>
      <c r="BN165" s="509"/>
      <c r="BO165" s="509"/>
      <c r="BP165" s="509"/>
      <c r="BQ165" s="509"/>
      <c r="BR165" s="509"/>
      <c r="BS165" s="509"/>
      <c r="BT165" s="509"/>
      <c r="BU165" s="509"/>
      <c r="BV165" s="509"/>
      <c r="BW165" s="509"/>
      <c r="BX165" s="509"/>
      <c r="BY165" s="509"/>
      <c r="BZ165" s="509"/>
      <c r="CA165" s="509"/>
      <c r="CB165" s="509"/>
      <c r="CC165" s="509"/>
      <c r="CD165" s="509"/>
      <c r="CE165" s="509"/>
      <c r="CF165" s="509"/>
      <c r="CG165" s="509"/>
      <c r="CH165" s="509"/>
      <c r="CI165" s="509"/>
      <c r="CJ165" s="509"/>
      <c r="CK165" s="509"/>
      <c r="CL165" s="509"/>
      <c r="CM165" s="509"/>
      <c r="CN165" s="509"/>
      <c r="CO165" s="509"/>
      <c r="CP165" s="509"/>
      <c r="CQ165" s="509"/>
      <c r="CR165" s="509"/>
      <c r="CS165" s="509"/>
      <c r="CT165" s="509"/>
      <c r="CU165" s="509"/>
      <c r="CV165" s="509"/>
      <c r="CW165" s="509"/>
      <c r="CX165" s="509"/>
      <c r="CY165" s="509"/>
      <c r="CZ165" s="509"/>
      <c r="DA165" s="509"/>
      <c r="DB165" s="509"/>
      <c r="DC165" s="509"/>
      <c r="DD165" s="509"/>
      <c r="DE165" s="509"/>
      <c r="DF165" s="509"/>
      <c r="DG165" s="509"/>
      <c r="DH165" s="509"/>
      <c r="DI165" s="509"/>
      <c r="DJ165" s="509"/>
      <c r="DK165" s="509"/>
      <c r="DL165" s="509"/>
      <c r="DM165" s="509"/>
      <c r="DN165" s="509"/>
      <c r="DO165" s="509"/>
      <c r="DP165" s="509"/>
      <c r="DQ165" s="509"/>
      <c r="DR165" s="509"/>
      <c r="DS165" s="509"/>
      <c r="DT165" s="509"/>
      <c r="DU165" s="509"/>
      <c r="DV165" s="509"/>
      <c r="DW165" s="509"/>
      <c r="DX165" s="509"/>
      <c r="DY165" s="509"/>
      <c r="DZ165" s="509"/>
      <c r="EA165" s="509"/>
      <c r="EB165" s="509"/>
      <c r="EC165" s="509"/>
      <c r="ED165" s="509"/>
      <c r="EE165" s="509"/>
      <c r="EF165" s="509"/>
      <c r="EG165" s="509"/>
      <c r="EH165" s="509"/>
      <c r="EI165" s="509"/>
      <c r="EJ165" s="509"/>
      <c r="EK165" s="509"/>
      <c r="EL165" s="509"/>
      <c r="EM165" s="509"/>
      <c r="EN165" s="509"/>
      <c r="EO165" s="509"/>
      <c r="EP165" s="509"/>
      <c r="EQ165" s="509"/>
      <c r="ER165" s="509"/>
      <c r="ES165" s="509"/>
      <c r="ET165" s="509"/>
      <c r="EU165" s="509"/>
      <c r="EV165" s="509"/>
      <c r="EW165" s="509"/>
      <c r="EX165" s="509"/>
      <c r="EY165" s="509"/>
      <c r="EZ165" s="509"/>
      <c r="FA165" s="509"/>
      <c r="FB165" s="509"/>
      <c r="FC165" s="509"/>
      <c r="FD165" s="509"/>
      <c r="FE165" s="509"/>
      <c r="FF165" s="509"/>
      <c r="FG165" s="509"/>
      <c r="FH165" s="509"/>
      <c r="FI165" s="509"/>
      <c r="FJ165" s="509"/>
      <c r="FK165" s="509"/>
      <c r="FL165" s="509"/>
      <c r="FM165" s="509"/>
      <c r="FN165" s="509"/>
      <c r="FO165" s="509"/>
      <c r="FP165" s="509"/>
      <c r="FQ165" s="509"/>
      <c r="FR165" s="509"/>
      <c r="FS165" s="509"/>
      <c r="FT165" s="509"/>
      <c r="FU165" s="509"/>
      <c r="FV165" s="509"/>
      <c r="FW165" s="509"/>
      <c r="FX165" s="509"/>
      <c r="FY165" s="509"/>
      <c r="FZ165" s="509"/>
      <c r="GA165" s="509"/>
      <c r="GB165" s="509"/>
      <c r="GC165" s="509"/>
      <c r="GD165" s="509"/>
      <c r="GE165" s="509"/>
      <c r="GF165" s="509"/>
      <c r="GG165" s="509"/>
      <c r="GH165" s="509"/>
      <c r="GI165" s="509"/>
      <c r="GJ165" s="509"/>
      <c r="GK165" s="509"/>
      <c r="GL165" s="509"/>
      <c r="GM165" s="509"/>
      <c r="GN165" s="509"/>
      <c r="GO165" s="509"/>
      <c r="GP165" s="509"/>
      <c r="GQ165" s="509"/>
      <c r="GR165" s="509"/>
      <c r="GS165" s="509"/>
      <c r="GT165" s="509"/>
      <c r="GU165" s="509"/>
      <c r="GV165" s="509"/>
      <c r="GW165" s="509"/>
      <c r="GX165" s="509"/>
      <c r="GY165" s="509"/>
      <c r="GZ165" s="509"/>
      <c r="HA165" s="509"/>
      <c r="HB165" s="509"/>
      <c r="HC165" s="509"/>
      <c r="HD165" s="509"/>
      <c r="HE165" s="509"/>
      <c r="HF165" s="509"/>
      <c r="HG165" s="509"/>
      <c r="HH165" s="509"/>
      <c r="HI165" s="509"/>
      <c r="HJ165" s="509"/>
      <c r="HK165" s="509"/>
      <c r="HL165" s="509"/>
      <c r="HM165" s="509"/>
      <c r="HN165" s="509"/>
      <c r="HO165" s="509"/>
      <c r="HP165" s="509"/>
      <c r="HQ165" s="509"/>
      <c r="HR165" s="509"/>
      <c r="HS165" s="509"/>
      <c r="HT165" s="509"/>
    </row>
    <row r="168" customFormat="false" ht="12.6" hidden="false" customHeight="true" outlineLevel="0" collapsed="false"/>
    <row r="179" customFormat="false" ht="12.6" hidden="false" customHeight="true" outlineLevel="0" collapsed="false"/>
  </sheetData>
  <printOptions headings="false" gridLines="false" gridLinesSet="true" horizontalCentered="false" verticalCentered="false"/>
  <pageMargins left="0.5" right="0.5" top="0.984027777777778" bottom="0.984027777777778"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&amp;L&amp;D &amp;T&amp;R&amp;F
&amp;A &amp;P</oddFooter>
  </headerFooter>
  <colBreaks count="1" manualBreakCount="1">
    <brk id="22" man="true" max="65535" min="0"/>
  </col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1997-11-12T23:08:26Z</dcterms:created>
  <dc:creator>ECT</dc:creator>
  <dc:description/>
  <dc:language>en-US</dc:language>
  <cp:lastModifiedBy>Ben Rogers</cp:lastModifiedBy>
  <cp:lastPrinted>1999-09-20T12:50:45Z</cp:lastPrinted>
  <cp:revision>0</cp:revision>
  <dc:subject/>
  <dc:title/>
</cp:coreProperties>
</file>