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VM Savings" sheetId="1" state="visible" r:id="rId3"/>
    <sheet name="Groves' Model" sheetId="2" state="visible" r:id="rId4"/>
    <sheet name="Spot Cargo Model" sheetId="3" state="visible" r:id="rId5"/>
    <sheet name="Working Capital Calc." sheetId="4" state="visible" r:id="rId6"/>
  </sheets>
  <externalReferences>
    <externalReference r:id="rId7"/>
  </externalReferences>
  <definedNames>
    <definedName function="false" hidden="false" localSheetId="1" name="_xlnm.Print_Area" vbProcedure="false">'Groves'' Model'!$B$1:$G$36</definedName>
    <definedName function="false" hidden="false" localSheetId="2" name="_xlnm.Print_Area" vbProcedure="false">'Spot Cargo Model'!$B$1:$F$51</definedName>
    <definedName function="false" hidden="false" localSheetId="2" name="_xlnm.Print_Titles" vbProcedure="false">'Spot Cargo Model'!$7:$11</definedName>
    <definedName function="false" hidden="false" localSheetId="0" name="_xlnm.Print_Area" vbProcedure="false">'TVM Savings'!$A$1:$K$18</definedName>
    <definedName function="false" hidden="false" localSheetId="3" name="_xlnm.Print_Area" vbProcedure="false">'Working Capital Calc.'!$A$2:$F$19</definedName>
    <definedName function="false" hidden="false" localSheetId="2" name="solver_adj" vbProcedure="false">#REF!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0</definedName>
    <definedName function="false" hidden="false" localSheetId="2" name="solver_nwt" vbProcedure="false">1</definedName>
    <definedName function="false" hidden="false" localSheetId="2" name="solver_opt" vbProcedure="false">#REF!</definedName>
    <definedName function="false" hidden="false" localSheetId="2" name="solver_pre" vbProcedure="false">0.000001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2.36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<sst xmlns="http://schemas.openxmlformats.org/spreadsheetml/2006/main" count="150" uniqueCount="133">
  <si>
    <t xml:space="preserve">TVM Savings for EcoElectrica</t>
  </si>
  <si>
    <t xml:space="preserve">Vessel</t>
  </si>
  <si>
    <t xml:space="preserve">Discharge Date</t>
  </si>
  <si>
    <t xml:space="preserve">Negotiated Terms</t>
  </si>
  <si>
    <t xml:space="preserve">Time Gained (Days)</t>
  </si>
  <si>
    <t xml:space="preserve">Volume     MMBtu's</t>
  </si>
  <si>
    <t xml:space="preserve">Price per  MMBtu</t>
  </si>
  <si>
    <t xml:space="preserve">Cost of Cargo</t>
  </si>
  <si>
    <t xml:space="preserve">Cost of Capital</t>
  </si>
  <si>
    <t xml:space="preserve">Savings</t>
  </si>
  <si>
    <t xml:space="preserve">I.</t>
  </si>
  <si>
    <t xml:space="preserve">Methane Arctic</t>
  </si>
  <si>
    <t xml:space="preserve">Net 30</t>
  </si>
  <si>
    <t xml:space="preserve">II.</t>
  </si>
  <si>
    <t xml:space="preserve">III. </t>
  </si>
  <si>
    <t xml:space="preserve">Matthew</t>
  </si>
  <si>
    <t xml:space="preserve">due 04/20</t>
  </si>
  <si>
    <t xml:space="preserve">Total Savings</t>
  </si>
  <si>
    <t xml:space="preserve">Profits from Lake Charles Re-sale</t>
  </si>
  <si>
    <t xml:space="preserve">Total Benefit to EcoElectrica</t>
  </si>
  <si>
    <t xml:space="preserve">Benefit to Enron (50% Interest in project)</t>
  </si>
  <si>
    <t xml:space="preserve">50% Profits from Lake Charles Re-sale</t>
  </si>
  <si>
    <t xml:space="preserve"> </t>
  </si>
  <si>
    <t xml:space="preserve">Enron LNG Marketing's Profit</t>
  </si>
  <si>
    <t xml:space="preserve">Total Benefit to Enron</t>
  </si>
  <si>
    <t xml:space="preserve">ENRON LNG MARKETING CIF DEAL SHEET</t>
  </si>
  <si>
    <t xml:space="preserve">per mmbtu</t>
  </si>
  <si>
    <t xml:space="preserve">Volume</t>
  </si>
  <si>
    <t xml:space="preserve">Price</t>
  </si>
  <si>
    <t xml:space="preserve">Dollars</t>
  </si>
  <si>
    <t xml:space="preserve">PV</t>
  </si>
  <si>
    <t xml:space="preserve">for sale</t>
  </si>
  <si>
    <t xml:space="preserve">bought</t>
  </si>
  <si>
    <t xml:space="preserve">Purchase - ExShip</t>
  </si>
  <si>
    <t xml:space="preserve">Terminal Loss</t>
  </si>
  <si>
    <t xml:space="preserve">Available for Sale - Tailgate</t>
  </si>
  <si>
    <t xml:space="preserve">Sale 1</t>
  </si>
  <si>
    <t xml:space="preserve">Sale 2</t>
  </si>
  <si>
    <t xml:space="preserve">Total Sale</t>
  </si>
  <si>
    <t xml:space="preserve">Net Position (still to be sold)</t>
  </si>
  <si>
    <t xml:space="preserve">Gross Margin</t>
  </si>
  <si>
    <t xml:space="preserve">Terminalling</t>
  </si>
  <si>
    <t xml:space="preserve">Import Charges</t>
  </si>
  <si>
    <t xml:space="preserve">Surveyor</t>
  </si>
  <si>
    <t xml:space="preserve">LOC</t>
  </si>
  <si>
    <t xml:space="preserve">Interest on W.C.</t>
  </si>
  <si>
    <t xml:space="preserve">Total Costs</t>
  </si>
  <si>
    <t xml:space="preserve">Net Margin</t>
  </si>
  <si>
    <t xml:space="preserve">Working Capital Charges</t>
  </si>
  <si>
    <t xml:space="preserve">Cargo Delivery</t>
  </si>
  <si>
    <t xml:space="preserve">Purchase Terms</t>
  </si>
  <si>
    <t xml:space="preserve">Payment for Purchase</t>
  </si>
  <si>
    <t xml:space="preserve">EcoElectrica's Profit Calculation:</t>
  </si>
  <si>
    <t xml:space="preserve">Payment for Terminal</t>
  </si>
  <si>
    <t xml:space="preserve">Received from ELNG</t>
  </si>
  <si>
    <t xml:space="preserve">per MMBtu</t>
  </si>
  <si>
    <t xml:space="preserve">=</t>
  </si>
  <si>
    <t xml:space="preserve">Sale Payment Due</t>
  </si>
  <si>
    <t xml:space="preserve">Payments to Cabot</t>
  </si>
  <si>
    <t xml:space="preserve">Interest Charge Breakdown</t>
  </si>
  <si>
    <t xml:space="preserve">Days</t>
  </si>
  <si>
    <t xml:space="preserve">LNG Cost Model for Diverting EcoElectrica Cargo</t>
  </si>
  <si>
    <t xml:space="preserve">Boiloff Gas/Day on "Matthew"  (actual)</t>
  </si>
  <si>
    <t xml:space="preserve">Terminal Thru-put Fees</t>
  </si>
  <si>
    <t xml:space="preserve">Terminal Boiloff</t>
  </si>
  <si>
    <t xml:space="preserve">Disport</t>
  </si>
  <si>
    <t xml:space="preserve"> I.   Internal Case                         Lake Charles</t>
  </si>
  <si>
    <t xml:space="preserve">NYMEX March 2001 </t>
  </si>
  <si>
    <t xml:space="preserve">EcoElectrica Purchase/Sale Price </t>
  </si>
  <si>
    <t xml:space="preserve">Supplier</t>
  </si>
  <si>
    <t xml:space="preserve">Cabot</t>
  </si>
  <si>
    <r>
      <rPr>
        <sz val="10"/>
        <rFont val="Arial"/>
        <family val="0"/>
      </rPr>
      <t xml:space="preserve">Loaded Voyage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</si>
  <si>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Route Via - Cape/Suez </t>
    </r>
    <r>
      <rPr>
        <b val="true"/>
        <sz val="8"/>
        <color rgb="FF0000FF"/>
        <rFont val="Arial"/>
        <family val="2"/>
      </rPr>
      <t xml:space="preserve">(Input)</t>
    </r>
  </si>
  <si>
    <t xml:space="preserve">N/A</t>
  </si>
  <si>
    <r>
      <rPr>
        <sz val="10"/>
        <rFont val="Arial"/>
        <family val="0"/>
      </rPr>
      <t xml:space="preserve">Ballast Voyage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</si>
  <si>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Loaded Ship Speed - knots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</si>
  <si>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Position/Ballast Ship Speed - knots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</si>
  <si>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Suez Days/transit - days/leg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</si>
  <si>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Loading/Cooldown Time - Days </t>
    </r>
    <r>
      <rPr>
        <b val="true"/>
        <sz val="8"/>
        <color rgb="FF0000FF"/>
        <rFont val="Arial"/>
        <family val="2"/>
      </rPr>
      <t xml:space="preserve">(Input)</t>
    </r>
  </si>
  <si>
    <r>
      <rPr>
        <sz val="10"/>
        <rFont val="Arial"/>
        <family val="0"/>
      </rPr>
      <t xml:space="preserve">Unloading Time - Days </t>
    </r>
    <r>
      <rPr>
        <b val="true"/>
        <sz val="8"/>
        <color rgb="FF0000FF"/>
        <rFont val="Arial"/>
        <family val="2"/>
      </rPr>
      <t xml:space="preserve">(Input)</t>
    </r>
  </si>
  <si>
    <t xml:space="preserve">Voyage Time - Days</t>
  </si>
  <si>
    <t xml:space="preserve">Suez Days - RT</t>
  </si>
  <si>
    <t xml:space="preserve">Port Days</t>
  </si>
  <si>
    <t xml:space="preserve">Loaded Leg</t>
  </si>
  <si>
    <t xml:space="preserve">Ballast Voyage</t>
  </si>
  <si>
    <t xml:space="preserve">Total</t>
  </si>
  <si>
    <r>
      <rPr>
        <sz val="10"/>
        <rFont val="Arial"/>
        <family val="0"/>
      </rPr>
      <t xml:space="preserve">Loaded Volumes  </t>
    </r>
    <r>
      <rPr>
        <b val="true"/>
        <sz val="8"/>
        <color rgb="FF0000FF"/>
        <rFont val="Arial"/>
        <family val="2"/>
      </rPr>
      <t xml:space="preserve">(Input)</t>
    </r>
  </si>
  <si>
    <t xml:space="preserve">Boiloff Per Day - Laden</t>
  </si>
  <si>
    <t xml:space="preserve">Boiloff Per Day - Ballast</t>
  </si>
  <si>
    <t xml:space="preserve">Boiloff Per Day - Suez/Port Days</t>
  </si>
  <si>
    <t xml:space="preserve">Additional Heel Retained </t>
  </si>
  <si>
    <t xml:space="preserve">Unloaded</t>
  </si>
  <si>
    <t xml:space="preserve">Sales amount paid to Cabot</t>
  </si>
  <si>
    <t xml:space="preserve">Variance per MMBtu</t>
  </si>
  <si>
    <t xml:space="preserve">Terminal Fuel - 1.75% (MMBtu's)</t>
  </si>
  <si>
    <t xml:space="preserve">Volume Available for Sale to ENA (MMBtu's)</t>
  </si>
  <si>
    <t xml:space="preserve">Revenues from Sale to ENA (NYMEX - $0.1625/MMBtu)</t>
  </si>
  <si>
    <t xml:space="preserve">Enron Int'l Gas Sales margin  ($0.10/MMBtu)</t>
  </si>
  <si>
    <t xml:space="preserve">Payment made to Cabot</t>
  </si>
  <si>
    <t xml:space="preserve">Terminal Cost</t>
  </si>
  <si>
    <t xml:space="preserve">Port Charges @ Lake Charles</t>
  </si>
  <si>
    <t xml:space="preserve">Additional Cost for Alternative Fuel (7 days of Propane)*</t>
  </si>
  <si>
    <t xml:space="preserve">Decrease in Prepa's capacity payment over 86%</t>
  </si>
  <si>
    <t xml:space="preserve">U.S. Customs Fees</t>
  </si>
  <si>
    <t xml:space="preserve">Inspection Costs</t>
  </si>
  <si>
    <t xml:space="preserve">Interest on Working Capital </t>
  </si>
  <si>
    <t xml:space="preserve">Profit</t>
  </si>
  <si>
    <t xml:space="preserve">Total Variance</t>
  </si>
  <si>
    <t xml:space="preserve">Cabot's portion</t>
  </si>
  <si>
    <t xml:space="preserve">EcoElectrica's portion</t>
  </si>
  <si>
    <t xml:space="preserve">Groves' #</t>
  </si>
  <si>
    <t xml:space="preserve">Amount paid to EcoElectrica from Enron LNG Marketing</t>
  </si>
  <si>
    <t xml:space="preserve">Per MMBtu</t>
  </si>
  <si>
    <t xml:space="preserve">Working Capital Calculations</t>
  </si>
  <si>
    <t xml:space="preserve">I.  Oman - EcoElectrica</t>
  </si>
  <si>
    <t xml:space="preserve">Days on </t>
  </si>
  <si>
    <t xml:space="preserve">Interest</t>
  </si>
  <si>
    <t xml:space="preserve">Expense</t>
  </si>
  <si>
    <t xml:space="preserve">Amount</t>
  </si>
  <si>
    <t xml:space="preserve">Day Paid</t>
  </si>
  <si>
    <t xml:space="preserve">Books</t>
  </si>
  <si>
    <t xml:space="preserve">Rate</t>
  </si>
  <si>
    <t xml:space="preserve">Paid</t>
  </si>
  <si>
    <t xml:space="preserve">Purchase from Eco</t>
  </si>
  <si>
    <t xml:space="preserve">U.S. Customs </t>
  </si>
  <si>
    <t xml:space="preserve">Receive ENA Payment</t>
  </si>
  <si>
    <t xml:space="preserve">Assumptions</t>
  </si>
  <si>
    <t xml:space="preserve">Day 1= discharge date (March 9)</t>
  </si>
  <si>
    <t xml:space="preserve">Day 10 = U.S. Customs payment due</t>
  </si>
  <si>
    <t xml:space="preserve">Day 10 = payment due to Cabot</t>
  </si>
  <si>
    <t xml:space="preserve">Day 47 = Terminalling fee due to CMS (April 20)</t>
  </si>
  <si>
    <t xml:space="preserve">Day 42 = payment received from ENA</t>
  </si>
  <si>
    <t xml:space="preserve">Saved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</si>
</sst>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_);_(\$* \(#,##0.000\);_(\$* \-??_);_(@_)"/>
    <numFmt numFmtId="170" formatCode="_(\$* #,##0_);_(\$* \(#,##0\);_(\$* \-??_);_(@_)"/>
    <numFmt numFmtId="171" formatCode="0%"/>
    <numFmt numFmtId="172" formatCode="0.0%"/>
    <numFmt numFmtId="173" formatCode="\$#,##0"/>
    <numFmt numFmtId="174" formatCode="\$#,##0.0000000_);[RED]&quot;($&quot;#,##0.0000000\)"/>
    <numFmt numFmtId="175" formatCode="\$#,##0_);[RED]&quot;($&quot;#,##0\)"/>
    <numFmt numFmtId="176" formatCode="[$-409]#,##0_);[RED]\(#,##0\)"/>
    <numFmt numFmtId="177" formatCode="\$#,##0.000_);[RED]&quot;($&quot;#,##0.000\)"/>
    <numFmt numFmtId="178" formatCode="0.00%"/>
    <numFmt numFmtId="179" formatCode="\$#,##0.0000_);[RED]&quot;($&quot;#,##0.0000\)"/>
    <numFmt numFmtId="180" formatCode="[$-409]#,##0_);\(#,##0\)"/>
    <numFmt numFmtId="181" formatCode="\$#,##0.00_);[RED]&quot;($&quot;#,##0.00\)"/>
    <numFmt numFmtId="182" formatCode="[$-409]m/d/yyyy"/>
    <numFmt numFmtId="183" formatCode="[$-409]mmm\-yy"/>
    <numFmt numFmtId="184" formatCode="_(\$* #,##0.0000_);_(\$* \(#,##0.0000\);_(\$* \-????_);_(@_)"/>
    <numFmt numFmtId="185" formatCode="_(\$* #,##0.00000_);_(\$* \(#,##0.00000\);_(\$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Lucida Handwriting"/>
      <family val="4"/>
    </font>
    <font>
      <b val="true"/>
      <sz val="8"/>
      <color rgb="FF0000FF"/>
      <name val="Arial"/>
      <family val="2"/>
    </font>
    <font>
      <b val="true"/>
      <sz val="10"/>
      <name val="Lucida Sans"/>
      <family val="2"/>
    </font>
    <font>
      <b val="true"/>
      <sz val="8"/>
      <name val="Lucida Sans"/>
      <family val="0"/>
    </font>
    <font>
      <b val="true"/>
      <sz val="8"/>
      <name val="Lucida Sans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3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5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3" borderId="2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1" fillId="7" borderId="2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3" borderId="2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8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7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7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7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9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9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271800</xdr:colOff>
          <xdr:row>5</xdr:row>
          <xdr:rowOff>0</xdr:rowOff>
        </xdr:from>
        <xdr:to>
          <xdr:col>7</xdr:col>
          <xdr:colOff>403200</xdr:colOff>
          <xdr:row>6</xdr:row>
          <xdr:rowOff>10080</xdr:rowOff>
        </xdr:to>
        <xdr:sp>
          <xdr:nvSpPr>
            <xdr:cNvPr id="1001" name="Button 168" descr="Print&#10;Mod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
Model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lobalProducts/LNG/EGroves/Batchloads/Curvefet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tch"/>
      <sheetName val="Swap"/>
      <sheetName val="PV"/>
      <sheetName val="LIST"/>
    </sheetNames>
    <sheetDataSet>
      <sheetData sheetId="0"/>
      <sheetData sheetId="1"/>
      <sheetData sheetId="2">
        <row r="9">
          <cell r="E9">
            <v>0.989545827469846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28"/>
    <col collapsed="false" customWidth="true" hidden="false" outlineLevel="0" max="9" min="9" style="0" width="11.28"/>
    <col collapsed="false" customWidth="true" hidden="false" outlineLevel="0" max="11" min="11" style="0" width="13.85"/>
  </cols>
  <sheetData>
    <row r="2" customFormat="false" ht="12.75" hidden="false" customHeight="false" outlineLevel="0" collapsed="false">
      <c r="A2" s="1" t="s">
        <v>0</v>
      </c>
    </row>
    <row r="3" customFormat="false" ht="13.5" hidden="false" customHeight="false" outlineLevel="0" collapsed="false"/>
    <row r="4" customFormat="false" ht="39" hidden="false" customHeight="false" outlineLevel="0" collapsed="false">
      <c r="B4" s="2" t="s">
        <v>1</v>
      </c>
      <c r="C4" s="2"/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customFormat="false" ht="12.75" hidden="false" customHeight="false" outlineLevel="0" collapsed="false">
      <c r="A5" s="0" t="s">
        <v>10</v>
      </c>
      <c r="B5" s="0" t="s">
        <v>11</v>
      </c>
      <c r="D5" s="5" t="n">
        <v>36928</v>
      </c>
      <c r="E5" s="0" t="s">
        <v>12</v>
      </c>
      <c r="F5" s="0" t="n">
        <v>20</v>
      </c>
      <c r="G5" s="6" t="n">
        <v>1421973</v>
      </c>
      <c r="H5" s="7" t="n">
        <v>6.009</v>
      </c>
      <c r="I5" s="8" t="n">
        <f aca="false">G5*H5</f>
        <v>8544635.757</v>
      </c>
      <c r="J5" s="9" t="n">
        <v>0.105</v>
      </c>
      <c r="K5" s="10" t="n">
        <f aca="false">((J5*(F5/365))*I5)</f>
        <v>49160.9180539726</v>
      </c>
    </row>
    <row r="7" customFormat="false" ht="12.75" hidden="false" customHeight="false" outlineLevel="0" collapsed="false">
      <c r="A7" s="0" t="s">
        <v>13</v>
      </c>
      <c r="B7" s="0" t="s">
        <v>11</v>
      </c>
      <c r="D7" s="5" t="n">
        <v>36934</v>
      </c>
      <c r="E7" s="0" t="s">
        <v>12</v>
      </c>
      <c r="F7" s="0" t="n">
        <v>20</v>
      </c>
      <c r="G7" s="6" t="n">
        <v>1263976</v>
      </c>
      <c r="H7" s="7" t="n">
        <v>6.009</v>
      </c>
      <c r="I7" s="8" t="n">
        <f aca="false">G7*H7</f>
        <v>7595231.784</v>
      </c>
      <c r="J7" s="9" t="n">
        <v>0.105</v>
      </c>
      <c r="K7" s="10" t="n">
        <f aca="false">((J7*(F7/365))*I7)</f>
        <v>43698.5938257534</v>
      </c>
    </row>
    <row r="8" customFormat="false" ht="12.75" hidden="false" customHeight="false" outlineLevel="0" collapsed="false">
      <c r="F8" s="0" t="n">
        <v>20</v>
      </c>
      <c r="G8" s="6" t="n">
        <v>157997</v>
      </c>
      <c r="H8" s="7" t="n">
        <v>4.329</v>
      </c>
      <c r="I8" s="8" t="n">
        <f aca="false">G8*H8</f>
        <v>683969.013</v>
      </c>
      <c r="J8" s="9" t="n">
        <v>0.105</v>
      </c>
      <c r="K8" s="10" t="n">
        <f aca="false">((J8*(F8/365))*I8)</f>
        <v>3935.16418438356</v>
      </c>
    </row>
    <row r="9" customFormat="false" ht="12.75" hidden="false" customHeight="false" outlineLevel="0" collapsed="false">
      <c r="K9" s="10"/>
    </row>
    <row r="10" customFormat="false" ht="12.75" hidden="false" customHeight="false" outlineLevel="0" collapsed="false">
      <c r="A10" s="0" t="s">
        <v>14</v>
      </c>
      <c r="B10" s="0" t="s">
        <v>15</v>
      </c>
      <c r="D10" s="5" t="n">
        <v>36960</v>
      </c>
      <c r="E10" s="0" t="s">
        <v>16</v>
      </c>
      <c r="F10" s="0" t="n">
        <v>30</v>
      </c>
      <c r="I10" s="8" t="n">
        <v>3038619</v>
      </c>
      <c r="J10" s="9" t="n">
        <v>0.105</v>
      </c>
      <c r="K10" s="10" t="n">
        <f aca="false">((J10*(F10/365))*I10)</f>
        <v>26223.6982191781</v>
      </c>
    </row>
    <row r="11" customFormat="false" ht="13.5" hidden="false" customHeight="false" outlineLevel="0" collapsed="false"/>
    <row r="12" customFormat="false" ht="13.5" hidden="false" customHeight="false" outlineLevel="0" collapsed="false">
      <c r="I12" s="11" t="s">
        <v>17</v>
      </c>
      <c r="J12" s="12"/>
      <c r="K12" s="13" t="n">
        <f aca="false">SUM(K5:K10)</f>
        <v>123018.374283288</v>
      </c>
    </row>
    <row r="16" customFormat="false" ht="13.5" hidden="false" customHeight="false" outlineLevel="0" collapsed="false">
      <c r="A16" s="1" t="s">
        <v>18</v>
      </c>
      <c r="K16" s="14" t="n">
        <v>3236423</v>
      </c>
    </row>
    <row r="18" customFormat="false" ht="13.5" hidden="false" customHeight="false" outlineLevel="0" collapsed="false">
      <c r="A18" s="15"/>
      <c r="B18" s="15"/>
      <c r="C18" s="15"/>
      <c r="D18" s="15"/>
      <c r="E18" s="15"/>
      <c r="F18" s="15"/>
      <c r="G18" s="16" t="s">
        <v>19</v>
      </c>
      <c r="H18" s="15"/>
      <c r="I18" s="15"/>
      <c r="J18" s="15"/>
      <c r="K18" s="17" t="n">
        <f aca="false">SUM(K12:K16)</f>
        <v>3359441.37428329</v>
      </c>
    </row>
    <row r="19" customFormat="false" ht="13.5" hidden="false" customHeight="false" outlineLevel="0" collapsed="false"/>
    <row r="20" customFormat="false" ht="12.75" hidden="false" customHeight="false" outlineLevel="0" collapsed="false">
      <c r="A20" s="1" t="s">
        <v>20</v>
      </c>
    </row>
    <row r="22" customFormat="false" ht="12.75" hidden="false" customHeight="false" outlineLevel="0" collapsed="false">
      <c r="A22" s="18" t="s">
        <v>10</v>
      </c>
      <c r="B22" s="18" t="s">
        <v>21</v>
      </c>
      <c r="K22" s="8" t="n">
        <f aca="false">K16/2</f>
        <v>1618211.5</v>
      </c>
    </row>
    <row r="23" customFormat="false" ht="12.75" hidden="false" customHeight="false" outlineLevel="0" collapsed="false">
      <c r="A23" s="0" t="s">
        <v>22</v>
      </c>
    </row>
    <row r="24" customFormat="false" ht="13.5" hidden="false" customHeight="false" outlineLevel="0" collapsed="false">
      <c r="A24" s="0" t="s">
        <v>13</v>
      </c>
      <c r="B24" s="0" t="s">
        <v>23</v>
      </c>
      <c r="K24" s="14" t="n">
        <v>308302</v>
      </c>
    </row>
    <row r="26" customFormat="false" ht="12.75" hidden="false" customHeight="false" outlineLevel="0" collapsed="false">
      <c r="G26" s="1" t="s">
        <v>24</v>
      </c>
      <c r="H26" s="1"/>
      <c r="I26" s="1"/>
      <c r="J26" s="1"/>
      <c r="K26" s="19" t="n">
        <f aca="false">SUM(K22:K24)</f>
        <v>1926513.5</v>
      </c>
    </row>
  </sheetData>
  <mergeCells count="1"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56"/>
    <col collapsed="false" customWidth="true" hidden="false" outlineLevel="0" max="3" min="3" style="0" width="10.13"/>
    <col collapsed="false" customWidth="true" hidden="false" outlineLevel="0" max="4" min="4" style="0" width="10.28"/>
    <col collapsed="false" customWidth="true" hidden="false" outlineLevel="0" max="5" min="5" style="0" width="8.14"/>
    <col collapsed="false" customWidth="true" hidden="false" outlineLevel="0" max="7" min="6" style="0" width="12.28"/>
    <col collapsed="false" customWidth="true" hidden="false" outlineLevel="0" max="11" min="10" style="0" width="10.28"/>
    <col collapsed="false" customWidth="true" hidden="false" outlineLevel="0" max="13" min="13" style="0" width="12.28"/>
  </cols>
  <sheetData>
    <row r="1" customFormat="false" ht="15" hidden="false" customHeight="false" outlineLevel="0" collapsed="false">
      <c r="B1" s="20" t="s">
        <v>25</v>
      </c>
      <c r="C1" s="20"/>
      <c r="D1" s="20"/>
      <c r="E1" s="20"/>
      <c r="F1" s="20"/>
      <c r="G1" s="20"/>
    </row>
    <row r="2" customFormat="false" ht="12.75" hidden="false" customHeight="false" outlineLevel="0" collapsed="false">
      <c r="B2" s="21"/>
      <c r="C2" s="21"/>
      <c r="D2" s="22"/>
      <c r="E2" s="23"/>
      <c r="F2" s="24"/>
      <c r="G2" s="24"/>
      <c r="J2" s="25" t="s">
        <v>26</v>
      </c>
      <c r="K2" s="26" t="s">
        <v>26</v>
      </c>
    </row>
    <row r="3" customFormat="false" ht="12.75" hidden="false" customHeight="false" outlineLevel="0" collapsed="false">
      <c r="B3" s="27"/>
      <c r="C3" s="28"/>
      <c r="D3" s="28" t="s">
        <v>27</v>
      </c>
      <c r="E3" s="28" t="s">
        <v>28</v>
      </c>
      <c r="F3" s="28" t="s">
        <v>29</v>
      </c>
      <c r="G3" s="26" t="s">
        <v>30</v>
      </c>
      <c r="J3" s="29" t="s">
        <v>31</v>
      </c>
      <c r="K3" s="30" t="s">
        <v>32</v>
      </c>
    </row>
    <row r="4" customFormat="false" ht="12.75" hidden="false" customHeight="false" outlineLevel="0" collapsed="false">
      <c r="B4" s="31" t="s">
        <v>33</v>
      </c>
      <c r="C4" s="32"/>
      <c r="D4" s="33" t="n">
        <v>2720000</v>
      </c>
      <c r="E4" s="34" t="n">
        <v>5.787</v>
      </c>
      <c r="F4" s="35" t="n">
        <f aca="false">-E4*D4</f>
        <v>-15740640</v>
      </c>
      <c r="G4" s="36" t="n">
        <f aca="false">+F4*[1]PV!$E$9</f>
        <v>-15576084.633705</v>
      </c>
      <c r="J4" s="37" t="n">
        <f aca="false">+G4/-$D$7</f>
        <v>-5.84249236072954</v>
      </c>
      <c r="K4" s="38" t="n">
        <f aca="false">+G4/$D$4</f>
        <v>-5.726501703568</v>
      </c>
    </row>
    <row r="5" customFormat="false" ht="12.75" hidden="false" customHeight="false" outlineLevel="0" collapsed="false">
      <c r="B5" s="39" t="s">
        <v>34</v>
      </c>
      <c r="C5" s="40" t="n">
        <v>0.0175</v>
      </c>
      <c r="D5" s="41" t="n">
        <f aca="false">+D4*C5</f>
        <v>47600</v>
      </c>
      <c r="E5" s="42"/>
      <c r="F5" s="43"/>
      <c r="G5" s="44"/>
      <c r="J5" s="45"/>
      <c r="K5" s="46"/>
    </row>
    <row r="6" customFormat="false" ht="12.75" hidden="false" customHeight="false" outlineLevel="0" collapsed="false">
      <c r="B6" s="47" t="s">
        <v>35</v>
      </c>
      <c r="C6" s="48"/>
      <c r="D6" s="49" t="n">
        <f aca="false">+D4-D5</f>
        <v>2672400</v>
      </c>
      <c r="E6" s="50"/>
      <c r="F6" s="51"/>
      <c r="G6" s="52"/>
      <c r="J6" s="45"/>
      <c r="K6" s="46"/>
    </row>
    <row r="7" customFormat="false" ht="12.75" hidden="false" customHeight="false" outlineLevel="0" collapsed="false">
      <c r="B7" s="53" t="s">
        <v>36</v>
      </c>
      <c r="C7" s="54"/>
      <c r="D7" s="55" t="n">
        <f aca="false">-86000*31</f>
        <v>-2666000</v>
      </c>
      <c r="E7" s="56" t="n">
        <f aca="false">6.79-0.1025-0.06</f>
        <v>6.6275</v>
      </c>
      <c r="F7" s="57" t="n">
        <f aca="false">-E7*D7</f>
        <v>17668915</v>
      </c>
      <c r="G7" s="58" t="n">
        <f aca="false">+F7*[1]PV!$E$9</f>
        <v>17484201.1141694</v>
      </c>
      <c r="J7" s="37" t="n">
        <f aca="false">+G7/-$D$7</f>
        <v>6.55821497155641</v>
      </c>
      <c r="K7" s="38" t="n">
        <f aca="false">+G7/$D$4</f>
        <v>6.42801511550345</v>
      </c>
    </row>
    <row r="8" customFormat="false" ht="12.75" hidden="false" customHeight="false" outlineLevel="0" collapsed="false">
      <c r="B8" s="53" t="s">
        <v>37</v>
      </c>
      <c r="C8" s="54"/>
      <c r="D8" s="55"/>
      <c r="E8" s="56"/>
      <c r="F8" s="57" t="n">
        <f aca="false">+E8*D8</f>
        <v>0</v>
      </c>
      <c r="G8" s="58" t="n">
        <f aca="false">+F8*[1]PV!$E$9</f>
        <v>0</v>
      </c>
      <c r="J8" s="37"/>
      <c r="K8" s="38"/>
    </row>
    <row r="9" customFormat="false" ht="12.75" hidden="false" customHeight="false" outlineLevel="0" collapsed="false">
      <c r="B9" s="59" t="s">
        <v>38</v>
      </c>
      <c r="C9" s="60"/>
      <c r="D9" s="61" t="n">
        <f aca="false">SUM(D7:D8)</f>
        <v>-2666000</v>
      </c>
      <c r="E9" s="62"/>
      <c r="F9" s="63" t="n">
        <f aca="false">SUM(F7:F8)</f>
        <v>17668915</v>
      </c>
      <c r="G9" s="64" t="n">
        <f aca="false">SUM(G7:G8)</f>
        <v>17484201.1141694</v>
      </c>
      <c r="J9" s="65"/>
      <c r="K9" s="66"/>
    </row>
    <row r="10" customFormat="false" ht="12.75" hidden="false" customHeight="false" outlineLevel="0" collapsed="false">
      <c r="B10" s="67" t="s">
        <v>39</v>
      </c>
      <c r="C10" s="68"/>
      <c r="D10" s="69" t="n">
        <f aca="false">+D9+D6</f>
        <v>6400</v>
      </c>
      <c r="E10" s="70" t="n">
        <f aca="false">+E7</f>
        <v>6.6275</v>
      </c>
      <c r="F10" s="71" t="n">
        <f aca="false">+E10*D10</f>
        <v>42416</v>
      </c>
      <c r="G10" s="72" t="n">
        <f aca="false">+F10*[1]PV!$E$9</f>
        <v>41972.575817961</v>
      </c>
      <c r="J10" s="65"/>
      <c r="K10" s="66"/>
    </row>
    <row r="11" customFormat="false" ht="12.75" hidden="false" customHeight="false" outlineLevel="0" collapsed="false">
      <c r="B11" s="73" t="s">
        <v>40</v>
      </c>
      <c r="C11" s="74"/>
      <c r="D11" s="75"/>
      <c r="E11" s="76"/>
      <c r="F11" s="77" t="n">
        <f aca="false">+F9+F10+F4</f>
        <v>1970691</v>
      </c>
      <c r="G11" s="78" t="n">
        <f aca="false">+G4+G9+G10</f>
        <v>1950089.05628238</v>
      </c>
      <c r="J11" s="37" t="n">
        <f aca="false">+G11/-$D$7</f>
        <v>0.731466262671559</v>
      </c>
      <c r="K11" s="38" t="n">
        <f aca="false">+G11/$D$4</f>
        <v>0.716944505986168</v>
      </c>
    </row>
    <row r="12" customFormat="false" ht="12.75" hidden="false" customHeight="false" outlineLevel="0" collapsed="false">
      <c r="A12" s="79"/>
      <c r="B12" s="80"/>
      <c r="C12" s="81"/>
      <c r="D12" s="82"/>
      <c r="E12" s="83"/>
      <c r="F12" s="84"/>
      <c r="G12" s="85"/>
      <c r="H12" s="79"/>
      <c r="I12" s="79"/>
      <c r="J12" s="37"/>
      <c r="K12" s="38"/>
    </row>
    <row r="13" customFormat="false" ht="12.75" hidden="false" customHeight="false" outlineLevel="0" collapsed="false">
      <c r="A13" s="79"/>
      <c r="B13" s="86" t="s">
        <v>41</v>
      </c>
      <c r="C13" s="87"/>
      <c r="D13" s="88" t="n">
        <f aca="false">+D4</f>
        <v>2720000</v>
      </c>
      <c r="E13" s="89" t="n">
        <v>0.55</v>
      </c>
      <c r="F13" s="90" t="n">
        <f aca="false">-E13*D13</f>
        <v>-1496000</v>
      </c>
      <c r="G13" s="91" t="n">
        <f aca="false">+F13*[1]PV!$E$9</f>
        <v>-1480360.55789489</v>
      </c>
      <c r="H13" s="79"/>
      <c r="I13" s="79"/>
      <c r="J13" s="37"/>
      <c r="K13" s="38"/>
    </row>
    <row r="14" customFormat="false" ht="12.75" hidden="false" customHeight="false" outlineLevel="0" collapsed="false">
      <c r="B14" s="92" t="s">
        <v>42</v>
      </c>
      <c r="C14" s="93"/>
      <c r="D14" s="94"/>
      <c r="E14" s="95"/>
      <c r="F14" s="96" t="n">
        <v>-16810</v>
      </c>
      <c r="G14" s="97" t="n">
        <f aca="false">+F14*[1]PV!$E$9</f>
        <v>-16634.2653597681</v>
      </c>
      <c r="J14" s="37" t="n">
        <f aca="false">+G14/-$D$7</f>
        <v>-0.00623940936225361</v>
      </c>
      <c r="K14" s="38" t="n">
        <f aca="false">+G14/$D$4</f>
        <v>-0.00611553873520887</v>
      </c>
    </row>
    <row r="15" customFormat="false" ht="12.75" hidden="false" customHeight="false" outlineLevel="0" collapsed="false">
      <c r="B15" s="98" t="s">
        <v>43</v>
      </c>
      <c r="C15" s="99"/>
      <c r="D15" s="100"/>
      <c r="E15" s="101"/>
      <c r="F15" s="102" t="n">
        <v>-950</v>
      </c>
      <c r="G15" s="103" t="n">
        <f aca="false">+F15*[1]PV!$E$9</f>
        <v>-940.068536096354</v>
      </c>
      <c r="J15" s="37" t="n">
        <f aca="false">+G15/-$D$7</f>
        <v>-0.000352613854499758</v>
      </c>
      <c r="K15" s="38" t="n">
        <f aca="false">+G15/$D$4</f>
        <v>-0.000345613432388365</v>
      </c>
    </row>
    <row r="16" customFormat="false" ht="12.75" hidden="false" customHeight="false" outlineLevel="0" collapsed="false">
      <c r="B16" s="98" t="s">
        <v>44</v>
      </c>
      <c r="C16" s="99"/>
      <c r="D16" s="100"/>
      <c r="E16" s="101"/>
      <c r="F16" s="102" t="n">
        <v>0</v>
      </c>
      <c r="G16" s="103" t="n">
        <f aca="false">+F16*[1]PV!$E$9</f>
        <v>0</v>
      </c>
      <c r="J16" s="37" t="n">
        <f aca="false">+G16/-$D$7</f>
        <v>0</v>
      </c>
      <c r="K16" s="38" t="n">
        <f aca="false">+G16/$D$4</f>
        <v>0</v>
      </c>
    </row>
    <row r="17" customFormat="false" ht="12.75" hidden="false" customHeight="false" outlineLevel="0" collapsed="false">
      <c r="B17" s="104" t="s">
        <v>45</v>
      </c>
      <c r="C17" s="105"/>
      <c r="D17" s="106"/>
      <c r="E17" s="107"/>
      <c r="F17" s="108" t="n">
        <f aca="false">-F36</f>
        <v>-148629.387405886</v>
      </c>
      <c r="G17" s="109" t="n">
        <f aca="false">+F17*[1]PV!$E$9</f>
        <v>-147075.590146894</v>
      </c>
      <c r="H17" s="110"/>
      <c r="I17" s="110"/>
      <c r="J17" s="37" t="n">
        <f aca="false">+G17/-$D$7</f>
        <v>-0.0551671380896077</v>
      </c>
      <c r="K17" s="38" t="n">
        <f aca="false">+G17/$D$4</f>
        <v>-0.0540719081422405</v>
      </c>
    </row>
    <row r="18" customFormat="false" ht="12.75" hidden="false" customHeight="false" outlineLevel="0" collapsed="false">
      <c r="B18" s="104"/>
      <c r="C18" s="105"/>
      <c r="D18" s="106"/>
      <c r="E18" s="107"/>
      <c r="F18" s="108"/>
      <c r="G18" s="109"/>
      <c r="H18" s="110"/>
      <c r="I18" s="110"/>
      <c r="J18" s="37"/>
      <c r="K18" s="38"/>
    </row>
    <row r="19" customFormat="false" ht="12.75" hidden="false" customHeight="false" outlineLevel="0" collapsed="false">
      <c r="B19" s="104" t="s">
        <v>46</v>
      </c>
      <c r="C19" s="105"/>
      <c r="D19" s="111"/>
      <c r="E19" s="107"/>
      <c r="F19" s="108" t="n">
        <f aca="false">SUM(F13:F17)</f>
        <v>-1662389.38740589</v>
      </c>
      <c r="G19" s="109" t="n">
        <f aca="false">SUM(G13:G17)</f>
        <v>-1645010.48193765</v>
      </c>
      <c r="J19" s="37" t="n">
        <f aca="false">+G19/-$D$7</f>
        <v>-0.617033189023874</v>
      </c>
      <c r="K19" s="38" t="n">
        <f aca="false">+G19/$D$4</f>
        <v>-0.604783265418253</v>
      </c>
    </row>
    <row r="20" customFormat="false" ht="12.75" hidden="false" customHeight="false" outlineLevel="0" collapsed="false">
      <c r="B20" s="112"/>
      <c r="C20" s="113"/>
      <c r="D20" s="114"/>
      <c r="E20" s="115"/>
      <c r="F20" s="116"/>
      <c r="G20" s="116"/>
      <c r="H20" s="79"/>
      <c r="I20" s="79"/>
      <c r="J20" s="37"/>
      <c r="K20" s="38"/>
    </row>
    <row r="21" customFormat="false" ht="15.75" hidden="false" customHeight="false" outlineLevel="0" collapsed="false">
      <c r="B21" s="117" t="s">
        <v>47</v>
      </c>
      <c r="C21" s="118"/>
      <c r="D21" s="118"/>
      <c r="E21" s="119"/>
      <c r="F21" s="120" t="n">
        <f aca="false">+F11+F19</f>
        <v>308301.612594113</v>
      </c>
      <c r="G21" s="121" t="n">
        <f aca="false">+G19+G11</f>
        <v>305078.574344728</v>
      </c>
      <c r="H21" s="122"/>
      <c r="I21" s="122"/>
      <c r="J21" s="123" t="n">
        <f aca="false">+G21/-D7</f>
        <v>0.114433073647685</v>
      </c>
      <c r="K21" s="124" t="n">
        <f aca="false">+G21/$D$4</f>
        <v>0.112161240567915</v>
      </c>
    </row>
    <row r="22" customFormat="false" ht="12.75" hidden="false" customHeight="false" outlineLevel="0" collapsed="false">
      <c r="B22" s="125"/>
      <c r="C22" s="126"/>
      <c r="D22" s="127"/>
      <c r="E22" s="128"/>
      <c r="F22" s="127"/>
      <c r="G22" s="127"/>
      <c r="J22" s="127"/>
      <c r="K22" s="127"/>
    </row>
    <row r="23" customFormat="false" ht="12.75" hidden="false" customHeight="false" outlineLevel="0" collapsed="false">
      <c r="B23" s="125"/>
      <c r="C23" s="126"/>
      <c r="D23" s="127"/>
      <c r="E23" s="128"/>
      <c r="F23" s="127"/>
      <c r="G23" s="129"/>
      <c r="J23" s="127"/>
      <c r="K23" s="127"/>
    </row>
    <row r="24" customFormat="false" ht="12.75" hidden="false" customHeight="false" outlineLevel="0" collapsed="false">
      <c r="B24" s="125"/>
      <c r="C24" s="126"/>
      <c r="E24" s="130"/>
      <c r="F24" s="110"/>
      <c r="J24" s="127"/>
    </row>
    <row r="25" customFormat="false" ht="12.75" hidden="false" customHeight="false" outlineLevel="0" collapsed="false">
      <c r="B25" s="131" t="s">
        <v>48</v>
      </c>
      <c r="C25" s="131"/>
      <c r="D25" s="131"/>
      <c r="E25" s="132"/>
      <c r="F25" s="133"/>
      <c r="G25" s="134"/>
    </row>
    <row r="26" customFormat="false" ht="12.75" hidden="false" customHeight="false" outlineLevel="0" collapsed="false">
      <c r="B26" s="0" t="s">
        <v>49</v>
      </c>
      <c r="C26" s="135" t="n">
        <v>36960</v>
      </c>
      <c r="D26" s="127"/>
      <c r="E26" s="136"/>
      <c r="G26" s="110"/>
    </row>
    <row r="27" customFormat="false" ht="12.75" hidden="false" customHeight="false" outlineLevel="0" collapsed="false">
      <c r="B27" s="0" t="s">
        <v>50</v>
      </c>
      <c r="C27" s="127" t="n">
        <v>2</v>
      </c>
      <c r="G27" s="110"/>
    </row>
    <row r="28" customFormat="false" ht="12.75" hidden="false" customHeight="false" outlineLevel="0" collapsed="false">
      <c r="B28" s="0" t="s">
        <v>51</v>
      </c>
      <c r="C28" s="135" t="n">
        <f aca="false">+C26+C27</f>
        <v>36962</v>
      </c>
      <c r="G28" s="110"/>
      <c r="H28" s="0" t="s">
        <v>52</v>
      </c>
    </row>
    <row r="29" customFormat="false" ht="12.75" hidden="false" customHeight="false" outlineLevel="0" collapsed="false">
      <c r="B29" s="0" t="s">
        <v>53</v>
      </c>
      <c r="C29" s="135" t="n">
        <v>37001</v>
      </c>
      <c r="G29" s="110"/>
      <c r="H29" s="0" t="s">
        <v>54</v>
      </c>
      <c r="J29" s="137" t="n">
        <f aca="false">E4</f>
        <v>5.787</v>
      </c>
      <c r="K29" s="0" t="s">
        <v>55</v>
      </c>
      <c r="L29" s="127" t="s">
        <v>56</v>
      </c>
      <c r="M29" s="110" t="n">
        <f aca="false">-F4</f>
        <v>15740640</v>
      </c>
    </row>
    <row r="30" customFormat="false" ht="12.75" hidden="false" customHeight="false" outlineLevel="0" collapsed="false">
      <c r="B30" s="0" t="s">
        <v>57</v>
      </c>
      <c r="C30" s="135" t="n">
        <v>37001</v>
      </c>
      <c r="G30" s="110"/>
      <c r="H30" s="0" t="s">
        <v>58</v>
      </c>
      <c r="M30" s="110" t="n">
        <v>-9465598</v>
      </c>
    </row>
    <row r="31" customFormat="false" ht="12.75" hidden="false" customHeight="false" outlineLevel="0" collapsed="false">
      <c r="C31" s="127"/>
      <c r="D31" s="138"/>
      <c r="M31" s="139" t="n">
        <v>-3038619</v>
      </c>
    </row>
    <row r="32" customFormat="false" ht="12.75" hidden="false" customHeight="false" outlineLevel="0" collapsed="false">
      <c r="M32" s="110" t="n">
        <f aca="false">SUM(M29:M31)</f>
        <v>3236423</v>
      </c>
    </row>
    <row r="33" customFormat="false" ht="12.75" hidden="false" customHeight="false" outlineLevel="0" collapsed="false">
      <c r="B33" s="0" t="s">
        <v>59</v>
      </c>
      <c r="C33" s="0" t="s">
        <v>60</v>
      </c>
    </row>
    <row r="34" customFormat="false" ht="12.75" hidden="false" customHeight="false" outlineLevel="0" collapsed="false">
      <c r="B34" s="8" t="n">
        <v>15792548</v>
      </c>
      <c r="C34" s="0" t="n">
        <v>8</v>
      </c>
      <c r="D34" s="140" t="n">
        <v>0.11</v>
      </c>
      <c r="F34" s="102" t="n">
        <f aca="false">(+D34*C34/365.25)*B34</f>
        <v>38049.1231759069</v>
      </c>
    </row>
    <row r="35" customFormat="false" ht="12.75" hidden="false" customHeight="false" outlineLevel="0" collapsed="false">
      <c r="B35" s="8" t="n">
        <v>15792548</v>
      </c>
      <c r="C35" s="0" t="n">
        <v>31</v>
      </c>
      <c r="D35" s="140" t="n">
        <v>0.0825</v>
      </c>
      <c r="F35" s="102" t="n">
        <f aca="false">(+D35*C35/365.25)*B35</f>
        <v>110580.264229979</v>
      </c>
    </row>
    <row r="36" customFormat="false" ht="12.75" hidden="false" customHeight="false" outlineLevel="0" collapsed="false">
      <c r="F36" s="110" t="n">
        <f aca="false">SUM(F34:F35)</f>
        <v>148629.387405886</v>
      </c>
    </row>
  </sheetData>
  <mergeCells count="1">
    <mergeCell ref="B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5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50.7"/>
    <col collapsed="false" customWidth="true" hidden="false" outlineLevel="0" max="3" min="3" style="0" width="25.7"/>
    <col collapsed="false" customWidth="true" hidden="false" outlineLevel="0" max="5" min="5" style="0" width="13.85"/>
    <col collapsed="false" customWidth="true" hidden="false" outlineLevel="0" max="6" min="6" style="0" width="12.42"/>
    <col collapsed="false" customWidth="true" hidden="false" outlineLevel="0" max="7" min="7" style="0" width="21.56"/>
    <col collapsed="false" customWidth="true" hidden="false" outlineLevel="0" max="8" min="8" style="0" width="13.85"/>
  </cols>
  <sheetData>
    <row r="1" customFormat="false" ht="12.75" hidden="false" customHeight="false" outlineLevel="0" collapsed="false">
      <c r="B1" s="141" t="s">
        <v>61</v>
      </c>
    </row>
    <row r="2" customFormat="false" ht="13.5" hidden="false" customHeight="false" outlineLevel="0" collapsed="false"/>
    <row r="3" customFormat="false" ht="13.5" hidden="false" customHeight="false" outlineLevel="0" collapsed="false">
      <c r="B3" s="11" t="s">
        <v>62</v>
      </c>
      <c r="C3" s="142" t="n">
        <v>0.0025</v>
      </c>
    </row>
    <row r="4" customFormat="false" ht="13.5" hidden="false" customHeight="false" outlineLevel="0" collapsed="false">
      <c r="B4" s="11" t="s">
        <v>63</v>
      </c>
      <c r="C4" s="143" t="n">
        <v>0.55</v>
      </c>
    </row>
    <row r="5" customFormat="false" ht="13.5" hidden="false" customHeight="false" outlineLevel="0" collapsed="false">
      <c r="B5" s="144" t="s">
        <v>64</v>
      </c>
      <c r="C5" s="145" t="n">
        <v>0.0175</v>
      </c>
    </row>
    <row r="6" customFormat="false" ht="16.5" hidden="false" customHeight="false" outlineLevel="0" collapsed="false">
      <c r="B6" s="146"/>
    </row>
    <row r="7" customFormat="false" ht="25.5" hidden="false" customHeight="false" outlineLevel="0" collapsed="false">
      <c r="B7" s="147" t="s">
        <v>65</v>
      </c>
      <c r="C7" s="148" t="s">
        <v>66</v>
      </c>
    </row>
    <row r="8" customFormat="false" ht="12.75" hidden="false" customHeight="false" outlineLevel="0" collapsed="false">
      <c r="B8" s="149" t="s">
        <v>67</v>
      </c>
      <c r="C8" s="150" t="n">
        <v>6.79</v>
      </c>
    </row>
    <row r="9" customFormat="false" ht="13.5" hidden="false" customHeight="false" outlineLevel="0" collapsed="false">
      <c r="B9" s="151" t="s">
        <v>68</v>
      </c>
      <c r="C9" s="152" t="n">
        <v>3.48</v>
      </c>
    </row>
    <row r="10" customFormat="false" ht="13.5" hidden="false" customHeight="false" outlineLevel="0" collapsed="false">
      <c r="B10" s="153" t="s">
        <v>1</v>
      </c>
      <c r="C10" s="154" t="s">
        <v>15</v>
      </c>
    </row>
    <row r="11" customFormat="false" ht="13.5" hidden="false" customHeight="false" outlineLevel="0" collapsed="false">
      <c r="B11" s="155" t="s">
        <v>69</v>
      </c>
      <c r="C11" s="156" t="s">
        <v>70</v>
      </c>
    </row>
    <row r="12" customFormat="false" ht="12.75" hidden="false" customHeight="false" outlineLevel="0" collapsed="false">
      <c r="B12" s="157" t="s">
        <v>71</v>
      </c>
      <c r="C12" s="158" t="n">
        <v>2200</v>
      </c>
    </row>
    <row r="13" customFormat="false" ht="12.75" hidden="false" customHeight="false" outlineLevel="0" collapsed="false">
      <c r="B13" s="157" t="s">
        <v>72</v>
      </c>
      <c r="C13" s="158" t="s">
        <v>73</v>
      </c>
    </row>
    <row r="14" customFormat="false" ht="12.75" hidden="false" customHeight="false" outlineLevel="0" collapsed="false">
      <c r="B14" s="157" t="s">
        <v>74</v>
      </c>
      <c r="C14" s="158" t="n">
        <v>2200</v>
      </c>
    </row>
    <row r="15" customFormat="false" ht="12.75" hidden="false" customHeight="false" outlineLevel="0" collapsed="false">
      <c r="B15" s="157" t="s">
        <v>75</v>
      </c>
      <c r="C15" s="158" t="n">
        <v>17.5</v>
      </c>
    </row>
    <row r="16" customFormat="false" ht="12.75" hidden="false" customHeight="false" outlineLevel="0" collapsed="false">
      <c r="B16" s="157" t="s">
        <v>76</v>
      </c>
      <c r="C16" s="158" t="n">
        <v>17.5</v>
      </c>
    </row>
    <row r="17" customFormat="false" ht="12.75" hidden="false" customHeight="false" outlineLevel="0" collapsed="false">
      <c r="B17" s="157" t="s">
        <v>77</v>
      </c>
      <c r="C17" s="158" t="n">
        <v>0</v>
      </c>
    </row>
    <row r="18" customFormat="false" ht="12.75" hidden="false" customHeight="false" outlineLevel="0" collapsed="false">
      <c r="B18" s="157" t="s">
        <v>78</v>
      </c>
      <c r="C18" s="158" t="n">
        <v>1</v>
      </c>
    </row>
    <row r="19" customFormat="false" ht="13.5" hidden="false" customHeight="false" outlineLevel="0" collapsed="false">
      <c r="B19" s="159" t="s">
        <v>79</v>
      </c>
      <c r="C19" s="160" t="n">
        <v>1</v>
      </c>
    </row>
    <row r="20" customFormat="false" ht="12.75" hidden="false" customHeight="false" outlineLevel="0" collapsed="false">
      <c r="B20" s="161" t="s">
        <v>80</v>
      </c>
      <c r="C20" s="162"/>
    </row>
    <row r="21" customFormat="false" ht="12.75" hidden="false" customHeight="false" outlineLevel="0" collapsed="false">
      <c r="B21" s="157" t="s">
        <v>81</v>
      </c>
      <c r="C21" s="163" t="n">
        <f aca="false">(C17*2)</f>
        <v>0</v>
      </c>
    </row>
    <row r="22" customFormat="false" ht="12.75" hidden="false" customHeight="false" outlineLevel="0" collapsed="false">
      <c r="B22" s="157" t="s">
        <v>82</v>
      </c>
      <c r="C22" s="163" t="n">
        <f aca="false">ROUNDUP(C18+C19,1)</f>
        <v>2</v>
      </c>
    </row>
    <row r="23" customFormat="false" ht="12.75" hidden="false" customHeight="false" outlineLevel="0" collapsed="false">
      <c r="B23" s="157" t="s">
        <v>83</v>
      </c>
      <c r="C23" s="163" t="n">
        <f aca="false">ROUNDUP(C12/(C15*24),0)</f>
        <v>6</v>
      </c>
    </row>
    <row r="24" customFormat="false" ht="12.75" hidden="false" customHeight="false" outlineLevel="0" collapsed="false">
      <c r="B24" s="157" t="s">
        <v>84</v>
      </c>
      <c r="C24" s="164" t="n">
        <f aca="false">ROUNDUP(C14/(C16*24),0)</f>
        <v>6</v>
      </c>
    </row>
    <row r="25" customFormat="false" ht="13.5" hidden="false" customHeight="false" outlineLevel="0" collapsed="false">
      <c r="B25" s="165" t="s">
        <v>85</v>
      </c>
      <c r="C25" s="166" t="n">
        <f aca="false">SUM(C21:C24)</f>
        <v>14</v>
      </c>
    </row>
    <row r="26" customFormat="false" ht="12.75" hidden="false" customHeight="false" outlineLevel="0" collapsed="false">
      <c r="B26" s="157" t="s">
        <v>86</v>
      </c>
      <c r="C26" s="167" t="n">
        <f aca="false">121000*23.5</f>
        <v>2843500</v>
      </c>
    </row>
    <row r="27" customFormat="false" ht="12.75" hidden="false" customHeight="false" outlineLevel="0" collapsed="false">
      <c r="B27" s="157" t="s">
        <v>87</v>
      </c>
      <c r="C27" s="168" t="n">
        <f aca="false">($C$3*C26)*C23</f>
        <v>42652.5</v>
      </c>
    </row>
    <row r="28" customFormat="false" ht="12.75" hidden="false" customHeight="false" outlineLevel="0" collapsed="false">
      <c r="B28" s="157" t="s">
        <v>88</v>
      </c>
      <c r="C28" s="168" t="n">
        <f aca="false">($C$3*C26)*C24</f>
        <v>42652.5</v>
      </c>
    </row>
    <row r="29" customFormat="false" ht="12.75" hidden="false" customHeight="false" outlineLevel="0" collapsed="false">
      <c r="B29" s="157" t="s">
        <v>89</v>
      </c>
      <c r="C29" s="168" t="n">
        <f aca="false">($C$3*C26)*C22</f>
        <v>14217.5</v>
      </c>
    </row>
    <row r="30" customFormat="false" ht="15" hidden="false" customHeight="false" outlineLevel="0" collapsed="false">
      <c r="B30" s="157" t="s">
        <v>90</v>
      </c>
      <c r="C30" s="169" t="n">
        <v>23978</v>
      </c>
    </row>
    <row r="31" customFormat="false" ht="13.5" hidden="false" customHeight="false" outlineLevel="0" collapsed="false">
      <c r="B31" s="157" t="s">
        <v>91</v>
      </c>
      <c r="C31" s="168" t="n">
        <f aca="false">C26-C27-C28-C29-C30</f>
        <v>2719999.5</v>
      </c>
    </row>
    <row r="32" customFormat="false" ht="26.25" hidden="false" customHeight="false" outlineLevel="0" collapsed="false">
      <c r="B32" s="170" t="s">
        <v>92</v>
      </c>
      <c r="C32" s="171" t="n">
        <f aca="false">C9*C31</f>
        <v>9465598.26</v>
      </c>
      <c r="F32" s="172" t="s">
        <v>93</v>
      </c>
    </row>
    <row r="33" customFormat="false" ht="12.75" hidden="false" customHeight="false" outlineLevel="0" collapsed="false">
      <c r="B33" s="157" t="s">
        <v>94</v>
      </c>
      <c r="C33" s="169" t="n">
        <f aca="false">$C$5*C31</f>
        <v>47599.99125</v>
      </c>
      <c r="E33" s="173"/>
    </row>
    <row r="34" customFormat="false" ht="13.5" hidden="false" customHeight="false" outlineLevel="0" collapsed="false">
      <c r="B34" s="161" t="s">
        <v>95</v>
      </c>
      <c r="C34" s="174" t="n">
        <f aca="false">C31-C33</f>
        <v>2672399.50875</v>
      </c>
      <c r="E34" s="175" t="n">
        <v>2666000</v>
      </c>
    </row>
    <row r="35" customFormat="false" ht="12.75" hidden="false" customHeight="false" outlineLevel="0" collapsed="false">
      <c r="B35" s="176" t="s">
        <v>96</v>
      </c>
      <c r="C35" s="177" t="n">
        <f aca="false">C34*($C$8-0.1625)</f>
        <v>17711327.7442406</v>
      </c>
      <c r="E35" s="178" t="n">
        <f aca="false">E34*($C$8-0.1625)</f>
        <v>17668915</v>
      </c>
      <c r="F35" s="179" t="n">
        <f aca="false">(C35-E35)/C31</f>
        <v>0.0155929235430472</v>
      </c>
    </row>
    <row r="36" customFormat="false" ht="12.75" hidden="false" customHeight="false" outlineLevel="0" collapsed="false">
      <c r="B36" s="176" t="s">
        <v>97</v>
      </c>
      <c r="C36" s="180" t="n">
        <f aca="false">-C31*0.1</f>
        <v>-271999.95</v>
      </c>
    </row>
    <row r="37" customFormat="false" ht="12.75" hidden="false" customHeight="false" outlineLevel="0" collapsed="false">
      <c r="B37" s="162" t="s">
        <v>98</v>
      </c>
      <c r="C37" s="180" t="n">
        <f aca="false">-C32</f>
        <v>-9465598.26</v>
      </c>
    </row>
    <row r="38" customFormat="false" ht="12.75" hidden="false" customHeight="false" outlineLevel="0" collapsed="false">
      <c r="B38" s="157" t="s">
        <v>99</v>
      </c>
      <c r="C38" s="180" t="n">
        <f aca="false">-C4*C31</f>
        <v>-1495999.725</v>
      </c>
      <c r="E38" s="181"/>
    </row>
    <row r="39" customFormat="false" ht="12.75" hidden="false" customHeight="false" outlineLevel="0" collapsed="false">
      <c r="B39" s="157" t="s">
        <v>100</v>
      </c>
      <c r="C39" s="180" t="n">
        <v>0</v>
      </c>
    </row>
    <row r="40" customFormat="false" ht="12.75" hidden="false" customHeight="false" outlineLevel="0" collapsed="false">
      <c r="B40" s="176" t="s">
        <v>101</v>
      </c>
      <c r="C40" s="180" t="n">
        <v>0</v>
      </c>
    </row>
    <row r="41" customFormat="false" ht="12.75" hidden="false" customHeight="false" outlineLevel="0" collapsed="false">
      <c r="B41" s="176" t="s">
        <v>102</v>
      </c>
      <c r="C41" s="180" t="n">
        <v>0</v>
      </c>
      <c r="E41" s="181"/>
    </row>
    <row r="42" customFormat="false" ht="12.75" hidden="false" customHeight="false" outlineLevel="0" collapsed="false">
      <c r="B42" s="176" t="s">
        <v>103</v>
      </c>
      <c r="C42" s="180" t="n">
        <v>-20609</v>
      </c>
      <c r="E42" s="8" t="n">
        <v>12534</v>
      </c>
      <c r="F42" s="182" t="n">
        <f aca="false">-(C42+E42)/C31</f>
        <v>0.0029687505457262</v>
      </c>
    </row>
    <row r="43" customFormat="false" ht="12.75" hidden="false" customHeight="false" outlineLevel="0" collapsed="false">
      <c r="B43" s="176" t="s">
        <v>104</v>
      </c>
      <c r="C43" s="180" t="n">
        <v>-2000</v>
      </c>
      <c r="E43" s="183"/>
    </row>
    <row r="44" customFormat="false" ht="12.75" hidden="false" customHeight="false" outlineLevel="0" collapsed="false">
      <c r="B44" s="184" t="s">
        <v>105</v>
      </c>
      <c r="C44" s="185" t="n">
        <v>-72901</v>
      </c>
      <c r="E44" s="8" t="n">
        <v>110140</v>
      </c>
      <c r="F44" s="179" t="n">
        <f aca="false">(C44+E44)/C31</f>
        <v>0.0136908113402227</v>
      </c>
    </row>
    <row r="45" customFormat="false" ht="13.5" hidden="false" customHeight="false" outlineLevel="0" collapsed="false">
      <c r="B45" s="186" t="s">
        <v>106</v>
      </c>
      <c r="C45" s="187" t="n">
        <f aca="false">SUM(C35:C44)</f>
        <v>6382219.80924063</v>
      </c>
      <c r="H45" s="8"/>
    </row>
    <row r="46" customFormat="false" ht="12.75" hidden="false" customHeight="false" outlineLevel="0" collapsed="false">
      <c r="C46" s="8"/>
      <c r="E46" s="0" t="s">
        <v>107</v>
      </c>
      <c r="F46" s="182" t="n">
        <f aca="false">SUM(F35:F44)</f>
        <v>0.0322524854289961</v>
      </c>
    </row>
    <row r="47" customFormat="false" ht="12.75" hidden="false" customHeight="false" outlineLevel="0" collapsed="false">
      <c r="B47" s="0" t="s">
        <v>108</v>
      </c>
      <c r="C47" s="8" t="n">
        <v>3038619</v>
      </c>
    </row>
    <row r="48" customFormat="false" ht="12.75" hidden="false" customHeight="false" outlineLevel="0" collapsed="false">
      <c r="B48" s="0" t="s">
        <v>109</v>
      </c>
      <c r="C48" s="183" t="n">
        <f aca="false">C45-C47</f>
        <v>3343600.80924063</v>
      </c>
      <c r="E48" s="0" t="s">
        <v>110</v>
      </c>
      <c r="F48" s="188" t="n">
        <f aca="false">C51-F46</f>
        <v>5.79415228752799</v>
      </c>
    </row>
    <row r="49" customFormat="false" ht="12.75" hidden="false" customHeight="false" outlineLevel="0" collapsed="false">
      <c r="C49" s="110"/>
    </row>
    <row r="50" customFormat="false" ht="12.75" hidden="false" customHeight="false" outlineLevel="0" collapsed="false">
      <c r="B50" s="0" t="s">
        <v>111</v>
      </c>
      <c r="C50" s="183" t="n">
        <f aca="false">C32+C45</f>
        <v>15847818.0692406</v>
      </c>
    </row>
    <row r="51" customFormat="false" ht="12.75" hidden="false" customHeight="false" outlineLevel="0" collapsed="false">
      <c r="B51" s="0" t="s">
        <v>112</v>
      </c>
      <c r="C51" s="7" t="n">
        <f aca="false">C50/C31</f>
        <v>5.82640477295699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&amp;L&amp;D&amp;RCreated by:   Dustin Collins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68">
              <controlPr defaultSize="0" print="false" autoFill="0" autoPict="0" macro="Module1.Macro1">
                <anchor moveWithCells="true" sizeWithCells="false">
                  <from>
                    <xdr:col>5</xdr:col>
                    <xdr:colOff>271800</xdr:colOff>
                    <xdr:row>5</xdr:row>
                    <xdr:rowOff>0</xdr:rowOff>
                  </from>
                  <to>
                    <xdr:col>7</xdr:col>
                    <xdr:colOff>403200</xdr:colOff>
                    <xdr:row>6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2.42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1" t="s">
        <v>113</v>
      </c>
    </row>
    <row r="2" customFormat="false" ht="13.5" hidden="false" customHeight="false" outlineLevel="0" collapsed="false">
      <c r="A2" s="1"/>
    </row>
    <row r="3" customFormat="false" ht="13.5" hidden="false" customHeight="false" outlineLevel="0" collapsed="false">
      <c r="A3" s="189" t="s">
        <v>114</v>
      </c>
      <c r="B3" s="189"/>
      <c r="C3" s="189"/>
      <c r="D3" s="189"/>
      <c r="E3" s="189"/>
      <c r="F3" s="189"/>
    </row>
    <row r="4" customFormat="false" ht="12.75" hidden="false" customHeight="false" outlineLevel="0" collapsed="false">
      <c r="C4" s="190"/>
      <c r="D4" s="190" t="s">
        <v>115</v>
      </c>
      <c r="E4" s="190" t="s">
        <v>116</v>
      </c>
      <c r="F4" s="190" t="s">
        <v>116</v>
      </c>
    </row>
    <row r="5" customFormat="false" ht="12.75" hidden="false" customHeight="false" outlineLevel="0" collapsed="false">
      <c r="A5" s="1" t="s">
        <v>117</v>
      </c>
      <c r="B5" s="190" t="s">
        <v>118</v>
      </c>
      <c r="C5" s="190" t="s">
        <v>119</v>
      </c>
      <c r="D5" s="190" t="s">
        <v>120</v>
      </c>
      <c r="E5" s="190" t="s">
        <v>121</v>
      </c>
      <c r="F5" s="190" t="s">
        <v>122</v>
      </c>
    </row>
    <row r="6" customFormat="false" ht="12.75" hidden="false" customHeight="false" outlineLevel="0" collapsed="false">
      <c r="A6" s="0" t="s">
        <v>123</v>
      </c>
      <c r="B6" s="8" t="n">
        <f aca="false">'Spot Cargo Model'!C50-C38</f>
        <v>15847818.0692406</v>
      </c>
      <c r="C6" s="191" t="n">
        <v>10</v>
      </c>
      <c r="D6" s="191" t="n">
        <v>32</v>
      </c>
      <c r="E6" s="140" t="n">
        <f aca="false">0.085*(D6/365)</f>
        <v>0.00745205479452055</v>
      </c>
      <c r="F6" s="192" t="n">
        <f aca="false">-E6*B6</f>
        <v>-118098.808625574</v>
      </c>
    </row>
    <row r="7" customFormat="false" ht="12.75" hidden="false" customHeight="false" outlineLevel="0" collapsed="false">
      <c r="A7" s="0" t="s">
        <v>124</v>
      </c>
      <c r="B7" s="8" t="n">
        <f aca="false">'Spot Cargo Model'!C42</f>
        <v>-20609</v>
      </c>
      <c r="C7" s="191" t="n">
        <v>10</v>
      </c>
      <c r="D7" s="191" t="n">
        <v>32</v>
      </c>
      <c r="E7" s="140" t="n">
        <f aca="false">0.085*(D7/365)</f>
        <v>0.00745205479452055</v>
      </c>
      <c r="F7" s="192" t="n">
        <f aca="false">E7*B7</f>
        <v>-153.579397260274</v>
      </c>
    </row>
    <row r="8" customFormat="false" ht="12.75" hidden="false" customHeight="false" outlineLevel="0" collapsed="false">
      <c r="A8" s="0" t="s">
        <v>125</v>
      </c>
      <c r="B8" s="8" t="n">
        <f aca="false">'Spot Cargo Model'!C35</f>
        <v>17711327.7442406</v>
      </c>
      <c r="C8" s="191" t="n">
        <v>42</v>
      </c>
      <c r="D8" s="191" t="n">
        <v>0</v>
      </c>
      <c r="E8" s="140" t="n">
        <f aca="false">0.085*(D8/365)</f>
        <v>0</v>
      </c>
      <c r="F8" s="192" t="n">
        <f aca="false">E8*B8</f>
        <v>0</v>
      </c>
    </row>
    <row r="9" customFormat="false" ht="12.75" hidden="false" customHeight="false" outlineLevel="0" collapsed="false">
      <c r="A9" s="0" t="s">
        <v>41</v>
      </c>
      <c r="B9" s="8" t="n">
        <f aca="false">'Spot Cargo Model'!C38</f>
        <v>-1495999.725</v>
      </c>
      <c r="C9" s="191" t="n">
        <v>47</v>
      </c>
      <c r="D9" s="191" t="n">
        <v>5</v>
      </c>
      <c r="E9" s="140" t="n">
        <f aca="false">0.085*(D9/365)</f>
        <v>0.00116438356164384</v>
      </c>
      <c r="F9" s="192" t="n">
        <f aca="false">-E9*B9</f>
        <v>1741.9174880137</v>
      </c>
    </row>
    <row r="10" customFormat="false" ht="12.75" hidden="false" customHeight="false" outlineLevel="0" collapsed="false">
      <c r="A10" s="193" t="s">
        <v>85</v>
      </c>
      <c r="B10" s="193"/>
      <c r="C10" s="193"/>
      <c r="D10" s="193"/>
      <c r="E10" s="193"/>
      <c r="F10" s="194" t="n">
        <f aca="false">SUM(F6:F9)</f>
        <v>-116510.470534821</v>
      </c>
    </row>
    <row r="14" customFormat="false" ht="12.75" hidden="false" customHeight="false" outlineLevel="0" collapsed="false">
      <c r="A14" s="195" t="s">
        <v>126</v>
      </c>
    </row>
    <row r="15" customFormat="false" ht="12.75" hidden="false" customHeight="false" outlineLevel="0" collapsed="false">
      <c r="A15" s="0" t="s">
        <v>127</v>
      </c>
    </row>
    <row r="16" customFormat="false" ht="12.75" hidden="false" customHeight="false" outlineLevel="0" collapsed="false">
      <c r="A16" s="0" t="s">
        <v>128</v>
      </c>
    </row>
    <row r="17" customFormat="false" ht="12.75" hidden="false" customHeight="false" outlineLevel="0" collapsed="false">
      <c r="A17" s="0" t="s">
        <v>129</v>
      </c>
    </row>
    <row r="18" customFormat="false" ht="12.75" hidden="false" customHeight="false" outlineLevel="0" collapsed="false">
      <c r="A18" s="0" t="s">
        <v>130</v>
      </c>
    </row>
    <row r="19" customFormat="false" ht="12.75" hidden="false" customHeight="false" outlineLevel="0" collapsed="false">
      <c r="A19" s="0" t="s">
        <v>131</v>
      </c>
    </row>
    <row r="22" customFormat="false" ht="12.75" hidden="false" customHeight="false" outlineLevel="0" collapsed="false">
      <c r="C22" s="190"/>
      <c r="D22" s="190" t="s">
        <v>115</v>
      </c>
      <c r="E22" s="190" t="s">
        <v>116</v>
      </c>
      <c r="F22" s="190" t="s">
        <v>116</v>
      </c>
    </row>
    <row r="23" customFormat="false" ht="12.75" hidden="false" customHeight="false" outlineLevel="0" collapsed="false">
      <c r="B23" s="0" t="s">
        <v>118</v>
      </c>
      <c r="C23" s="190" t="s">
        <v>119</v>
      </c>
      <c r="D23" s="190" t="s">
        <v>120</v>
      </c>
      <c r="E23" s="190" t="s">
        <v>121</v>
      </c>
      <c r="F23" s="190" t="s">
        <v>132</v>
      </c>
    </row>
    <row r="24" customFormat="false" ht="12.75" hidden="false" customHeight="false" outlineLevel="0" collapsed="false">
      <c r="B24" s="8" t="n">
        <f aca="false">(68500*22.54)*3.48</f>
        <v>5373085.2</v>
      </c>
      <c r="C24" s="191" t="n">
        <v>30</v>
      </c>
      <c r="D24" s="191" t="n">
        <v>20</v>
      </c>
      <c r="E24" s="140" t="n">
        <f aca="false">0.085*(D24/365)</f>
        <v>0.00465753424657534</v>
      </c>
      <c r="F24" s="8" t="n">
        <f aca="false">E24*B24</f>
        <v>25025.3283287671</v>
      </c>
    </row>
  </sheetData>
  <mergeCells count="1">
    <mergeCell ref="A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2000-02-09T19:34:25Z</dcterms:created>
  <dc:creator>ENRON</dc:creator>
  <dc:description/>
  <dc:language>en-US</dc:language>
  <cp:lastModifiedBy>dcollin</cp:lastModifiedBy>
  <cp:lastPrinted>2001-02-07T14:22:34Z</cp:lastPrinted>
  <cp:revision>0</cp:revision>
  <dc:subject/>
  <dc:title/>
</cp:coreProperties>
</file>