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Cs # Master" sheetId="1" state="visible" r:id="rId3"/>
    <sheet name="Corp Summary by Group" sheetId="2" state="visible" r:id="rId4"/>
    <sheet name="Corp Group Sum" sheetId="3" state="hidden" r:id="rId5"/>
    <sheet name="ECM MMF CALC" sheetId="4" state="hidden" r:id="rId6"/>
    <sheet name="Module1" sheetId="5" state="hidden" r:id="rId7"/>
    <sheet name="Module2" sheetId="6" state="hidden" r:id="rId8"/>
    <sheet name="Module3" sheetId="7" state="hidden" r:id="rId9"/>
  </sheets>
  <definedNames>
    <definedName function="false" hidden="false" localSheetId="0" name="_xlnm.Print_Area" vbProcedure="false">'CCs # Master'!$A$1:$BA$217</definedName>
    <definedName function="false" hidden="false" localSheetId="0" name="_xlnm.Print_Titles" vbProcedure="false">'CCs # Master'!$A:$D,'CCs # Master'!$1:$8</definedName>
    <definedName function="false" hidden="false" localSheetId="2" name="_xlnm.Print_Area" vbProcedure="false">'Corp Group Sum'!$A$9:$AD$290</definedName>
    <definedName function="false" hidden="false" localSheetId="2" name="_xlnm.Print_Titles" vbProcedure="false">'Corp Group Sum'!$1:$8</definedName>
    <definedName function="false" hidden="false" localSheetId="1" name="_xlnm.Print_Area" vbProcedure="false">'Corp Summary by Group'!$N$8:$BE$254</definedName>
    <definedName function="false" hidden="false" localSheetId="1" name="_xlnm.Print_Titles" vbProcedure="false">'Corp Summary by Group'!$A:$D,'Corp Summary by Group'!$1:$7</definedName>
    <definedName function="false" hidden="false" localSheetId="3" name="_xlnm.Print_Area" vbProcedure="false">'ECM MMF CALC'!$A$1:$AB$18</definedName>
    <definedName function="false" hidden="false" name="allheads" vbProcedure="false">#REF!</definedName>
    <definedName function="false" hidden="false" name="alloc" vbProcedure="false">#REF!</definedName>
    <definedName function="false" hidden="false" name="allom" vbProcedure="false">#REF!</definedName>
    <definedName function="false" hidden="false" name="CAPITAL" vbProcedure="false">#REF!</definedName>
    <definedName function="false" hidden="false" name="causey_heads" vbProcedure="false">#REF!</definedName>
    <definedName function="false" hidden="false" name="corpbox" vbProcedure="false">#REF!</definedName>
    <definedName function="false" hidden="false" name="heads011" vbProcedure="false">#REF!</definedName>
    <definedName function="false" hidden="false" name="mktcap" vbProcedure="false">#REF!</definedName>
    <definedName function="false" hidden="false" name="mktres" vbProcedure="false">#REF!</definedName>
    <definedName function="false" hidden="false" name="om011" vbProcedure="false">#REF!</definedName>
    <definedName function="false" hidden="false" name="PlanvsPriorYearEst" vbProcedure="false">#REF!</definedName>
    <definedName function="false" hidden="false" name="PlanvsPriorYrPlan" vbProcedure="false">#REF!</definedName>
    <definedName function="false" hidden="false" name="totalalloc" vbProcedure="false">#REF!</definedName>
    <definedName function="false" hidden="false" name="totalom" vbProcedure="false">#REF!</definedName>
    <definedName function="false" hidden="false" localSheetId="1" name="allheads" vbProcedure="false">'Corp Summary by Group'!$E$150:$J$247</definedName>
    <definedName function="false" hidden="false" localSheetId="1" name="alloc" vbProcedure="false">'Corp Summary by Group'!$M$150:$AY$272</definedName>
    <definedName function="false" hidden="false" localSheetId="1" name="allom" vbProcedure="false">'Corp Summary by Group'!$K$150:$K$247</definedName>
    <definedName function="false" hidden="false" localSheetId="1" name="CAPITAL" vbProcedure="false">'Corp Summary by Group'!$L$150:$L$272</definedName>
    <definedName function="false" hidden="false" localSheetId="1" name="corpbox" vbProcedure="false">'Corp Summary by Group'!$K$150:$K$274</definedName>
    <definedName function="false" hidden="false" localSheetId="1" name="heads011" vbProcedure="false">'Corp Summary by Group'!$A$79:$J$274</definedName>
    <definedName function="false" hidden="false" localSheetId="1" name="mktcap" vbProcedure="false">'Corp Summary by Group'!$L$25:$M$276</definedName>
    <definedName function="false" hidden="false" localSheetId="1" name="mktres" vbProcedure="false">'Corp Summary by Group'!$E$25:$K$276</definedName>
    <definedName function="false" hidden="false" localSheetId="1" name="om011" vbProcedure="false">'Corp Summary by Group'!$K$79:$K$274</definedName>
    <definedName function="false" hidden="false" localSheetId="1" name="PlanvsPriorYearEst" vbProcedure="false">'Corp Summary by Group'!$K$150:$K$274</definedName>
    <definedName function="false" hidden="false" localSheetId="1" name="PlanvsPriorYrPlan" vbProcedure="false">'Corp Summary by Group'!$K$150:$K$274</definedName>
    <definedName function="false" hidden="false" localSheetId="1" name="totalalloc" vbProcedure="false">'Corp Summary by Group'!$M$150:$AY$274</definedName>
    <definedName function="false" hidden="false" localSheetId="1" name="totalom" vbProcedure="false">'Corp Summary by Group'!$A$1:$K$274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39" authorId="0">
      <text>
        <r>
          <rPr>
            <b val="true"/>
            <sz val="8"/>
            <color rgb="FF000000"/>
            <rFont val="Tahoma"/>
            <family val="0"/>
          </rPr>
          <t xml:space="preserve">sschwar:
</t>
        </r>
        <r>
          <rPr>
            <sz val="8"/>
            <color rgb="FF000000"/>
            <rFont val="Tahoma"/>
            <family val="0"/>
          </rPr>
          <t xml:space="preserve">All GSS names changed to SS for MMF</t>
        </r>
      </text>
      <mc:AlternateContent>
        <mc:Choice Requires="v2">
          <commentPr autoFill="true" autoScale="false" colHidden="false" locked="false" rowHidden="false" textHAlign="justify" textVAlign="top">
            <anchor moveWithCells="false" sizeWithCells="false">
              <xdr:from>
                <xdr:col>2</xdr:col>
                <xdr:colOff>16</xdr:colOff>
                <xdr:row>137</xdr:row>
                <xdr:rowOff>7</xdr:rowOff>
              </xdr:from>
              <xdr:to>
                <xdr:col>3</xdr:col>
                <xdr:colOff>14</xdr:colOff>
                <xdr:row>141</xdr:row>
                <xdr:rowOff>13</xdr:rowOff>
              </xdr:to>
            </anchor>
          </commentPr>
        </mc:Choice>
        <mc:Fallback/>
      </mc:AlternateContent>
    </comment>
    <comment ref="AB198" authorId="0">
      <text>
        <r>
          <rPr>
            <b val="true"/>
            <sz val="8"/>
            <color rgb="FF000000"/>
            <rFont val="Tahoma"/>
            <family val="0"/>
          </rPr>
          <t xml:space="preserve">aschultz:
</t>
        </r>
        <r>
          <rPr>
            <sz val="8"/>
            <color rgb="FF000000"/>
            <rFont val="Tahoma"/>
            <family val="0"/>
          </rPr>
          <t xml:space="preserve">HC = 120 as of 07/00, HC = 10 due to move to Global Markets per Stephen Wood ( 09/00)</t>
        </r>
      </text>
      <mc:AlternateContent>
        <mc:Choice Requires="v2">
          <commentPr autoFill="true" autoScale="false" colHidden="false" locked="false" rowHidden="true" textHAlign="justify" textVAlign="top">
            <anchor moveWithCells="false" sizeWithCells="false">
              <xdr:from>
                <xdr:col>28</xdr:col>
                <xdr:colOff>12</xdr:colOff>
                <xdr:row>224</xdr:row>
                <xdr:rowOff>7</xdr:rowOff>
              </xdr:from>
              <xdr:to>
                <xdr:col>30</xdr:col>
                <xdr:colOff>33</xdr:colOff>
                <xdr:row>228</xdr:row>
                <xdr:rowOff>13</xdr:rowOff>
              </xdr:to>
            </anchor>
          </commentPr>
        </mc:Choice>
        <mc:Fallback/>
      </mc:AlternateContent>
    </comment>
    <comment ref="AB201" authorId="0">
      <text>
        <r>
          <rPr>
            <b val="true"/>
            <sz val="8"/>
            <color rgb="FF000000"/>
            <rFont val="Tahoma"/>
            <family val="0"/>
          </rPr>
          <t xml:space="preserve">aschultz:
</t>
        </r>
        <r>
          <rPr>
            <sz val="8"/>
            <color rgb="FF000000"/>
            <rFont val="Tahoma"/>
            <family val="0"/>
          </rPr>
          <t xml:space="preserve">per Stephen Wood</t>
        </r>
      </text>
      <mc:AlternateContent>
        <mc:Choice Requires="v2">
          <commentPr autoFill="true" autoScale="false" colHidden="false" locked="false" rowHidden="true" textHAlign="justify" textVAlign="top">
            <anchor moveWithCells="false" sizeWithCells="false">
              <xdr:from>
                <xdr:col>28</xdr:col>
                <xdr:colOff>12</xdr:colOff>
                <xdr:row>227</xdr:row>
                <xdr:rowOff>7</xdr:rowOff>
              </xdr:from>
              <xdr:to>
                <xdr:col>30</xdr:col>
                <xdr:colOff>33</xdr:colOff>
                <xdr:row>231</xdr:row>
                <xdr:rowOff>13</xdr:rowOff>
              </xdr:to>
            </anchor>
          </commentPr>
        </mc:Choice>
        <mc:Fallback/>
      </mc:AlternateContent>
    </comment>
    <comment ref="AD133" authorId="0">
      <text>
        <r>
          <rPr>
            <b val="true"/>
            <sz val="8"/>
            <color rgb="FF000000"/>
            <rFont val="Tahoma"/>
            <family val="0"/>
          </rPr>
          <t xml:space="preserve">sschwar:
</t>
        </r>
        <r>
          <rPr>
            <sz val="8"/>
            <color rgb="FF000000"/>
            <rFont val="Tahoma"/>
            <family val="0"/>
          </rPr>
          <t xml:space="preserve">Per Robert C. Willliams, 20% to EES, 20% to EBS, and 60% to "EI" which was split 1/3 - 2/3 to CALME/EGM</t>
        </r>
      </text>
      <mc:AlternateContent>
        <mc:Choice Requires="v2">
          <commentPr autoFill="true" autoScale="false" colHidden="false" locked="false" rowHidden="false" textHAlign="justify" textVAlign="top">
            <anchor moveWithCells="false" sizeWithCells="false">
              <xdr:from>
                <xdr:col>30</xdr:col>
                <xdr:colOff>16</xdr:colOff>
                <xdr:row>131</xdr:row>
                <xdr:rowOff>7</xdr:rowOff>
              </xdr:from>
              <xdr:to>
                <xdr:col>32</xdr:col>
                <xdr:colOff>22</xdr:colOff>
                <xdr:row>135</xdr:row>
                <xdr:rowOff>13</xdr:rowOff>
              </xdr:to>
            </anchor>
          </commentPr>
        </mc:Choice>
        <mc:Fallback/>
      </mc:AlternateContent>
    </comment>
    <comment ref="AL36" authorId="0">
      <text>
        <r>
          <rPr>
            <b val="true"/>
            <sz val="8"/>
            <color rgb="FF000000"/>
            <rFont val="Tahoma"/>
            <family val="0"/>
          </rPr>
          <t xml:space="preserve">sschwar:
</t>
        </r>
        <r>
          <rPr>
            <sz val="8"/>
            <color rgb="FF000000"/>
            <rFont val="Tahoma"/>
            <family val="0"/>
          </rPr>
          <t xml:space="preserve">Per sommers/lindsey on 10/25, give 2/3 to EGM and 1/3 to Calme, but already have given 55% to EGM, so hold for now.
11/16/2000 - gave 89k more to EGM to get the 1/3 - 2/3 split of the 770
</t>
        </r>
      </text>
      <mc:AlternateContent>
        <mc:Choice Requires="v2">
          <commentPr autoFill="true" autoScale="false" colHidden="false" locked="false" rowHidden="false" textHAlign="justify" textVAlign="top">
            <anchor moveWithCells="false" sizeWithCells="false">
              <xdr:from>
                <xdr:col>38</xdr:col>
                <xdr:colOff>16</xdr:colOff>
                <xdr:row>34</xdr:row>
                <xdr:rowOff>7</xdr:rowOff>
              </xdr:from>
              <xdr:to>
                <xdr:col>40</xdr:col>
                <xdr:colOff>26</xdr:colOff>
                <xdr:row>38</xdr:row>
                <xdr:rowOff>13</xdr:rowOff>
              </xdr:to>
            </anchor>
          </commentPr>
        </mc:Choice>
        <mc:Fallback/>
      </mc:AlternateContent>
    </comment>
    <comment ref="AO96" authorId="0">
      <text>
        <r>
          <rPr>
            <b val="true"/>
            <sz val="8"/>
            <color rgb="FF000000"/>
            <rFont val="Tahoma"/>
            <family val="0"/>
          </rPr>
          <t xml:space="preserve">sschwar:
</t>
        </r>
        <r>
          <rPr>
            <sz val="8"/>
            <color rgb="FF000000"/>
            <rFont val="Tahoma"/>
            <family val="0"/>
          </rPr>
          <t xml:space="preserve">Added 10/24/00 
SLS</t>
        </r>
      </text>
      <mc:AlternateContent>
        <mc:Choice Requires="v2">
          <commentPr autoFill="true" autoScale="false" colHidden="false" locked="false" rowHidden="false" textHAlign="justify" textVAlign="top">
            <anchor moveWithCells="false" sizeWithCells="false">
              <xdr:from>
                <xdr:col>41</xdr:col>
                <xdr:colOff>16</xdr:colOff>
                <xdr:row>94</xdr:row>
                <xdr:rowOff>7</xdr:rowOff>
              </xdr:from>
              <xdr:to>
                <xdr:col>43</xdr:col>
                <xdr:colOff>20</xdr:colOff>
                <xdr:row>98</xdr:row>
                <xdr:rowOff>13</xdr:rowOff>
              </xdr:to>
            </anchor>
          </commentPr>
        </mc:Choice>
        <mc:Fallback/>
      </mc:AlternateContent>
    </comment>
    <comment ref="AP96" authorId="0">
      <text>
        <r>
          <rPr>
            <b val="true"/>
            <sz val="8"/>
            <color rgb="FF000000"/>
            <rFont val="Tahoma"/>
            <family val="0"/>
          </rPr>
          <t xml:space="preserve">sschwar:
</t>
        </r>
        <r>
          <rPr>
            <sz val="8"/>
            <color rgb="FF000000"/>
            <rFont val="Tahoma"/>
            <family val="0"/>
          </rPr>
          <t xml:space="preserve">Added 10/24/00
SLS</t>
        </r>
      </text>
      <mc:AlternateContent>
        <mc:Choice Requires="v2">
          <commentPr autoFill="true" autoScale="false" colHidden="false" locked="false" rowHidden="false" textHAlign="justify" textVAlign="top">
            <anchor moveWithCells="false" sizeWithCells="false">
              <xdr:from>
                <xdr:col>42</xdr:col>
                <xdr:colOff>16</xdr:colOff>
                <xdr:row>94</xdr:row>
                <xdr:rowOff>7</xdr:rowOff>
              </xdr:from>
              <xdr:to>
                <xdr:col>44</xdr:col>
                <xdr:colOff>14</xdr:colOff>
                <xdr:row>98</xdr:row>
                <xdr:rowOff>13</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6" authorId="0">
      <text>
        <r>
          <rPr>
            <b val="true"/>
            <sz val="8"/>
            <color rgb="FF000000"/>
            <rFont val="Tahoma"/>
            <family val="0"/>
          </rPr>
          <t xml:space="preserve">rdavids:
</t>
        </r>
        <r>
          <rPr>
            <sz val="24"/>
            <color rgb="FF000000"/>
            <rFont val="Tahoma"/>
            <family val="2"/>
          </rPr>
          <t xml:space="preserve">
DO NOT USE THIS INFORMATION
</t>
        </r>
      </text>
      <mc:AlternateContent>
        <mc:Choice Requires="v2">
          <commentPr autoFill="true" autoScale="false" colHidden="false" locked="false" rowHidden="false" textHAlign="justify" textVAlign="top">
            <anchor moveWithCells="false" sizeWithCells="false">
              <xdr:from>
                <xdr:col>3</xdr:col>
                <xdr:colOff>16</xdr:colOff>
                <xdr:row>14</xdr:row>
                <xdr:rowOff>7</xdr:rowOff>
              </xdr:from>
              <xdr:to>
                <xdr:col>23</xdr:col>
                <xdr:colOff>26</xdr:colOff>
                <xdr:row>32</xdr:row>
                <xdr:rowOff>16</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G10" authorId="0">
      <text>
        <r>
          <rPr>
            <b val="true"/>
            <sz val="8"/>
            <color rgb="FF000000"/>
            <rFont val="Tahoma"/>
            <family val="0"/>
          </rPr>
          <t xml:space="preserve">rdavids:
</t>
        </r>
        <r>
          <rPr>
            <sz val="8"/>
            <color rgb="FF000000"/>
            <rFont val="Tahoma"/>
            <family val="0"/>
          </rPr>
          <t xml:space="preserve">
</t>
        </r>
        <r>
          <rPr>
            <sz val="20"/>
            <color rgb="FF000000"/>
            <rFont val="Tahoma"/>
            <family val="2"/>
          </rPr>
          <t xml:space="preserve">DO NOT USE THIS INFORMATION</t>
        </r>
      </text>
      <mc:AlternateContent>
        <mc:Choice Requires="v2">
          <commentPr autoFill="true" autoScale="false" colHidden="false" locked="false" rowHidden="false" textHAlign="justify" textVAlign="top">
            <anchor moveWithCells="false" sizeWithCells="false">
              <xdr:from>
                <xdr:col>7</xdr:col>
                <xdr:colOff>16</xdr:colOff>
                <xdr:row>8</xdr:row>
                <xdr:rowOff>7</xdr:rowOff>
              </xdr:from>
              <xdr:to>
                <xdr:col>18</xdr:col>
                <xdr:colOff>16</xdr:colOff>
                <xdr:row>22</xdr:row>
                <xdr:rowOff>1</xdr:rowOff>
              </xdr:to>
            </anchor>
          </commentPr>
        </mc:Choice>
        <mc:Fallback/>
      </mc:AlternateContent>
    </comment>
    <comment ref="W12" authorId="0">
      <text>
        <r>
          <rPr>
            <b val="true"/>
            <sz val="8"/>
            <color rgb="FF000000"/>
            <rFont val="Tahoma"/>
            <family val="0"/>
          </rPr>
          <t xml:space="preserve">davidson:
</t>
        </r>
        <r>
          <rPr>
            <sz val="10"/>
            <color rgb="FF000000"/>
            <rFont val="Tahoma"/>
            <family val="2"/>
          </rPr>
          <t xml:space="preserve">Cap reached with Corp.
</t>
        </r>
      </text>
      <mc:AlternateContent>
        <mc:Choice Requires="v2">
          <commentPr autoFill="true" autoScale="false" colHidden="false" locked="false" rowHidden="false" textHAlign="justify" textVAlign="top">
            <anchor moveWithCells="false" sizeWithCells="false">
              <xdr:from>
                <xdr:col>23</xdr:col>
                <xdr:colOff>16</xdr:colOff>
                <xdr:row>10</xdr:row>
                <xdr:rowOff>7</xdr:rowOff>
              </xdr:from>
              <xdr:to>
                <xdr:col>26</xdr:col>
                <xdr:colOff>34</xdr:colOff>
                <xdr:row>14</xdr:row>
                <xdr:rowOff>12</xdr:rowOff>
              </xdr:to>
            </anchor>
          </commentPr>
        </mc:Choice>
        <mc:Fallback/>
      </mc:AlternateContent>
    </comment>
  </commentList>
</comments>
</file>

<file path=xl/sharedStrings.xml><?xml version="1.0" encoding="utf-8"?>
<sst xmlns="http://schemas.openxmlformats.org/spreadsheetml/2006/main" count="1080" uniqueCount="558">
  <si>
    <t xml:space="preserve">Corporate Staff and Service Group Analysis</t>
  </si>
  <si>
    <t xml:space="preserve">Summary</t>
  </si>
  <si>
    <t xml:space="preserve">2001 Operating Budgets</t>
  </si>
  <si>
    <t xml:space="preserve">In thousands of dollars</t>
  </si>
  <si>
    <t xml:space="preserve">FIFTH DISTRIBUTION-FINAL</t>
  </si>
  <si>
    <t xml:space="preserve">0060</t>
  </si>
  <si>
    <t xml:space="preserve">0062</t>
  </si>
  <si>
    <t xml:space="preserve">0082</t>
  </si>
  <si>
    <t xml:space="preserve">0974</t>
  </si>
  <si>
    <t xml:space="preserve">0085</t>
  </si>
  <si>
    <t xml:space="preserve">0105</t>
  </si>
  <si>
    <t xml:space="preserve">0172</t>
  </si>
  <si>
    <t xml:space="preserve">0179</t>
  </si>
  <si>
    <t xml:space="preserve">0366</t>
  </si>
  <si>
    <t xml:space="preserve">0584</t>
  </si>
  <si>
    <t xml:space="preserve">0413</t>
  </si>
  <si>
    <t xml:space="preserve">0419</t>
  </si>
  <si>
    <t xml:space="preserve">0436</t>
  </si>
  <si>
    <t xml:space="preserve">0460</t>
  </si>
  <si>
    <t xml:space="preserve">0912</t>
  </si>
  <si>
    <t xml:space="preserve">0969</t>
  </si>
  <si>
    <t xml:space="preserve">0985</t>
  </si>
  <si>
    <t xml:space="preserve">017H</t>
  </si>
  <si>
    <t xml:space="preserve">01F8</t>
  </si>
  <si>
    <t xml:space="preserve">040Y</t>
  </si>
  <si>
    <t xml:space="preserve">061M</t>
  </si>
  <si>
    <t xml:space="preserve">061N</t>
  </si>
  <si>
    <t xml:space="preserve">061P</t>
  </si>
  <si>
    <t xml:space="preserve">063Q</t>
  </si>
  <si>
    <t xml:space="preserve">067S</t>
  </si>
  <si>
    <t xml:space="preserve">083E</t>
  </si>
  <si>
    <t xml:space="preserve">016R</t>
  </si>
  <si>
    <t xml:space="preserve">1105</t>
  </si>
  <si>
    <t xml:space="preserve">0119</t>
  </si>
  <si>
    <t xml:space="preserve">0901</t>
  </si>
  <si>
    <t xml:space="preserve">0001</t>
  </si>
  <si>
    <t xml:space="preserve">0011</t>
  </si>
  <si>
    <t xml:space="preserve">2001 Proposed Plan O&amp;M Expense</t>
  </si>
  <si>
    <t xml:space="preserve">O&amp;M</t>
  </si>
  <si>
    <t xml:space="preserve">FAR</t>
  </si>
  <si>
    <t xml:space="preserve">CO.</t>
  </si>
  <si>
    <t xml:space="preserve">COST CENTER NAME/DESCRIPTION</t>
  </si>
  <si>
    <t xml:space="preserve">CC Owner</t>
  </si>
  <si>
    <t xml:space="preserve">SAP CC #</t>
  </si>
  <si>
    <t xml:space="preserve">Sal, PR, Ben, Tax</t>
  </si>
  <si>
    <t xml:space="preserve">T&amp;E</t>
  </si>
  <si>
    <t xml:space="preserve">Supply</t>
  </si>
  <si>
    <t xml:space="preserve">Gen Business</t>
  </si>
  <si>
    <t xml:space="preserve">EIS   EPSC</t>
  </si>
  <si>
    <t xml:space="preserve">Other</t>
  </si>
  <si>
    <t xml:space="preserve">2001 Budget</t>
  </si>
  <si>
    <t xml:space="preserve">Assessment/Allocation Method</t>
  </si>
  <si>
    <t xml:space="preserve">TW</t>
  </si>
  <si>
    <t xml:space="preserve">FGT</t>
  </si>
  <si>
    <t xml:space="preserve">EE&amp;CC</t>
  </si>
  <si>
    <t xml:space="preserve">NEPCO</t>
  </si>
  <si>
    <t xml:space="preserve">Citrus</t>
  </si>
  <si>
    <t xml:space="preserve">EOTT</t>
  </si>
  <si>
    <t xml:space="preserve">Northern Plains</t>
  </si>
  <si>
    <t xml:space="preserve">NNG</t>
  </si>
  <si>
    <t xml:space="preserve">GPG Executive</t>
  </si>
  <si>
    <t xml:space="preserve">HPL Ops</t>
  </si>
  <si>
    <t xml:space="preserve">ENA</t>
  </si>
  <si>
    <t xml:space="preserve">Financial Initiatives</t>
  </si>
  <si>
    <t xml:space="preserve">Clean Fuels</t>
  </si>
  <si>
    <t xml:space="preserve">Global Products</t>
  </si>
  <si>
    <t xml:space="preserve">Enron Europe</t>
  </si>
  <si>
    <t xml:space="preserve">Global Finance</t>
  </si>
  <si>
    <t xml:space="preserve">EES</t>
  </si>
  <si>
    <t xml:space="preserve">EBS</t>
  </si>
  <si>
    <t xml:space="preserve">Renewable Energy</t>
  </si>
  <si>
    <t xml:space="preserve">AZURIX</t>
  </si>
  <si>
    <t xml:space="preserve">APACHE</t>
  </si>
  <si>
    <t xml:space="preserve">South America</t>
  </si>
  <si>
    <t xml:space="preserve">India</t>
  </si>
  <si>
    <t xml:space="preserve">Global E&amp;P</t>
  </si>
  <si>
    <t xml:space="preserve">CALME</t>
  </si>
  <si>
    <t xml:space="preserve">Networks</t>
  </si>
  <si>
    <t xml:space="preserve">PGE</t>
  </si>
  <si>
    <t xml:space="preserve">Global Markets</t>
  </si>
  <si>
    <t xml:space="preserve">IndustrialMarkets</t>
  </si>
  <si>
    <t xml:space="preserve">EOG</t>
  </si>
  <si>
    <t xml:space="preserve">EPSC</t>
  </si>
  <si>
    <t xml:space="preserve">The New Power Co</t>
  </si>
  <si>
    <t xml:space="preserve">EMI</t>
  </si>
  <si>
    <t xml:space="preserve">Subtotal</t>
  </si>
  <si>
    <t xml:space="preserve">Enron Corp</t>
  </si>
  <si>
    <t xml:space="preserve">A&amp;A Costs </t>
  </si>
  <si>
    <t xml:space="preserve">Total</t>
  </si>
  <si>
    <t xml:space="preserve">Variance</t>
  </si>
  <si>
    <t xml:space="preserve">Benefits &amp; Compensation </t>
  </si>
  <si>
    <t xml:space="preserve">Joyce, Mary</t>
  </si>
  <si>
    <t xml:space="preserve">70% Domestic, 30% MD/VP count</t>
  </si>
  <si>
    <t xml:space="preserve">EMI Billing R/C  (ECM)</t>
  </si>
  <si>
    <t xml:space="preserve">Lindsey, Mark</t>
  </si>
  <si>
    <t xml:space="preserve">Retained At EMI</t>
  </si>
  <si>
    <t xml:space="preserve">Deferral Plans</t>
  </si>
  <si>
    <t xml:space="preserve">Jones, Robert</t>
  </si>
  <si>
    <t xml:space="preserve">Retained At Corp</t>
  </si>
  <si>
    <t xml:space="preserve">Long Term Incentive</t>
  </si>
  <si>
    <t xml:space="preserve">Grant Elections</t>
  </si>
  <si>
    <t xml:space="preserve">Drug/Alcohol Testing</t>
  </si>
  <si>
    <t xml:space="preserve">Tosoni, S</t>
  </si>
  <si>
    <t xml:space="preserve">Projected domestic new hires</t>
  </si>
  <si>
    <t xml:space="preserve">Executive Consultants</t>
  </si>
  <si>
    <t xml:space="preserve">Urquhart, Jack </t>
  </si>
  <si>
    <t xml:space="preserve">Corp Accounting, Planning, &amp; Reporting</t>
  </si>
  <si>
    <t xml:space="preserve">Butts, Bob</t>
  </si>
  <si>
    <t xml:space="preserve">MMF</t>
  </si>
  <si>
    <t xml:space="preserve">HR Support Services</t>
  </si>
  <si>
    <t xml:space="preserve">O'Dell, David</t>
  </si>
  <si>
    <t xml:space="preserve">% of Domestic Headcount</t>
  </si>
  <si>
    <t xml:space="preserve">Sr. VP - Chief Accounting Officer</t>
  </si>
  <si>
    <t xml:space="preserve">Causey, Rick </t>
  </si>
  <si>
    <t xml:space="preserve">President and COO</t>
  </si>
  <si>
    <t xml:space="preserve">Skilling,Jeff </t>
  </si>
  <si>
    <t xml:space="preserve">Vice Chairman</t>
  </si>
  <si>
    <t xml:space="preserve">Community Relations</t>
  </si>
  <si>
    <t xml:space="preserve">Olson, Cindy</t>
  </si>
  <si>
    <t xml:space="preserve">Executive Reception</t>
  </si>
  <si>
    <t xml:space="preserve">Lay, Ken</t>
  </si>
  <si>
    <t xml:space="preserve">Political Action Committee</t>
  </si>
  <si>
    <t xml:space="preserve">Strategic Sourcing-Min.&amp; Women Bus Develop</t>
  </si>
  <si>
    <t xml:space="preserve">Wasaff, G</t>
  </si>
  <si>
    <t xml:space="preserve">Investor Relations</t>
  </si>
  <si>
    <t xml:space="preserve">Koeing, Mark</t>
  </si>
  <si>
    <t xml:space="preserve">State Tax Group</t>
  </si>
  <si>
    <t xml:space="preserve">Rice, Greek</t>
  </si>
  <si>
    <t xml:space="preserve">State tax returns, anticipated resources</t>
  </si>
  <si>
    <t xml:space="preserve">Vice President - Tax</t>
  </si>
  <si>
    <t xml:space="preserve">Herman, Bob</t>
  </si>
  <si>
    <t xml:space="preserve">Anticipated Resources/MMF</t>
  </si>
  <si>
    <t xml:space="preserve">Corporate Development</t>
  </si>
  <si>
    <t xml:space="preserve">Metts, M</t>
  </si>
  <si>
    <t xml:space="preserve">Retained at Corp</t>
  </si>
  <si>
    <t xml:space="preserve">Ad Valorem Tax</t>
  </si>
  <si>
    <t xml:space="preserve">Russo, Gavin</t>
  </si>
  <si>
    <t xml:space="preserve">Properties, Tax,  &amp; MMF </t>
  </si>
  <si>
    <t xml:space="preserve">Corporate Secretary</t>
  </si>
  <si>
    <t xml:space="preserve">Menchaca, P</t>
  </si>
  <si>
    <t xml:space="preserve">Anticipated Resources/Company Numbers</t>
  </si>
  <si>
    <t xml:space="preserve">MLP Services</t>
  </si>
  <si>
    <t xml:space="preserve">Davis, Hardie</t>
  </si>
  <si>
    <t xml:space="preserve">MMF/MLP Direct</t>
  </si>
  <si>
    <t xml:space="preserve">Credit Union</t>
  </si>
  <si>
    <t xml:space="preserve">H.R.I.S.</t>
  </si>
  <si>
    <t xml:space="preserve">Health Center</t>
  </si>
  <si>
    <t xml:space="preserve">% of DT Headcount</t>
  </si>
  <si>
    <t xml:space="preserve">Executive Programs</t>
  </si>
  <si>
    <t xml:space="preserve">Amabile, Dick </t>
  </si>
  <si>
    <t xml:space="preserve">Global MD/VP/Exec Committee/OTC Headcount</t>
  </si>
  <si>
    <t xml:space="preserve">Legal - Litigations</t>
  </si>
  <si>
    <t xml:space="preserve">Cheek, Chuck</t>
  </si>
  <si>
    <t xml:space="preserve">Usage</t>
  </si>
  <si>
    <t xml:space="preserve">Corporate Legal</t>
  </si>
  <si>
    <t xml:space="preserve">Derrick, Jim</t>
  </si>
  <si>
    <t xml:space="preserve">Anticipated Resources</t>
  </si>
  <si>
    <t xml:space="preserve">Environmental Legal</t>
  </si>
  <si>
    <t xml:space="preserve">Federal Government Affairs</t>
  </si>
  <si>
    <t xml:space="preserve">Hillings, Joe </t>
  </si>
  <si>
    <t xml:space="preserve">Chairman and CEO </t>
  </si>
  <si>
    <t xml:space="preserve">Tax - Analyst/Intern Recruiting</t>
  </si>
  <si>
    <t xml:space="preserve">Coats, Ed</t>
  </si>
  <si>
    <t xml:space="preserve">Resources &amp; Assignment</t>
  </si>
  <si>
    <t xml:space="preserve">Public Relations - Advertising</t>
  </si>
  <si>
    <t xml:space="preserve">Kean, Steve</t>
  </si>
  <si>
    <t xml:space="preserve">RAC - Global Credit Group</t>
  </si>
  <si>
    <t xml:space="preserve">Buy, Rick</t>
  </si>
  <si>
    <t xml:space="preserve">RAC - Due Diligence/Asset Management</t>
  </si>
  <si>
    <t xml:space="preserve">RAC - Risk Analytics</t>
  </si>
  <si>
    <t xml:space="preserve">RAC Underwriting</t>
  </si>
  <si>
    <t xml:space="preserve">Community Relations Programs</t>
  </si>
  <si>
    <t xml:space="preserve">Projects - Personic Development and Enhome</t>
  </si>
  <si>
    <t xml:space="preserve">Meg Wysatta</t>
  </si>
  <si>
    <t xml:space="preserve">Federal Regulatory Affairs</t>
  </si>
  <si>
    <t xml:space="preserve">Hartsoe, Joe </t>
  </si>
  <si>
    <t xml:space="preserve">Sr. VP - Governmental Affairs</t>
  </si>
  <si>
    <t xml:space="preserve">Electricity Regulatory Affairs</t>
  </si>
  <si>
    <t xml:space="preserve">Shapiro, Rick</t>
  </si>
  <si>
    <t xml:space="preserve">Vacant  Space</t>
  </si>
  <si>
    <t xml:space="preserve">Akhave, Billie</t>
  </si>
  <si>
    <t xml:space="preserve">Houston Children's Chorus</t>
  </si>
  <si>
    <t xml:space="preserve">Management Conference</t>
  </si>
  <si>
    <t xml:space="preserve">% of Attendees</t>
  </si>
  <si>
    <t xml:space="preserve">RAC Risk Management Control</t>
  </si>
  <si>
    <t xml:space="preserve">Historical data, groups supported</t>
  </si>
  <si>
    <t xml:space="preserve">United Way Campaign</t>
  </si>
  <si>
    <t xml:space="preserve">Estimated on 2000 Matching</t>
  </si>
  <si>
    <t xml:space="preserve">Community Relations - Employee Events</t>
  </si>
  <si>
    <t xml:space="preserve">State Govt Affairs - TX,OK,AR,LA</t>
  </si>
  <si>
    <t xml:space="preserve">Public Relations - Astros</t>
  </si>
  <si>
    <t xml:space="preserve">Agreed by Executive Com</t>
  </si>
  <si>
    <t xml:space="preserve">International Benefits</t>
  </si>
  <si>
    <t xml:space="preserve">% of International Headcount</t>
  </si>
  <si>
    <t xml:space="preserve">Best Buddies</t>
  </si>
  <si>
    <t xml:space="preserve">Savings Plan</t>
  </si>
  <si>
    <t xml:space="preserve">Included in benefits rate</t>
  </si>
  <si>
    <t xml:space="preserve">State Govt Affairs - California/West</t>
  </si>
  <si>
    <t xml:space="preserve">State Govt Affairs - Canada</t>
  </si>
  <si>
    <t xml:space="preserve">State Govt Affairs - Mid Atl/NY/NE</t>
  </si>
  <si>
    <t xml:space="preserve">State Govt Affairs - Midwest/Great Lakes</t>
  </si>
  <si>
    <t xml:space="preserve">Labor Relations Risk Management</t>
  </si>
  <si>
    <t xml:space="preserve">Gonzales, Paul</t>
  </si>
  <si>
    <t xml:space="preserve">Gov't Affairs - Mexico</t>
  </si>
  <si>
    <t xml:space="preserve">PR - Internet Marketing / Strategic Marketing and Brand Management</t>
  </si>
  <si>
    <t xml:space="preserve">American Indian Affairs - Gov't Affairs</t>
  </si>
  <si>
    <t xml:space="preserve">State Gov't / Fed Reg Env / Implementaion</t>
  </si>
  <si>
    <t xml:space="preserve">Brown, Jeff</t>
  </si>
  <si>
    <t xml:space="preserve">Wind Down - Omaha </t>
  </si>
  <si>
    <t xml:space="preserve">OLER</t>
  </si>
  <si>
    <t xml:space="preserve">Hope, V.</t>
  </si>
  <si>
    <t xml:space="preserve">1992 Deferral Plan</t>
  </si>
  <si>
    <t xml:space="preserve">Restricted Stock</t>
  </si>
  <si>
    <t xml:space="preserve">NQ Stock Plan</t>
  </si>
  <si>
    <t xml:space="preserve">Awards grants</t>
  </si>
  <si>
    <t xml:space="preserve">Executive Perqs</t>
  </si>
  <si>
    <t xml:space="preserve">Employee Performance Award</t>
  </si>
  <si>
    <t xml:space="preserve">1994 Deferral Plan</t>
  </si>
  <si>
    <t xml:space="preserve">All Employee Stock Option Plan</t>
  </si>
  <si>
    <t xml:space="preserve">5% of est. payroll</t>
  </si>
  <si>
    <t xml:space="preserve">Cash Balance/SERP</t>
  </si>
  <si>
    <t xml:space="preserve">EE Life, AD&amp;D </t>
  </si>
  <si>
    <t xml:space="preserve">Long Term Disability</t>
  </si>
  <si>
    <t xml:space="preserve">ESOP/Savings Plan Admin Fees</t>
  </si>
  <si>
    <t xml:space="preserve">Inactive Medical FAS 106</t>
  </si>
  <si>
    <t xml:space="preserve">Active Medical/Dental</t>
  </si>
  <si>
    <t xml:space="preserve">Flex Admin/BTA</t>
  </si>
  <si>
    <t xml:space="preserve">Executive Supplemental/COLI</t>
  </si>
  <si>
    <t xml:space="preserve">Professional Accounting Fees</t>
  </si>
  <si>
    <t xml:space="preserve">Contract Specific &amp; MMF</t>
  </si>
  <si>
    <t xml:space="preserve">ASO Charges</t>
  </si>
  <si>
    <t xml:space="preserve">Corporate Contributions</t>
  </si>
  <si>
    <t xml:space="preserve">Corporate Memberships</t>
  </si>
  <si>
    <t xml:space="preserve">Public Relations - Employee Comm.</t>
  </si>
  <si>
    <t xml:space="preserve">Palmer, Mark</t>
  </si>
  <si>
    <t xml:space="preserve">% of Total Employees</t>
  </si>
  <si>
    <t xml:space="preserve">Public Relations - Annual Report</t>
  </si>
  <si>
    <t xml:space="preserve">Corp Communications</t>
  </si>
  <si>
    <t xml:space="preserve">Matching Gifts</t>
  </si>
  <si>
    <t xml:space="preserve">Matching gifts</t>
  </si>
  <si>
    <t xml:space="preserve">Legal Library</t>
  </si>
  <si>
    <t xml:space="preserve">Hu, Sylvia</t>
  </si>
  <si>
    <t xml:space="preserve">% DT Attorneys</t>
  </si>
  <si>
    <t xml:space="preserve">Executive Board Meeting Exp</t>
  </si>
  <si>
    <t xml:space="preserve">Body Shop / Wellness</t>
  </si>
  <si>
    <t xml:space="preserve">Employee Recreation</t>
  </si>
  <si>
    <t xml:space="preserve">Fuji Lease</t>
  </si>
  <si>
    <t xml:space="preserve">Based on Sys depreciation before lease - BU</t>
  </si>
  <si>
    <t xml:space="preserve">Intl PR, Marketing, &amp; Communications</t>
  </si>
  <si>
    <t xml:space="preserve">Kimberly, Kelly</t>
  </si>
  <si>
    <t xml:space="preserve">Direct Usage</t>
  </si>
  <si>
    <t xml:space="preserve">Conventions/Inauguration</t>
  </si>
  <si>
    <t xml:space="preserve">Hillings, Joe</t>
  </si>
  <si>
    <t xml:space="preserve">Retained  At Corp</t>
  </si>
  <si>
    <t xml:space="preserve">Corporate Aircraft Usage</t>
  </si>
  <si>
    <t xml:space="preserve">HR &amp; Community Relations - Executive</t>
  </si>
  <si>
    <t xml:space="preserve">Environment</t>
  </si>
  <si>
    <t xml:space="preserve">Thorn, Terry</t>
  </si>
  <si>
    <t xml:space="preserve">Environment Policy &amp; Compliance</t>
  </si>
  <si>
    <t xml:space="preserve">% of Time Spent</t>
  </si>
  <si>
    <t xml:space="preserve">EARN Risk Management</t>
  </si>
  <si>
    <t xml:space="preserve">Bouillion, Jim</t>
  </si>
  <si>
    <t xml:space="preserve">Vision &amp; Values Task Force</t>
  </si>
  <si>
    <t xml:space="preserve">International Government Affairs</t>
  </si>
  <si>
    <t xml:space="preserve">International Regulatory Affairs</t>
  </si>
  <si>
    <t xml:space="preserve">International Project Finance</t>
  </si>
  <si>
    <t xml:space="preserve">Corp Strategic Initiatives</t>
  </si>
  <si>
    <t xml:space="preserve">Becker, Melissa</t>
  </si>
  <si>
    <t xml:space="preserve">MD Recruiting &amp; Resource Mgmt</t>
  </si>
  <si>
    <t xml:space="preserve">Jackson, Charlene</t>
  </si>
  <si>
    <t xml:space="preserve">Asset Ops - EHS</t>
  </si>
  <si>
    <t xml:space="preserve">Van, Henry</t>
  </si>
  <si>
    <t xml:space="preserve">Sales &amp; Use Tax</t>
  </si>
  <si>
    <t xml:space="preserve">Moore, Jerry</t>
  </si>
  <si>
    <t xml:space="preserve">Vice- Chairman  (Sutton)</t>
  </si>
  <si>
    <t xml:space="preserve">Sutton, Joe</t>
  </si>
  <si>
    <t xml:space="preserve">Accounts Payable - Executive</t>
  </si>
  <si>
    <t xml:space="preserve">Dallman, Larry</t>
  </si>
  <si>
    <t xml:space="preserve">Prorata to MSA/SAP &amp; SUN support CC's</t>
  </si>
  <si>
    <t xml:space="preserve">Work Life</t>
  </si>
  <si>
    <t xml:space="preserve">Roman deMeza, MaryAnn</t>
  </si>
  <si>
    <t xml:space="preserve">A&amp;A Recruits Expenses</t>
  </si>
  <si>
    <t xml:space="preserve">Roberts, Celeste</t>
  </si>
  <si>
    <t xml:space="preserve">Allocated based on Analyst &amp; Assoc used</t>
  </si>
  <si>
    <t xml:space="preserve">A&amp;A Recruiting</t>
  </si>
  <si>
    <t xml:space="preserve">Resource Management</t>
  </si>
  <si>
    <t xml:space="preserve">Davis, Sarah</t>
  </si>
  <si>
    <t xml:space="preserve">A&amp;A Operations</t>
  </si>
  <si>
    <t xml:space="preserve">HR-Corporate Analysis and Reporting</t>
  </si>
  <si>
    <t xml:space="preserve">Daniels, D</t>
  </si>
  <si>
    <t xml:space="preserve">CORP - IT Compliance</t>
  </si>
  <si>
    <t xml:space="preserve">Parsons, A</t>
  </si>
  <si>
    <t xml:space="preserve">Govt Aff Water</t>
  </si>
  <si>
    <t xml:space="preserve">Rerained at Corp</t>
  </si>
  <si>
    <t xml:space="preserve">Annual Incentive</t>
  </si>
  <si>
    <t xml:space="preserve">Estimated Payments/MMF (Corp Only)</t>
  </si>
  <si>
    <t xml:space="preserve">Marketing Services</t>
  </si>
  <si>
    <t xml:space="preserve">Feener, Lisa</t>
  </si>
  <si>
    <t xml:space="preserve">Corporate Insurance Premiums</t>
  </si>
  <si>
    <t xml:space="preserve">Portfolio Management (Political Risk Insurance)</t>
  </si>
  <si>
    <t xml:space="preserve">Shedd, Cliff</t>
  </si>
  <si>
    <t xml:space="preserve">International Litigation</t>
  </si>
  <si>
    <t xml:space="preserve">Higgason, Kelly</t>
  </si>
  <si>
    <t xml:space="preserve">Historical Usage</t>
  </si>
  <si>
    <t xml:space="preserve">ODT/Transition Mgt</t>
  </si>
  <si>
    <t xml:space="preserve">Gibson, Gerry</t>
  </si>
  <si>
    <t xml:space="preserve">International Tax</t>
  </si>
  <si>
    <t xml:space="preserve">Cullen, Duke</t>
  </si>
  <si>
    <t xml:space="preserve">EECC Tax</t>
  </si>
  <si>
    <t xml:space="preserve">Garcia, Rey</t>
  </si>
  <si>
    <t xml:space="preserve">Lowry/Carson - Domestic Compliance</t>
  </si>
  <si>
    <t xml:space="preserve">Lowry, Donna</t>
  </si>
  <si>
    <t xml:space="preserve">Lowry/Carson - International Compliance</t>
  </si>
  <si>
    <t xml:space="preserve">Strategic Sourcing - Executive Offices</t>
  </si>
  <si>
    <t xml:space="preserve">Wasaff, George</t>
  </si>
  <si>
    <t xml:space="preserve">Strategic Sourcing - Sales and Marketing</t>
  </si>
  <si>
    <t xml:space="preserve">Strategic Sourcing - Operations</t>
  </si>
  <si>
    <t xml:space="preserve">Strategic Sourcing - Platforms &amp; Processes</t>
  </si>
  <si>
    <t xml:space="preserve">Corp-HR Benefits</t>
  </si>
  <si>
    <t xml:space="preserve">Barrow, Cynthia</t>
  </si>
  <si>
    <t xml:space="preserve">Chief Environmental Officer</t>
  </si>
  <si>
    <t xml:space="preserve">Terraso, M</t>
  </si>
  <si>
    <t xml:space="preserve">Regulatory Technical Analysis Group</t>
  </si>
  <si>
    <t xml:space="preserve">Corporate Structuring</t>
  </si>
  <si>
    <t xml:space="preserve">Rodney Faldyn</t>
  </si>
  <si>
    <t xml:space="preserve">Global Risk Mgmt</t>
  </si>
  <si>
    <t xml:space="preserve">Cousino, L</t>
  </si>
  <si>
    <t xml:space="preserve">EVP &amp; Chief Strategy Officer</t>
  </si>
  <si>
    <t xml:space="preserve">Baxter, C</t>
  </si>
  <si>
    <t xml:space="preserve">HR Process Improvement</t>
  </si>
  <si>
    <t xml:space="preserve">Sparger, Bob, Coleman, Brad</t>
  </si>
  <si>
    <t xml:space="preserve">Corporate Social/Environmental Responsibility</t>
  </si>
  <si>
    <t xml:space="preserve">Kimberely, Kelly</t>
  </si>
  <si>
    <t xml:space="preserve">Human Resources Support Services</t>
  </si>
  <si>
    <t xml:space="preserve">Rizzi, K</t>
  </si>
  <si>
    <t xml:space="preserve">Southern Cone Risk Mgmt</t>
  </si>
  <si>
    <t xml:space="preserve">100% To ESA</t>
  </si>
  <si>
    <t xml:space="preserve">Global Compensation</t>
  </si>
  <si>
    <t xml:space="preserve">Knudsen, S</t>
  </si>
  <si>
    <t xml:space="preserve">% of Global Headcount</t>
  </si>
  <si>
    <t xml:space="preserve">Government Programs</t>
  </si>
  <si>
    <t xml:space="preserve">Schaffer, B</t>
  </si>
  <si>
    <t xml:space="preserve">Employee Relations</t>
  </si>
  <si>
    <t xml:space="preserve">Employment Law Training</t>
  </si>
  <si>
    <t xml:space="preserve">Workforce Diversity</t>
  </si>
  <si>
    <t xml:space="preserve">Reeves, K</t>
  </si>
  <si>
    <t xml:space="preserve">Strategic Sourcing-Metrics and Financial Structuring</t>
  </si>
  <si>
    <t xml:space="preserve">Johansen, Bob</t>
  </si>
  <si>
    <t xml:space="preserve">Corp Global Finance Charges</t>
  </si>
  <si>
    <t xml:space="preserve">MMF &amp; Retained at Corp</t>
  </si>
  <si>
    <t xml:space="preserve">Corp GPG Charges</t>
  </si>
  <si>
    <t xml:space="preserve">HR Projects</t>
  </si>
  <si>
    <t xml:space="preserve">Yowman, A</t>
  </si>
  <si>
    <t xml:space="preserve">HR-PRC</t>
  </si>
  <si>
    <t xml:space="preserve">Cortiselli, G</t>
  </si>
  <si>
    <t xml:space="preserve">HR Data Mart</t>
  </si>
  <si>
    <t xml:space="preserve">ClickAtHome Program</t>
  </si>
  <si>
    <t xml:space="preserve">Brown, S</t>
  </si>
  <si>
    <t xml:space="preserve">ISC-SAP HR Resources HUB</t>
  </si>
  <si>
    <t xml:space="preserve">Baust, Michael</t>
  </si>
  <si>
    <t xml:space="preserve">Per Agreement with BU</t>
  </si>
  <si>
    <t xml:space="preserve">ISC-Financial HUB</t>
  </si>
  <si>
    <t xml:space="preserve">Bellinghausen, Susan</t>
  </si>
  <si>
    <t xml:space="preserve">ISC-SAP PS/SP  Resources</t>
  </si>
  <si>
    <t xml:space="preserve">Boehm, Rick</t>
  </si>
  <si>
    <t xml:space="preserve">ISC-SAP Generalist Hub</t>
  </si>
  <si>
    <t xml:space="preserve">Chris Schlaudraff</t>
  </si>
  <si>
    <t xml:space="preserve">ISC-SAP Internal Support Resources</t>
  </si>
  <si>
    <t xml:space="preserve">ISC-Technical Hub</t>
  </si>
  <si>
    <t xml:space="preserve">Sentiff, Gary</t>
  </si>
  <si>
    <t xml:space="preserve">ISC-SAP Hub/Service Line Mgt Resources</t>
  </si>
  <si>
    <t xml:space="preserve">ISC-Maximize Service Leader</t>
  </si>
  <si>
    <t xml:space="preserve">Kokas, Kathy</t>
  </si>
  <si>
    <t xml:space="preserve">ISC-Release Service</t>
  </si>
  <si>
    <t xml:space="preserve">Schmidt, Mark</t>
  </si>
  <si>
    <t xml:space="preserve">Apollo Amortization</t>
  </si>
  <si>
    <t xml:space="preserve">Strategic Sourcing - Contract Administration</t>
  </si>
  <si>
    <t xml:space="preserve">ISC-SAP Organization Leader</t>
  </si>
  <si>
    <t xml:space="preserve">ISC-Training/Change Mgmt</t>
  </si>
  <si>
    <t xml:space="preserve">ISC-Reporting Services</t>
  </si>
  <si>
    <t xml:space="preserve">Generalist</t>
  </si>
  <si>
    <t xml:space="preserve">Bosien, Terry</t>
  </si>
  <si>
    <t xml:space="preserve">Staffing</t>
  </si>
  <si>
    <t xml:space="preserve">Petteway, Gwen</t>
  </si>
  <si>
    <t xml:space="preserve">Personic Operations</t>
  </si>
  <si>
    <t xml:space="preserve">Sports Marketing</t>
  </si>
  <si>
    <t xml:space="preserve">WorkLife Programs</t>
  </si>
  <si>
    <t xml:space="preserve">% of Downtown Headcount</t>
  </si>
  <si>
    <t xml:space="preserve">Experience Enron</t>
  </si>
  <si>
    <t xml:space="preserve">Brand</t>
  </si>
  <si>
    <t xml:space="preserve">Oral History</t>
  </si>
  <si>
    <t xml:space="preserve">Reg Risk/Comp Analysis</t>
  </si>
  <si>
    <t xml:space="preserve">Aniticipated Resources</t>
  </si>
  <si>
    <t xml:space="preserve">University Relations</t>
  </si>
  <si>
    <t xml:space="preserve">HR Communications</t>
  </si>
  <si>
    <t xml:space="preserve">% Domestic Headcount</t>
  </si>
  <si>
    <t xml:space="preserve">Business Risk Management and IT Compliance</t>
  </si>
  <si>
    <t xml:space="preserve">Lindholm, Tod</t>
  </si>
  <si>
    <t xml:space="preserve">GRAND TOTAL</t>
  </si>
  <si>
    <t xml:space="preserve">check</t>
  </si>
  <si>
    <t xml:space="preserve">Headcount Used for Allocations</t>
  </si>
  <si>
    <t xml:space="preserve">Downtown</t>
  </si>
  <si>
    <t xml:space="preserve">US </t>
  </si>
  <si>
    <t xml:space="preserve">US &amp; Expat</t>
  </si>
  <si>
    <t xml:space="preserve">Headcount Percentages</t>
  </si>
  <si>
    <t xml:space="preserve">* NOTE - Analyst &amp; Associates program will billed based on number of analyst or associated used by</t>
  </si>
  <si>
    <t xml:space="preserve">a Business Unit at the rate of $10,400 for an associate and $6,400 for an analyst per month.</t>
  </si>
  <si>
    <t xml:space="preserve">If you have any questions regarding this charge, please direct them to Bradley Stewart.</t>
  </si>
  <si>
    <t xml:space="preserve">^ NOTE - Cost center 100135 is only CC with allocation method of Headcount using formula and Headcount information shown above for distributions.  All other CC with Headcount allocation method specified distributions in Budget workbook.</t>
  </si>
  <si>
    <t xml:space="preserve">In thousands of dollars, except headcount</t>
  </si>
  <si>
    <t xml:space="preserve">2001 Proposed Budget O&amp;M Expense</t>
  </si>
  <si>
    <t xml:space="preserve">GPG</t>
  </si>
  <si>
    <t xml:space="preserve">Corp</t>
  </si>
  <si>
    <t xml:space="preserve">Alloc. Subtotal</t>
  </si>
  <si>
    <t xml:space="preserve">Grand Total</t>
  </si>
  <si>
    <t xml:space="preserve">Check Totals</t>
  </si>
  <si>
    <t xml:space="preserve">EXECUTIVE</t>
  </si>
  <si>
    <t xml:space="preserve">LEGAL</t>
  </si>
  <si>
    <t xml:space="preserve">ACCOUNTING</t>
  </si>
  <si>
    <t xml:space="preserve">RISK ASSESSMENT &amp; CONTROLS</t>
  </si>
  <si>
    <t xml:space="preserve">INVESTOR RELATIONS</t>
  </si>
  <si>
    <t xml:space="preserve">CORPORATE DEVELOPMENT</t>
  </si>
  <si>
    <t xml:space="preserve">GOVERNMENT AFFAIRS</t>
  </si>
  <si>
    <t xml:space="preserve">PUBLIC AFFAIRS</t>
  </si>
  <si>
    <t xml:space="preserve">COMMUNITY RELATIONS</t>
  </si>
  <si>
    <t xml:space="preserve">HUMAN RESOURCES</t>
  </si>
  <si>
    <t xml:space="preserve">ANALYSTS AND ASSOCIATES</t>
  </si>
  <si>
    <t xml:space="preserve">BENEFIT PLANS</t>
  </si>
  <si>
    <t xml:space="preserve">INCLUDED IN BENEFIT RATE</t>
  </si>
  <si>
    <t xml:space="preserve">OTHER</t>
  </si>
  <si>
    <t xml:space="preserve">ASSET OPERATIONS</t>
  </si>
  <si>
    <t xml:space="preserve">RISK MANAGEMENT</t>
  </si>
  <si>
    <t xml:space="preserve">     EPSC CHARGES   (CO 0901)</t>
  </si>
  <si>
    <t xml:space="preserve">EPSCO</t>
  </si>
  <si>
    <t xml:space="preserve">TOTAL  EPSC  CO 0901 CHARGES</t>
  </si>
  <si>
    <t xml:space="preserve">Summary - Corporate Responsibility Groups</t>
  </si>
  <si>
    <t xml:space="preserve">1999 Operating Budgets</t>
  </si>
  <si>
    <t xml:space="preserve">1999 Plan</t>
  </si>
  <si>
    <t xml:space="preserve">1998 Estimate</t>
  </si>
  <si>
    <t xml:space="preserve">1998 Plan</t>
  </si>
  <si>
    <t xml:space="preserve">Non-Corp</t>
  </si>
  <si>
    <t xml:space="preserve">Co.</t>
  </si>
  <si>
    <t xml:space="preserve">RC </t>
  </si>
  <si>
    <t xml:space="preserve">RC Owner</t>
  </si>
  <si>
    <t xml:space="preserve">RC #</t>
  </si>
  <si>
    <t xml:space="preserve">Allocated</t>
  </si>
  <si>
    <t xml:space="preserve">Retained</t>
  </si>
  <si>
    <t xml:space="preserve">Method</t>
  </si>
  <si>
    <t xml:space="preserve">Executive</t>
  </si>
  <si>
    <t xml:space="preserve">011</t>
  </si>
  <si>
    <t xml:space="preserve">Contract Specific</t>
  </si>
  <si>
    <t xml:space="preserve">Enron Around the World</t>
  </si>
  <si>
    <t xml:space="preserve">Corp Retained</t>
  </si>
  <si>
    <t xml:space="preserve">MMF (corp only)</t>
  </si>
  <si>
    <t xml:space="preserve">% of Headcount</t>
  </si>
  <si>
    <t xml:space="preserve">TOTAL EXECUTIVE</t>
  </si>
  <si>
    <t xml:space="preserve">Public Affairs</t>
  </si>
  <si>
    <t xml:space="preserve">Matching gifts/Corp Retained</t>
  </si>
  <si>
    <t xml:space="preserve">     TOTAL PUBLIC/CORP AFFAIRS</t>
  </si>
  <si>
    <t xml:space="preserve">Diversity</t>
  </si>
  <si>
    <t xml:space="preserve">     TOTAL DIVERSITY</t>
  </si>
  <si>
    <t xml:space="preserve">TOTAL PUBLIC/CORP AFFAIRS &amp; DIVERSITY</t>
  </si>
  <si>
    <t xml:space="preserve">MMF - new 98</t>
  </si>
  <si>
    <t xml:space="preserve">TOTAL LEGAL</t>
  </si>
  <si>
    <t xml:space="preserve">Government Affairs</t>
  </si>
  <si>
    <t xml:space="preserve">MMF/direct</t>
  </si>
  <si>
    <t xml:space="preserve">TOTAL GOVERNMENT AFFAIRS</t>
  </si>
  <si>
    <t xml:space="preserve">Risk Assessment &amp; Controls</t>
  </si>
  <si>
    <t xml:space="preserve">% of Insurance Premiums</t>
  </si>
  <si>
    <t xml:space="preserve">TOTAL RISK ASSESSMENT &amp; CONTROLS</t>
  </si>
  <si>
    <t xml:space="preserve">Chief Accounting &amp; Information Officer</t>
  </si>
  <si>
    <t xml:space="preserve">MMF/Prostaff Usage</t>
  </si>
  <si>
    <t xml:space="preserve">SAP costs related to Project Apollo</t>
  </si>
  <si>
    <t xml:space="preserve">Corp Ret/MMF First CE</t>
  </si>
  <si>
    <t xml:space="preserve">MMF / Anticipated Resources</t>
  </si>
  <si>
    <t xml:space="preserve">Properties, Tax, </t>
  </si>
  <si>
    <t xml:space="preserve">% of service costs</t>
  </si>
  <si>
    <t xml:space="preserve">Corporate Retained</t>
  </si>
  <si>
    <t xml:space="preserve">Usage (phone lines, etc.)</t>
  </si>
  <si>
    <t xml:space="preserve">LAN services, etc.</t>
  </si>
  <si>
    <t xml:space="preserve">Mainframe usage</t>
  </si>
  <si>
    <t xml:space="preserve">Allocation to Corp R/Cs  - Reversal DC 845</t>
  </si>
  <si>
    <t xml:space="preserve">ESOP Billings Reversal</t>
  </si>
  <si>
    <t xml:space="preserve">Demographics/Headcount</t>
  </si>
  <si>
    <t xml:space="preserve">Allocation to Corp R/Cs  - Reversal</t>
  </si>
  <si>
    <t xml:space="preserve">Organization Effectiveness</t>
  </si>
  <si>
    <t xml:space="preserve">% of New Hires, Random</t>
  </si>
  <si>
    <t xml:space="preserve">Transactions</t>
  </si>
  <si>
    <t xml:space="preserve">EPSC  R/Cs</t>
  </si>
  <si>
    <t xml:space="preserve">Starbucks Construction</t>
  </si>
  <si>
    <t xml:space="preserve">Forms Management</t>
  </si>
  <si>
    <t xml:space="preserve">Artistic Services</t>
  </si>
  <si>
    <t xml:space="preserve">EES - Dublin Regulatory</t>
  </si>
  <si>
    <t xml:space="preserve">Office Service</t>
  </si>
  <si>
    <t xml:space="preserve">Admin - Expense Other</t>
  </si>
  <si>
    <t xml:space="preserve">EGS - Denver Office</t>
  </si>
  <si>
    <t xml:space="preserve">Enron Communications</t>
  </si>
  <si>
    <t xml:space="preserve">     TOTAL  EPSC</t>
  </si>
  <si>
    <t xml:space="preserve">AVIATION </t>
  </si>
  <si>
    <t xml:space="preserve">Allocation to Corp R/C 2001 - Reversal</t>
  </si>
  <si>
    <t xml:space="preserve">     TOTAL AVIATION</t>
  </si>
  <si>
    <t xml:space="preserve">Review Adjustment</t>
  </si>
  <si>
    <t xml:space="preserve">TOTAL CAIO</t>
  </si>
  <si>
    <t xml:space="preserve">Chief of Staff</t>
  </si>
  <si>
    <t xml:space="preserve">CLOSED 1999</t>
  </si>
  <si>
    <t xml:space="preserve">Sr VP (Hirko)</t>
  </si>
  <si>
    <t xml:space="preserve">       ECM charges  Included in R/C 1400</t>
  </si>
  <si>
    <t xml:space="preserve">EOG Cap</t>
  </si>
  <si>
    <t xml:space="preserve">EOG Subsidy</t>
  </si>
  <si>
    <t xml:space="preserve">TOTAL OTHER</t>
  </si>
  <si>
    <t xml:space="preserve">GRAND TOTAL G&amp;A</t>
  </si>
  <si>
    <t xml:space="preserve">checking total  should = 0</t>
  </si>
  <si>
    <t xml:space="preserve">BLUE = needs research</t>
  </si>
  <si>
    <t xml:space="preserve">RED = totals</t>
  </si>
  <si>
    <t xml:space="preserve">Non-Corp = excludes Companies 001, 011, 34V, 359, 409, 426, 901</t>
  </si>
  <si>
    <t xml:space="preserve">CHECK 1</t>
  </si>
  <si>
    <t xml:space="preserve">Check Totals - This Page To Corp MMF Calc Page</t>
  </si>
  <si>
    <t xml:space="preserve">     This Line Should Be Zero</t>
  </si>
  <si>
    <t xml:space="preserve">CHECK 2</t>
  </si>
  <si>
    <t xml:space="preserve">CORP MMF CALC - NET CORP NOT MMF AVAILABLE</t>
  </si>
  <si>
    <t xml:space="preserve">TOTAL AVAILABLE MMF ALLOCATIONS</t>
  </si>
  <si>
    <t xml:space="preserve">TOTAL MMF ALLOCATIONS  NON-CORP</t>
  </si>
  <si>
    <t xml:space="preserve">      TOTAL MMF RETAINED CORP EXPENSES</t>
  </si>
  <si>
    <t xml:space="preserve">LESS INTERNAL DUPLICATED COUNTED BILLINGS</t>
  </si>
  <si>
    <t xml:space="preserve">TOTAL RETAINED AT CORP</t>
  </si>
  <si>
    <t xml:space="preserve">ENRON CAPITAL MANAGEMENT</t>
  </si>
  <si>
    <t xml:space="preserve">1999 PLAN </t>
  </si>
  <si>
    <t xml:space="preserve">MMF Charges of ECM &amp; Other Expenses -Revised with 1998 Actual Percentages</t>
  </si>
  <si>
    <t xml:space="preserve">Whole Dollars</t>
  </si>
  <si>
    <t xml:space="preserve">Direct</t>
  </si>
  <si>
    <t xml:space="preserve">Cost</t>
  </si>
  <si>
    <t xml:space="preserve">RC</t>
  </si>
  <si>
    <t xml:space="preserve">Gross</t>
  </si>
  <si>
    <t xml:space="preserve">Charges</t>
  </si>
  <si>
    <t xml:space="preserve">Net</t>
  </si>
  <si>
    <t xml:space="preserve">Northern</t>
  </si>
  <si>
    <t xml:space="preserve">Florida</t>
  </si>
  <si>
    <t xml:space="preserve">Portland</t>
  </si>
  <si>
    <t xml:space="preserve">Oil &amp;</t>
  </si>
  <si>
    <t xml:space="preserve">Description</t>
  </si>
  <si>
    <t xml:space="preserve">Number</t>
  </si>
  <si>
    <t xml:space="preserve">Expenses</t>
  </si>
  <si>
    <t xml:space="preserve">In/(Out)</t>
  </si>
  <si>
    <t xml:space="preserve">at ECM</t>
  </si>
  <si>
    <t xml:space="preserve">Natural</t>
  </si>
  <si>
    <t xml:space="preserve">Transwestern</t>
  </si>
  <si>
    <t xml:space="preserve">Gas</t>
  </si>
  <si>
    <r>
      <rPr>
        <sz val="10"/>
        <color rgb="FF000000"/>
        <rFont val="Times New Roman"/>
        <family val="0"/>
      </rPr>
      <t xml:space="preserve">Plains </t>
    </r>
    <r>
      <rPr>
        <vertAlign val="superscript"/>
        <sz val="10"/>
        <color rgb="FF0000FF"/>
        <rFont val="Times New Roman"/>
        <family val="0"/>
      </rPr>
      <t xml:space="preserve">1</t>
    </r>
  </si>
  <si>
    <t xml:space="preserve">General</t>
  </si>
  <si>
    <r>
      <rPr>
        <sz val="10"/>
        <color rgb="FF000000"/>
        <rFont val="Times New Roman"/>
        <family val="0"/>
      </rPr>
      <t xml:space="preserve">Gas </t>
    </r>
    <r>
      <rPr>
        <vertAlign val="superscript"/>
        <sz val="10"/>
        <color rgb="FF000000"/>
        <rFont val="Times New Roman"/>
        <family val="0"/>
      </rPr>
      <t xml:space="preserve">2</t>
    </r>
    <r>
      <rPr>
        <sz val="10"/>
        <color rgb="FF000000"/>
        <rFont val="Times New Roman"/>
        <family val="0"/>
      </rPr>
      <t xml:space="preserve"> </t>
    </r>
  </si>
  <si>
    <t xml:space="preserve">ECM</t>
  </si>
  <si>
    <t xml:space="preserve">Distribution</t>
  </si>
  <si>
    <t xml:space="preserve"> </t>
  </si>
  <si>
    <t xml:space="preserve">MMF % Per Operating Company</t>
  </si>
  <si>
    <t xml:space="preserve">Original Plan Allocation</t>
  </si>
  <si>
    <t xml:space="preserve">    Net Change</t>
  </si>
  <si>
    <t xml:space="preserve">1.  For Partnership/Joint Venture, Enron does not provide any services.</t>
  </si>
  <si>
    <t xml:space="preserve">2.  EOG cap reached in Corporate allocations.</t>
  </si>
</sst>
</file>

<file path=xl/styles.xml><?xml version="1.0" encoding="utf-8"?>
<styleSheet xmlns="http://schemas.openxmlformats.org/spreadsheetml/2006/main">
  <numFmts count="14">
    <numFmt numFmtId="164" formatCode="General"/>
    <numFmt numFmtId="165" formatCode="0000"/>
    <numFmt numFmtId="166" formatCode="[$-409]#,##0_);\(#,##0\)"/>
    <numFmt numFmtId="167" formatCode="0"/>
    <numFmt numFmtId="168" formatCode="0%"/>
    <numFmt numFmtId="169" formatCode="_(* #,##0.00_);_(* \(#,##0.00\);_(* \-??_);_(@_)"/>
    <numFmt numFmtId="170" formatCode="mm/dd/yy"/>
    <numFmt numFmtId="171" formatCode="@"/>
    <numFmt numFmtId="172" formatCode="_(* #,##0_);_(* \(#,##0\);_(* \-_);_(@_)"/>
    <numFmt numFmtId="173" formatCode="0.00%"/>
    <numFmt numFmtId="174" formatCode="_(* #,##0_);_(* \(#,##0\);_(* \-??_);_(@_)"/>
    <numFmt numFmtId="175" formatCode="000"/>
    <numFmt numFmtId="176" formatCode="dd\-mmm\-yy_)"/>
    <numFmt numFmtId="177" formatCode="hh:mm\ AM/PM_)"/>
  </numFmts>
  <fonts count="39">
    <font>
      <sz val="10"/>
      <name val="Arial"/>
      <family val="0"/>
    </font>
    <font>
      <sz val="10"/>
      <name val="Arial"/>
      <family val="0"/>
    </font>
    <font>
      <sz val="10"/>
      <name val="Arial"/>
      <family val="0"/>
    </font>
    <font>
      <sz val="10"/>
      <name val="Arial"/>
      <family val="0"/>
    </font>
    <font>
      <sz val="10"/>
      <color rgb="FF000000"/>
      <name val="Arial"/>
      <family val="2"/>
    </font>
    <font>
      <sz val="8"/>
      <color rgb="FF000000"/>
      <name val="Arial"/>
      <family val="2"/>
    </font>
    <font>
      <b val="true"/>
      <sz val="10"/>
      <color rgb="FF000000"/>
      <name val="Arial"/>
      <family val="2"/>
    </font>
    <font>
      <b val="true"/>
      <i val="true"/>
      <sz val="12"/>
      <color rgb="FFFF0000"/>
      <name val="Arial"/>
      <family val="2"/>
    </font>
    <font>
      <b val="true"/>
      <sz val="8"/>
      <color rgb="FF000000"/>
      <name val="Arial"/>
      <family val="2"/>
    </font>
    <font>
      <sz val="8"/>
      <name val="Arial"/>
      <family val="2"/>
    </font>
    <font>
      <sz val="10"/>
      <name val="Arial"/>
      <family val="2"/>
    </font>
    <font>
      <sz val="8"/>
      <color rgb="FFFF0000"/>
      <name val="Arial"/>
      <family val="2"/>
    </font>
    <font>
      <sz val="6"/>
      <color rgb="FF000000"/>
      <name val="Arial"/>
      <family val="2"/>
    </font>
    <font>
      <b val="true"/>
      <sz val="10"/>
      <color rgb="FFFF0000"/>
      <name val="Arial"/>
      <family val="2"/>
    </font>
    <font>
      <b val="true"/>
      <sz val="8"/>
      <color rgb="FF000000"/>
      <name val="Tahoma"/>
      <family val="0"/>
    </font>
    <font>
      <sz val="8"/>
      <color rgb="FF000000"/>
      <name val="Tahoma"/>
      <family val="0"/>
    </font>
    <font>
      <b val="true"/>
      <i val="true"/>
      <sz val="10"/>
      <color rgb="FFFF0000"/>
      <name val="Arial"/>
      <family val="2"/>
    </font>
    <font>
      <b val="true"/>
      <sz val="8"/>
      <name val="Arial"/>
      <family val="2"/>
    </font>
    <font>
      <b val="true"/>
      <sz val="8"/>
      <color rgb="FF0000FF"/>
      <name val="Arial"/>
      <family val="2"/>
    </font>
    <font>
      <b val="true"/>
      <sz val="10"/>
      <name val="Arial"/>
      <family val="2"/>
    </font>
    <font>
      <sz val="10"/>
      <color rgb="FF000000"/>
      <name val="Times New Roman"/>
      <family val="0"/>
    </font>
    <font>
      <b val="true"/>
      <sz val="12"/>
      <color rgb="FF000000"/>
      <name val="Arial"/>
      <family val="2"/>
    </font>
    <font>
      <b val="true"/>
      <sz val="8"/>
      <color rgb="FFFF0000"/>
      <name val="Arial"/>
      <family val="2"/>
    </font>
    <font>
      <sz val="8"/>
      <color rgb="FF0000FF"/>
      <name val="Arial"/>
      <family val="2"/>
    </font>
    <font>
      <b val="true"/>
      <sz val="10"/>
      <color rgb="FF0000FF"/>
      <name val="Arial"/>
      <family val="2"/>
    </font>
    <font>
      <sz val="10"/>
      <color rgb="FFFF0000"/>
      <name val="Arial"/>
      <family val="2"/>
    </font>
    <font>
      <sz val="24"/>
      <color rgb="FF000000"/>
      <name val="Tahoma"/>
      <family val="2"/>
    </font>
    <font>
      <b val="true"/>
      <sz val="20"/>
      <color rgb="FF000000"/>
      <name val="Times New Roman"/>
      <family val="0"/>
    </font>
    <font>
      <i val="true"/>
      <sz val="10"/>
      <color rgb="FF000000"/>
      <name val="Times New Roman"/>
      <family val="0"/>
    </font>
    <font>
      <b val="true"/>
      <sz val="12"/>
      <color rgb="FF000000"/>
      <name val="Times New Roman"/>
      <family val="0"/>
    </font>
    <font>
      <sz val="20"/>
      <color rgb="FF000000"/>
      <name val="Times New Roman"/>
      <family val="0"/>
    </font>
    <font>
      <b val="true"/>
      <sz val="18"/>
      <color rgb="FF000000"/>
      <name val="Times New Roman"/>
      <family val="0"/>
    </font>
    <font>
      <b val="true"/>
      <sz val="10"/>
      <color rgb="FF000000"/>
      <name val="Times New Roman"/>
      <family val="0"/>
    </font>
    <font>
      <sz val="8"/>
      <color rgb="FF000000"/>
      <name val="Times New Roman"/>
      <family val="0"/>
    </font>
    <font>
      <vertAlign val="superscript"/>
      <sz val="10"/>
      <color rgb="FF0000FF"/>
      <name val="Times New Roman"/>
      <family val="0"/>
    </font>
    <font>
      <vertAlign val="superscript"/>
      <sz val="10"/>
      <color rgb="FF000000"/>
      <name val="Times New Roman"/>
      <family val="0"/>
    </font>
    <font>
      <b val="true"/>
      <sz val="10"/>
      <color rgb="FF0000FF"/>
      <name val="Times New Roman"/>
      <family val="0"/>
    </font>
    <font>
      <sz val="20"/>
      <color rgb="FF000000"/>
      <name val="Tahoma"/>
      <family val="2"/>
    </font>
    <font>
      <sz val="10"/>
      <color rgb="FF000000"/>
      <name val="Tahoma"/>
      <family val="2"/>
    </font>
  </fonts>
  <fills count="3">
    <fill>
      <patternFill patternType="none"/>
    </fill>
    <fill>
      <patternFill patternType="gray125"/>
    </fill>
    <fill>
      <patternFill patternType="solid">
        <fgColor rgb="FFE3E3E3"/>
        <bgColor rgb="FFCCFFCC"/>
      </patternFill>
    </fill>
  </fills>
  <borders count="14">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right/>
      <top style="thin"/>
      <bottom/>
      <diagonal/>
    </border>
    <border diagonalUp="false" diagonalDown="false">
      <left/>
      <right/>
      <top style="thin"/>
      <bottom style="double"/>
      <diagonal/>
    </border>
    <border diagonalUp="false" diagonalDown="false">
      <left/>
      <right/>
      <top/>
      <bottom style="double"/>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cellStyleXfs>
  <cellXfs count="250">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6" fontId="4" fillId="0" borderId="0" xfId="19" applyFont="true" applyBorder="true" applyAlignment="true" applyProtection="true">
      <alignment horizontal="general" vertical="bottom" textRotation="0" wrapText="false" indent="0" shrinkToFit="false"/>
      <protection locked="true" hidden="false"/>
    </xf>
    <xf numFmtId="166" fontId="4" fillId="0" borderId="0" xfId="0" applyFont="true" applyBorder="true" applyAlignment="false" applyProtection="false">
      <alignment horizontal="general" vertical="bottom" textRotation="0" wrapText="false" indent="0" shrinkToFit="false"/>
      <protection locked="true" hidden="false"/>
    </xf>
    <xf numFmtId="166" fontId="4" fillId="0" borderId="0" xfId="15" applyFont="true" applyBorder="true" applyAlignment="true" applyProtection="true">
      <alignment horizontal="general" vertical="bottom" textRotation="0" wrapText="false" indent="0" shrinkToFit="false"/>
      <protection locked="true" hidden="false"/>
    </xf>
    <xf numFmtId="166" fontId="4" fillId="0" borderId="0" xfId="15" applyFont="true" applyBorder="true" applyAlignment="true" applyProtection="true">
      <alignment horizontal="right"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left" vertical="bottom" textRotation="0" wrapText="false" indent="0" shrinkToFit="false"/>
      <protection locked="true" hidden="false"/>
    </xf>
    <xf numFmtId="170" fontId="7" fillId="0" borderId="0" xfId="0" applyFont="true" applyBorder="false" applyAlignment="false" applyProtection="false">
      <alignment horizontal="general" vertical="bottom" textRotation="0" wrapText="false" indent="0" shrinkToFit="false"/>
      <protection locked="true" hidden="false"/>
    </xf>
    <xf numFmtId="167" fontId="7"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6" fontId="4" fillId="0" borderId="0" xfId="15" applyFont="true" applyBorder="true" applyAlignment="true" applyProtection="true">
      <alignment horizontal="left" vertical="bottom" textRotation="0" wrapText="false" indent="0" shrinkToFit="false"/>
      <protection locked="true" hidden="false"/>
    </xf>
    <xf numFmtId="166" fontId="4" fillId="0" borderId="0" xfId="15" applyFont="true" applyBorder="true" applyAlignment="true" applyProtection="true">
      <alignment horizontal="center" vertical="bottom" textRotation="0" wrapText="false" indent="0" shrinkToFit="false"/>
      <protection locked="true" hidden="false"/>
    </xf>
    <xf numFmtId="171" fontId="8" fillId="0" borderId="0" xfId="15" applyFont="true" applyBorder="true" applyAlignment="true" applyProtection="true">
      <alignment horizontal="center" vertical="bottom" textRotation="0" wrapText="false" indent="0" shrinkToFit="false"/>
      <protection locked="true" hidden="false"/>
    </xf>
    <xf numFmtId="171" fontId="4" fillId="0" borderId="0" xfId="15" applyFont="true" applyBorder="true" applyAlignment="true" applyProtection="tru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6" fontId="6" fillId="0" borderId="0" xfId="0" applyFont="true" applyBorder="true" applyAlignment="true" applyProtection="false">
      <alignment horizontal="center" vertical="bottom" textRotation="0" wrapText="false" indent="0" shrinkToFit="false"/>
      <protection locked="true" hidden="false"/>
    </xf>
    <xf numFmtId="166"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15" applyFont="true" applyBorder="true" applyAlignment="true" applyProtection="true">
      <alignment horizontal="center" vertical="bottom" textRotation="0" wrapText="false" indent="0" shrinkToFit="false"/>
      <protection locked="true" hidden="false"/>
    </xf>
    <xf numFmtId="165" fontId="8" fillId="0" borderId="1" xfId="0" applyFont="true" applyBorder="true" applyAlignment="true" applyProtection="false">
      <alignment horizontal="center" vertical="bottom" textRotation="0" wrapText="false" indent="0" shrinkToFit="false"/>
      <protection locked="true" hidden="false"/>
    </xf>
    <xf numFmtId="166" fontId="8" fillId="0" borderId="1" xfId="0" applyFont="true" applyBorder="true" applyAlignment="true" applyProtection="false">
      <alignment horizontal="center" vertical="bottom" textRotation="0" wrapText="false" indent="0" shrinkToFit="false"/>
      <protection locked="true" hidden="false"/>
    </xf>
    <xf numFmtId="167" fontId="8" fillId="0" borderId="1" xfId="15" applyFont="true" applyBorder="true" applyAlignment="true" applyProtection="true">
      <alignment horizontal="center" vertical="bottom" textRotation="0" wrapText="false" indent="0" shrinkToFit="false"/>
      <protection locked="true" hidden="false"/>
    </xf>
    <xf numFmtId="166" fontId="8" fillId="0" borderId="1" xfId="0" applyFont="true" applyBorder="true" applyAlignment="true" applyProtection="false">
      <alignment horizontal="center" vertical="bottom" textRotation="0" wrapText="true" indent="0" shrinkToFit="false"/>
      <protection locked="true" hidden="false"/>
    </xf>
    <xf numFmtId="166" fontId="8" fillId="0" borderId="2" xfId="0" applyFont="true" applyBorder="true" applyAlignment="true" applyProtection="false">
      <alignment horizontal="center" vertical="bottom" textRotation="0" wrapText="true" indent="0" shrinkToFit="false"/>
      <protection locked="true" hidden="false"/>
    </xf>
    <xf numFmtId="166" fontId="8" fillId="0" borderId="1" xfId="19" applyFont="true" applyBorder="true" applyAlignment="true" applyProtection="true">
      <alignment horizontal="center" vertical="bottom" textRotation="0" wrapText="false" indent="0" shrinkToFit="false"/>
      <protection locked="true" hidden="false"/>
    </xf>
    <xf numFmtId="166" fontId="8" fillId="0" borderId="1" xfId="15" applyFont="true" applyBorder="true" applyAlignment="true" applyProtection="true">
      <alignment horizontal="center" vertical="bottom" textRotation="0" wrapText="true" indent="0" shrinkToFit="false"/>
      <protection locked="true" hidden="false"/>
    </xf>
    <xf numFmtId="166" fontId="8" fillId="0" borderId="1"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8" fillId="0" borderId="0" xfId="0" applyFont="true" applyBorder="true" applyAlignment="true" applyProtection="false">
      <alignment horizontal="center" vertical="bottom" textRotation="0" wrapText="false" indent="0" shrinkToFit="false"/>
      <protection locked="true" hidden="false"/>
    </xf>
    <xf numFmtId="166" fontId="8" fillId="0" borderId="0" xfId="0" applyFont="true" applyBorder="true" applyAlignment="true" applyProtection="false">
      <alignment horizontal="center" vertical="bottom" textRotation="0" wrapText="false" indent="0" shrinkToFit="false"/>
      <protection locked="true" hidden="false"/>
    </xf>
    <xf numFmtId="167" fontId="8" fillId="0" borderId="0" xfId="0" applyFont="true" applyBorder="true" applyAlignment="true" applyProtection="false">
      <alignment horizontal="center" vertical="bottom" textRotation="0" wrapText="false" indent="0" shrinkToFit="false"/>
      <protection locked="true" hidden="false"/>
    </xf>
    <xf numFmtId="166" fontId="8" fillId="0" borderId="0" xfId="19" applyFont="true" applyBorder="true" applyAlignment="true" applyProtection="true">
      <alignment horizontal="center" vertical="bottom" textRotation="0" wrapText="false" indent="0" shrinkToFit="false"/>
      <protection locked="true" hidden="false"/>
    </xf>
    <xf numFmtId="166" fontId="8" fillId="0" borderId="0" xfId="15" applyFont="true" applyBorder="true" applyAlignment="true" applyProtection="true">
      <alignment horizontal="center" vertical="bottom" textRotation="0" wrapText="true" indent="0" shrinkToFit="false"/>
      <protection locked="true" hidden="false"/>
    </xf>
    <xf numFmtId="166" fontId="8" fillId="0" borderId="0" xfId="15" applyFont="true" applyBorder="true" applyAlignment="true" applyProtection="tru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6" fontId="5" fillId="0" borderId="0" xfId="0" applyFont="true" applyBorder="true" applyAlignment="true" applyProtection="true">
      <alignment horizontal="left"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7" fontId="5" fillId="0" borderId="0" xfId="0" applyFont="true" applyBorder="true" applyAlignment="true" applyProtection="false">
      <alignment horizontal="center" vertical="bottom" textRotation="0" wrapText="false" indent="0" shrinkToFit="false"/>
      <protection locked="true" hidden="false"/>
    </xf>
    <xf numFmtId="172" fontId="5" fillId="0" borderId="0" xfId="0" applyFont="true" applyBorder="true" applyAlignment="false" applyProtection="false">
      <alignment horizontal="general" vertical="bottom" textRotation="0" wrapText="false" indent="0" shrinkToFit="false"/>
      <protection locked="true" hidden="false"/>
    </xf>
    <xf numFmtId="172" fontId="5" fillId="0" borderId="0" xfId="15" applyFont="true" applyBorder="true" applyAlignment="true" applyProtection="true">
      <alignment horizontal="general" vertical="bottom" textRotation="0" wrapText="false" indent="0" shrinkToFit="false"/>
      <protection locked="true" hidden="false"/>
    </xf>
    <xf numFmtId="172" fontId="5" fillId="0" borderId="0" xfId="19" applyFont="true" applyBorder="true" applyAlignment="true" applyProtection="true">
      <alignment horizontal="general" vertical="bottom" textRotation="0" wrapText="false" indent="0" shrinkToFit="false"/>
      <protection locked="true" hidden="false"/>
    </xf>
    <xf numFmtId="172" fontId="4" fillId="0" borderId="0" xfId="0" applyFont="true" applyBorder="true" applyAlignment="false" applyProtection="false">
      <alignment horizontal="general" vertical="bottom" textRotation="0" wrapText="false" indent="0" shrinkToFit="false"/>
      <protection locked="true" hidden="false"/>
    </xf>
    <xf numFmtId="172" fontId="9"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6" fontId="9" fillId="0" borderId="0" xfId="0" applyFont="true" applyBorder="true" applyAlignment="false" applyProtection="false">
      <alignment horizontal="general" vertical="bottom" textRotation="0" wrapText="false" indent="0" shrinkToFit="false"/>
      <protection locked="true" hidden="false"/>
    </xf>
    <xf numFmtId="167" fontId="9" fillId="0" borderId="0" xfId="0" applyFont="true" applyBorder="true" applyAlignment="true" applyProtection="false">
      <alignment horizontal="center" vertical="bottom" textRotation="0" wrapText="false" indent="0" shrinkToFit="false"/>
      <protection locked="true" hidden="false"/>
    </xf>
    <xf numFmtId="172" fontId="9" fillId="0" borderId="0" xfId="0" applyFont="true" applyBorder="true" applyAlignment="false" applyProtection="false">
      <alignment horizontal="general" vertical="bottom" textRotation="0" wrapText="false" indent="0" shrinkToFit="false"/>
      <protection locked="true" hidden="false"/>
    </xf>
    <xf numFmtId="172" fontId="9" fillId="0" borderId="0"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72" fontId="5" fillId="0" borderId="0"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true" applyAlignment="false" applyProtection="false">
      <alignment horizontal="general" vertical="bottom" textRotation="0" wrapText="false" indent="0" shrinkToFit="false"/>
      <protection locked="true" hidden="false"/>
    </xf>
    <xf numFmtId="172" fontId="11"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72" fontId="5" fillId="0" borderId="0" xfId="15" applyFont="true" applyBorder="true" applyAlignment="true" applyProtection="true">
      <alignment horizontal="righ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6" fontId="8" fillId="0" borderId="0" xfId="0" applyFont="true" applyBorder="true" applyAlignment="false" applyProtection="false">
      <alignment horizontal="general" vertical="bottom" textRotation="0" wrapText="false" indent="0" shrinkToFit="false"/>
      <protection locked="true" hidden="false"/>
    </xf>
    <xf numFmtId="172" fontId="8" fillId="0" borderId="3" xfId="0" applyFont="true" applyBorder="true" applyAlignment="true" applyProtection="false">
      <alignment horizontal="right" vertical="bottom" textRotation="0" wrapText="false" indent="0" shrinkToFit="false"/>
      <protection locked="true" hidden="false"/>
    </xf>
    <xf numFmtId="172" fontId="8" fillId="0" borderId="0" xfId="15" applyFont="true" applyBorder="true" applyAlignment="true" applyProtection="true">
      <alignment horizontal="right" vertical="bottom" textRotation="0" wrapText="false" indent="0" shrinkToFit="false"/>
      <protection locked="true" hidden="false"/>
    </xf>
    <xf numFmtId="172" fontId="8" fillId="0" borderId="0" xfId="19" applyFont="true" applyBorder="true" applyAlignment="true" applyProtection="true">
      <alignment horizontal="general" vertical="bottom" textRotation="0" wrapText="false" indent="0" shrinkToFit="false"/>
      <protection locked="true" hidden="false"/>
    </xf>
    <xf numFmtId="166" fontId="8" fillId="0" borderId="0" xfId="15" applyFont="true" applyBorder="true" applyAlignment="true" applyProtection="true">
      <alignment horizontal="right" vertical="bottom" textRotation="0" wrapText="false" indent="0" shrinkToFit="false"/>
      <protection locked="true" hidden="false"/>
    </xf>
    <xf numFmtId="166" fontId="8" fillId="0" borderId="0" xfId="19" applyFont="true" applyBorder="true" applyAlignment="true" applyProtection="true">
      <alignment horizontal="general" vertical="bottom" textRotation="0" wrapText="false" indent="0" shrinkToFit="false"/>
      <protection locked="true" hidden="false"/>
    </xf>
    <xf numFmtId="165" fontId="6" fillId="0" borderId="0" xfId="0" applyFont="true" applyBorder="false" applyAlignment="true" applyProtection="false">
      <alignment horizontal="left"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6" fontId="5" fillId="0" borderId="0" xfId="15" applyFont="true" applyBorder="true" applyAlignment="true" applyProtection="true">
      <alignment horizontal="right" vertical="bottom" textRotation="0" wrapText="false" indent="0" shrinkToFit="false"/>
      <protection locked="true" hidden="false"/>
    </xf>
    <xf numFmtId="166" fontId="5" fillId="0" borderId="0" xfId="19" applyFont="true" applyBorder="true" applyAlignment="true" applyProtection="true">
      <alignment horizontal="general" vertical="bottom" textRotation="0" wrapText="false" indent="0" shrinkToFit="false"/>
      <protection locked="true" hidden="false"/>
    </xf>
    <xf numFmtId="166" fontId="5" fillId="0" borderId="0" xfId="15"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73" fontId="5" fillId="0" borderId="0" xfId="19" applyFont="true" applyBorder="true" applyAlignment="true" applyProtection="true">
      <alignment horizontal="right" vertical="bottom" textRotation="0" wrapText="false" indent="0" shrinkToFit="false"/>
      <protection locked="true" hidden="false"/>
    </xf>
    <xf numFmtId="165" fontId="8" fillId="2" borderId="0" xfId="0" applyFont="true" applyBorder="true" applyAlignment="true" applyProtection="false">
      <alignment horizontal="left" vertical="bottom" textRotation="0" wrapText="false" indent="0" shrinkToFit="false"/>
      <protection locked="true" hidden="false"/>
    </xf>
    <xf numFmtId="166" fontId="8" fillId="2" borderId="0" xfId="0" applyFont="true" applyBorder="true" applyAlignment="false" applyProtection="false">
      <alignment horizontal="general" vertical="bottom" textRotation="0" wrapText="false" indent="0" shrinkToFit="false"/>
      <protection locked="true" hidden="false"/>
    </xf>
    <xf numFmtId="167" fontId="8" fillId="2" borderId="0" xfId="0" applyFont="true" applyBorder="true" applyAlignment="true" applyProtection="false">
      <alignment horizontal="center" vertical="bottom" textRotation="0" wrapText="false" indent="0" shrinkToFit="false"/>
      <protection locked="true" hidden="false"/>
    </xf>
    <xf numFmtId="166" fontId="8" fillId="2" borderId="0" xfId="15" applyFont="true" applyBorder="true" applyAlignment="true" applyProtection="true">
      <alignment horizontal="right" vertical="bottom" textRotation="0" wrapText="false" indent="0" shrinkToFit="false"/>
      <protection locked="true" hidden="false"/>
    </xf>
    <xf numFmtId="165" fontId="8" fillId="2" borderId="0" xfId="0" applyFont="true" applyBorder="false" applyAlignment="true" applyProtection="false">
      <alignment horizontal="center" vertical="bottom" textRotation="0" wrapText="false" indent="0" shrinkToFit="false"/>
      <protection locked="true" hidden="false"/>
    </xf>
    <xf numFmtId="166" fontId="8" fillId="0" borderId="0" xfId="15" applyFont="true" applyBorder="true" applyAlignment="true" applyProtection="true">
      <alignment horizontal="left"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6" fontId="13" fillId="0" borderId="0" xfId="0" applyFont="true" applyBorder="false" applyAlignment="false" applyProtection="false">
      <alignment horizontal="general" vertical="bottom" textRotation="0" wrapText="false" indent="0" shrinkToFit="false"/>
      <protection locked="true" hidden="false"/>
    </xf>
    <xf numFmtId="167" fontId="4" fillId="0" borderId="0" xfId="15" applyFont="true" applyBorder="true" applyAlignment="true" applyProtection="true">
      <alignment horizontal="center" vertical="bottom" textRotation="0" wrapText="false" indent="0" shrinkToFit="false"/>
      <protection locked="true" hidden="false"/>
    </xf>
    <xf numFmtId="166" fontId="10" fillId="0" borderId="0" xfId="0" applyFont="true" applyBorder="true" applyAlignment="false" applyProtection="false">
      <alignment horizontal="general" vertical="bottom" textRotation="0" wrapText="false" indent="0" shrinkToFit="false"/>
      <protection locked="true" hidden="false"/>
    </xf>
    <xf numFmtId="166" fontId="16" fillId="0" borderId="0" xfId="0" applyFont="true" applyBorder="false" applyAlignment="false" applyProtection="false">
      <alignment horizontal="general" vertical="bottom" textRotation="0" wrapText="false" indent="0" shrinkToFit="false"/>
      <protection locked="true" hidden="false"/>
    </xf>
    <xf numFmtId="166" fontId="8" fillId="0" borderId="1" xfId="0" applyFont="true" applyBorder="true" applyAlignment="false" applyProtection="false">
      <alignment horizontal="general" vertical="bottom" textRotation="0" wrapText="false" indent="0" shrinkToFit="false"/>
      <protection locked="true" hidden="false"/>
    </xf>
    <xf numFmtId="166" fontId="17" fillId="0" borderId="1" xfId="0" applyFont="true" applyBorder="true" applyAlignment="true" applyProtection="false">
      <alignment horizontal="center" vertical="bottom" textRotation="0" wrapText="true" indent="0" shrinkToFit="false"/>
      <protection locked="true" hidden="false"/>
    </xf>
    <xf numFmtId="165" fontId="5" fillId="0" borderId="4" xfId="0" applyFont="true" applyBorder="true" applyAlignment="true" applyProtection="false">
      <alignment horizontal="center" vertical="bottom" textRotation="0" wrapText="false" indent="0" shrinkToFit="false"/>
      <protection locked="true" hidden="false"/>
    </xf>
    <xf numFmtId="166" fontId="5" fillId="0" borderId="4" xfId="0" applyFont="true" applyBorder="true" applyAlignment="true" applyProtection="true">
      <alignment horizontal="left" vertical="bottom" textRotation="0" wrapText="false" indent="0" shrinkToFit="false"/>
      <protection locked="true" hidden="false"/>
    </xf>
    <xf numFmtId="166" fontId="5" fillId="0" borderId="4" xfId="0" applyFont="true" applyBorder="true" applyAlignment="false" applyProtection="false">
      <alignment horizontal="general" vertical="bottom" textRotation="0" wrapText="false" indent="0" shrinkToFit="false"/>
      <protection locked="true" hidden="false"/>
    </xf>
    <xf numFmtId="167" fontId="5" fillId="0" borderId="4" xfId="15" applyFont="true" applyBorder="true" applyAlignment="true" applyProtection="true">
      <alignment horizontal="center" vertical="bottom" textRotation="0" wrapText="false" indent="0" shrinkToFit="false"/>
      <protection locked="true" hidden="false"/>
    </xf>
    <xf numFmtId="166" fontId="5" fillId="0" borderId="4" xfId="15" applyFont="true" applyBorder="true" applyAlignment="true" applyProtection="true">
      <alignment horizontal="general" vertical="bottom" textRotation="0" wrapText="false" indent="0" shrinkToFit="false"/>
      <protection locked="true" hidden="false"/>
    </xf>
    <xf numFmtId="166" fontId="9" fillId="0" borderId="4" xfId="0" applyFont="true" applyBorder="true" applyAlignment="false" applyProtection="false">
      <alignment horizontal="general" vertical="bottom" textRotation="0" wrapText="false" indent="0" shrinkToFit="false"/>
      <protection locked="true" hidden="false"/>
    </xf>
    <xf numFmtId="165" fontId="8" fillId="0" borderId="0" xfId="0" applyFont="true" applyBorder="true" applyAlignment="true" applyProtection="false">
      <alignment horizontal="left" vertical="bottom" textRotation="0" wrapText="false" indent="0" shrinkToFit="false"/>
      <protection locked="true" hidden="false"/>
    </xf>
    <xf numFmtId="167" fontId="5" fillId="0" borderId="0" xfId="15" applyFont="true" applyBorder="true" applyAlignment="true" applyProtection="true">
      <alignment horizontal="center" vertical="bottom" textRotation="0" wrapText="false" indent="0" shrinkToFit="false"/>
      <protection locked="true" hidden="false"/>
    </xf>
    <xf numFmtId="166" fontId="5" fillId="0" borderId="3" xfId="0" applyFont="true" applyBorder="true" applyAlignment="false" applyProtection="false">
      <alignment horizontal="general" vertical="bottom" textRotation="0" wrapText="false" indent="0" shrinkToFit="false"/>
      <protection locked="true" hidden="false"/>
    </xf>
    <xf numFmtId="166" fontId="9" fillId="0" borderId="3"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74" fontId="5" fillId="0" borderId="0" xfId="15" applyFont="true" applyBorder="true" applyAlignment="true" applyProtection="true">
      <alignment horizontal="center" vertical="bottom" textRotation="0" wrapText="false" indent="0" shrinkToFit="false"/>
      <protection locked="true" hidden="false"/>
    </xf>
    <xf numFmtId="166" fontId="5" fillId="0" borderId="3" xfId="15" applyFont="true" applyBorder="true" applyAlignment="true" applyProtection="true">
      <alignment horizontal="general" vertical="bottom" textRotation="0" wrapText="false" indent="0" shrinkToFit="false"/>
      <protection locked="true" hidden="false"/>
    </xf>
    <xf numFmtId="172" fontId="5" fillId="0" borderId="0" xfId="0" applyFont="true" applyBorder="true" applyAlignment="true" applyProtection="false">
      <alignment horizontal="center" vertical="bottom" textRotation="0" wrapText="false" indent="0" shrinkToFit="false"/>
      <protection locked="true" hidden="false"/>
    </xf>
    <xf numFmtId="167" fontId="5" fillId="0" borderId="0" xfId="15" applyFont="true" applyBorder="true" applyAlignment="true" applyProtection="true">
      <alignment horizontal="right" vertical="bottom" textRotation="0" wrapText="false" indent="0" shrinkToFit="false"/>
      <protection locked="true" hidden="false"/>
    </xf>
    <xf numFmtId="166" fontId="4" fillId="0" borderId="3" xfId="0" applyFont="true" applyBorder="true" applyAlignment="false" applyProtection="false">
      <alignment horizontal="general" vertical="bottom" textRotation="0" wrapText="false" indent="0" shrinkToFit="false"/>
      <protection locked="true" hidden="false"/>
    </xf>
    <xf numFmtId="165" fontId="18" fillId="0" borderId="0" xfId="0" applyFont="true" applyBorder="true" applyAlignment="true" applyProtection="false">
      <alignment horizontal="left" vertical="bottom" textRotation="0" wrapText="false" indent="0" shrinkToFit="false"/>
      <protection locked="true" hidden="false"/>
    </xf>
    <xf numFmtId="166" fontId="8" fillId="0" borderId="0" xfId="0" applyFont="true" applyBorder="true" applyAlignment="true" applyProtection="true">
      <alignment horizontal="left" vertical="bottom" textRotation="0" wrapText="false" indent="0" shrinkToFit="false"/>
      <protection locked="true" hidden="false"/>
    </xf>
    <xf numFmtId="166" fontId="5" fillId="0" borderId="1" xfId="0" applyFont="true" applyBorder="true" applyAlignment="false" applyProtection="false">
      <alignment horizontal="general" vertical="bottom" textRotation="0" wrapText="false" indent="0" shrinkToFit="false"/>
      <protection locked="true" hidden="false"/>
    </xf>
    <xf numFmtId="166" fontId="9" fillId="0" borderId="1" xfId="0" applyFont="true" applyBorder="true" applyAlignment="false" applyProtection="false">
      <alignment horizontal="general" vertical="bottom" textRotation="0" wrapText="false" indent="0" shrinkToFit="false"/>
      <protection locked="true" hidden="false"/>
    </xf>
    <xf numFmtId="166" fontId="5" fillId="0" borderId="1" xfId="15" applyFont="true" applyBorder="true" applyAlignment="true" applyProtection="true">
      <alignment horizontal="general" vertical="bottom" textRotation="0" wrapText="false" indent="0" shrinkToFit="false"/>
      <protection locked="true" hidden="false"/>
    </xf>
    <xf numFmtId="165" fontId="13" fillId="0" borderId="0" xfId="0" applyFont="true" applyBorder="true" applyAlignment="true" applyProtection="false">
      <alignment horizontal="center" vertical="bottom" textRotation="0" wrapText="false" indent="0" shrinkToFit="false"/>
      <protection locked="true" hidden="false"/>
    </xf>
    <xf numFmtId="166" fontId="13" fillId="0" borderId="0" xfId="0" applyFont="true" applyBorder="true" applyAlignment="true" applyProtection="true">
      <alignment horizontal="left" vertical="bottom" textRotation="0" wrapText="false" indent="0" shrinkToFit="false"/>
      <protection locked="true" hidden="false"/>
    </xf>
    <xf numFmtId="166" fontId="13" fillId="0" borderId="0" xfId="0" applyFont="true" applyBorder="true" applyAlignment="false" applyProtection="false">
      <alignment horizontal="general" vertical="bottom" textRotation="0" wrapText="false" indent="0" shrinkToFit="false"/>
      <protection locked="true" hidden="false"/>
    </xf>
    <xf numFmtId="167" fontId="13" fillId="0" borderId="0" xfId="15" applyFont="true" applyBorder="true" applyAlignment="true" applyProtection="true">
      <alignment horizontal="center" vertical="bottom" textRotation="0" wrapText="false" indent="0" shrinkToFit="false"/>
      <protection locked="true" hidden="false"/>
    </xf>
    <xf numFmtId="166" fontId="13" fillId="0" borderId="5" xfId="0" applyFont="true" applyBorder="true" applyAlignment="false" applyProtection="false">
      <alignment horizontal="general" vertical="bottom" textRotation="0" wrapText="false" indent="0" shrinkToFit="false"/>
      <protection locked="true" hidden="false"/>
    </xf>
    <xf numFmtId="166" fontId="19" fillId="0" borderId="5" xfId="0" applyFont="true" applyBorder="true" applyAlignment="false" applyProtection="false">
      <alignment horizontal="general" vertical="bottom" textRotation="0" wrapText="false" indent="0" shrinkToFit="false"/>
      <protection locked="true" hidden="false"/>
    </xf>
    <xf numFmtId="167" fontId="8" fillId="0" borderId="0" xfId="15" applyFont="true" applyBorder="true" applyAlignment="true" applyProtection="true">
      <alignment horizontal="center" vertical="bottom" textRotation="0" wrapText="false" indent="0" shrinkToFit="false"/>
      <protection locked="true" hidden="false"/>
    </xf>
    <xf numFmtId="166" fontId="8" fillId="0" borderId="0" xfId="15" applyFont="true" applyBorder="true" applyAlignment="true" applyProtection="true">
      <alignment horizontal="general" vertical="bottom" textRotation="0" wrapText="false" indent="0" shrinkToFit="false"/>
      <protection locked="true" hidden="false"/>
    </xf>
    <xf numFmtId="166" fontId="8" fillId="0" borderId="0" xfId="0" applyFont="true" applyBorder="false" applyAlignment="false" applyProtection="false">
      <alignment horizontal="general" vertical="bottom" textRotation="0" wrapText="false" indent="0" shrinkToFit="false"/>
      <protection locked="true" hidden="false"/>
    </xf>
    <xf numFmtId="166"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false" applyAlignment="true" applyProtection="false">
      <alignment horizontal="left" vertical="bottom" textRotation="0" wrapText="false" indent="0" shrinkToFit="false"/>
      <protection locked="true" hidden="false"/>
    </xf>
    <xf numFmtId="175" fontId="4" fillId="0" borderId="0" xfId="0" applyFont="true" applyBorder="false" applyAlignment="true" applyProtection="false">
      <alignment horizontal="center" vertical="bottom" textRotation="0" wrapText="false" indent="0" shrinkToFit="false"/>
      <protection locked="true" hidden="false"/>
    </xf>
    <xf numFmtId="175"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left" vertical="bottom" textRotation="0" wrapText="false" indent="0" shrinkToFit="false"/>
      <protection locked="true" hidden="false"/>
    </xf>
    <xf numFmtId="166" fontId="21" fillId="0" borderId="0" xfId="0" applyFont="true" applyBorder="false" applyAlignment="false" applyProtection="false">
      <alignment horizontal="general" vertical="bottom" textRotation="0" wrapText="false" indent="0" shrinkToFit="false"/>
      <protection locked="true" hidden="false"/>
    </xf>
    <xf numFmtId="166" fontId="6" fillId="0" borderId="3" xfId="0" applyFont="true" applyBorder="true" applyAlignment="true" applyProtection="false">
      <alignment horizontal="center" vertical="bottom" textRotation="0" wrapText="false" indent="0" shrinkToFit="false"/>
      <protection locked="true" hidden="false"/>
    </xf>
    <xf numFmtId="175" fontId="5" fillId="0" borderId="0" xfId="0" applyFont="true" applyBorder="true" applyAlignment="true" applyProtection="false">
      <alignment horizontal="center" vertical="bottom" textRotation="0" wrapText="false" indent="0" shrinkToFit="false"/>
      <protection locked="true" hidden="false"/>
    </xf>
    <xf numFmtId="175" fontId="5"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true" applyProtection="false">
      <alignment horizontal="left" vertical="bottom" textRotation="0" wrapText="false" indent="0" shrinkToFit="false"/>
      <protection locked="true" hidden="false"/>
    </xf>
    <xf numFmtId="175" fontId="8" fillId="0" borderId="3" xfId="0" applyFont="true" applyBorder="true" applyAlignment="true" applyProtection="false">
      <alignment horizontal="center" vertical="bottom" textRotation="0" wrapText="false" indent="0" shrinkToFit="false"/>
      <protection locked="true" hidden="false"/>
    </xf>
    <xf numFmtId="175" fontId="8" fillId="0" borderId="0" xfId="0" applyFont="true" applyBorder="true" applyAlignment="true" applyProtection="false">
      <alignment horizontal="center" vertical="bottom" textRotation="0" wrapText="false" indent="0" shrinkToFit="false"/>
      <protection locked="true" hidden="false"/>
    </xf>
    <xf numFmtId="166" fontId="8" fillId="0" borderId="3" xfId="0" applyFont="true" applyBorder="true" applyAlignment="true" applyProtection="false">
      <alignment horizontal="center"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6" fontId="8" fillId="0" borderId="0" xfId="0" applyFont="true" applyBorder="true" applyAlignment="true" applyProtection="false">
      <alignment horizontal="left" vertical="bottom" textRotation="0" wrapText="false" indent="0" shrinkToFit="false"/>
      <protection locked="true" hidden="false"/>
    </xf>
    <xf numFmtId="175" fontId="5" fillId="0" borderId="0" xfId="0" applyFont="true" applyBorder="false" applyAlignment="true" applyProtection="false">
      <alignment horizontal="center" vertical="bottom" textRotation="0" wrapText="false" indent="0" shrinkToFit="false"/>
      <protection locked="true" hidden="false"/>
    </xf>
    <xf numFmtId="175"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6" fontId="5" fillId="0" borderId="0" xfId="0" applyFont="true" applyBorder="tru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left" vertical="bottom" textRotation="0" wrapText="false" indent="0" shrinkToFit="false"/>
      <protection locked="true" hidden="false"/>
    </xf>
    <xf numFmtId="172" fontId="5" fillId="0" borderId="4" xfId="15" applyFont="true" applyBorder="true" applyAlignment="true" applyProtection="true">
      <alignment horizontal="general" vertical="bottom" textRotation="0" wrapText="false" indent="0" shrinkToFit="false"/>
      <protection locked="true" hidden="false"/>
    </xf>
    <xf numFmtId="175" fontId="11" fillId="0" borderId="0" xfId="0" applyFont="true" applyBorder="false" applyAlignment="true" applyProtection="false">
      <alignment horizontal="center" vertical="bottom" textRotation="0" wrapText="false" indent="0" shrinkToFit="false"/>
      <protection locked="true" hidden="false"/>
    </xf>
    <xf numFmtId="175" fontId="11" fillId="0" borderId="0" xfId="0" applyFont="true" applyBorder="false" applyAlignment="false" applyProtection="false">
      <alignment horizontal="general" vertical="bottom" textRotation="0" wrapText="false" indent="0" shrinkToFit="false"/>
      <protection locked="true" hidden="false"/>
    </xf>
    <xf numFmtId="166" fontId="11" fillId="0" borderId="0"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6" fontId="11" fillId="0" borderId="0" xfId="0" applyFont="true" applyBorder="true" applyAlignment="true" applyProtection="false">
      <alignment horizontal="left" vertical="bottom" textRotation="0" wrapText="false" indent="0" shrinkToFit="false"/>
      <protection locked="true" hidden="false"/>
    </xf>
    <xf numFmtId="172" fontId="11" fillId="0" borderId="3" xfId="15" applyFont="true" applyBorder="true" applyAlignment="true" applyProtection="true">
      <alignment horizontal="general" vertical="bottom" textRotation="0" wrapText="false" indent="0" shrinkToFit="false"/>
      <protection locked="true" hidden="false"/>
    </xf>
    <xf numFmtId="166" fontId="11" fillId="0" borderId="0" xfId="15" applyFont="true" applyBorder="true" applyAlignment="true" applyProtection="true">
      <alignment horizontal="general" vertical="bottom" textRotation="0" wrapText="false" indent="0" shrinkToFit="false"/>
      <protection locked="true" hidden="false"/>
    </xf>
    <xf numFmtId="172" fontId="5" fillId="0" borderId="3" xfId="15" applyFont="true" applyBorder="true" applyAlignment="true" applyProtection="true">
      <alignment horizontal="general" vertical="bottom" textRotation="0" wrapText="false" indent="0" shrinkToFit="false"/>
      <protection locked="true" hidden="false"/>
    </xf>
    <xf numFmtId="166" fontId="11" fillId="0" borderId="0" xfId="0" applyFont="true" applyBorder="true" applyAlignment="true" applyProtection="true">
      <alignment horizontal="general" vertical="bottom" textRotation="0" wrapText="false" indent="0" shrinkToFit="false"/>
      <protection locked="true" hidden="false"/>
    </xf>
    <xf numFmtId="166" fontId="11"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6" fontId="11" fillId="0" borderId="0" xfId="0" applyFont="true" applyBorder="false" applyAlignment="true" applyProtection="false">
      <alignment horizontal="left" vertical="bottom" textRotation="0" wrapText="false" indent="0" shrinkToFit="false"/>
      <protection locked="true" hidden="false"/>
    </xf>
    <xf numFmtId="175" fontId="11" fillId="0" borderId="0" xfId="0" applyFont="true" applyBorder="true" applyAlignment="true" applyProtection="false">
      <alignment horizontal="center" vertical="bottom" textRotation="0" wrapText="false" indent="0" shrinkToFit="false"/>
      <protection locked="true" hidden="false"/>
    </xf>
    <xf numFmtId="175" fontId="11" fillId="0" borderId="0" xfId="0" applyFont="true" applyBorder="true" applyAlignment="false" applyProtection="false">
      <alignment horizontal="general" vertical="bottom" textRotation="0" wrapText="false" indent="0" shrinkToFit="false"/>
      <protection locked="true" hidden="false"/>
    </xf>
    <xf numFmtId="166" fontId="22" fillId="0" borderId="0" xfId="0" applyFont="true" applyBorder="true" applyAlignment="true" applyProtection="false">
      <alignment horizontal="center" vertical="bottom" textRotation="0" wrapText="false" indent="0" shrinkToFit="false"/>
      <protection locked="true" hidden="false"/>
    </xf>
    <xf numFmtId="166" fontId="8" fillId="0" borderId="0" xfId="0" applyFont="true" applyBorder="true" applyAlignment="true" applyProtection="true">
      <alignment horizontal="center" vertical="bottom" textRotation="0" wrapText="false" indent="0" shrinkToFit="false"/>
      <protection locked="true" hidden="false"/>
    </xf>
    <xf numFmtId="175" fontId="5" fillId="0" borderId="0" xfId="0" applyFont="true" applyBorder="false" applyAlignment="true" applyProtection="false">
      <alignment horizontal="right" vertical="bottom" textRotation="0" wrapText="false" indent="0" shrinkToFit="false"/>
      <protection locked="true" hidden="false"/>
    </xf>
    <xf numFmtId="175" fontId="11" fillId="0" borderId="0" xfId="0" applyFont="true" applyBorder="false" applyAlignment="true" applyProtection="false">
      <alignment horizontal="right" vertical="bottom" textRotation="0" wrapText="false" indent="0" shrinkToFit="false"/>
      <protection locked="true" hidden="false"/>
    </xf>
    <xf numFmtId="166" fontId="11" fillId="0" borderId="0" xfId="0" applyFont="true" applyBorder="true" applyAlignment="true" applyProtection="true">
      <alignment horizontal="left" vertical="bottom" textRotation="0" wrapText="false" indent="0" shrinkToFit="false"/>
      <protection locked="true" hidden="false"/>
    </xf>
    <xf numFmtId="175" fontId="23" fillId="0" borderId="0" xfId="0" applyFont="true" applyBorder="false" applyAlignment="true" applyProtection="false">
      <alignment horizontal="center" vertical="bottom" textRotation="0" wrapText="false" indent="0" shrinkToFit="false"/>
      <protection locked="true" hidden="false"/>
    </xf>
    <xf numFmtId="175" fontId="23" fillId="0" borderId="0" xfId="0" applyFont="true" applyBorder="false" applyAlignment="false" applyProtection="false">
      <alignment horizontal="general" vertical="bottom" textRotation="0" wrapText="false" indent="0" shrinkToFit="false"/>
      <protection locked="true" hidden="false"/>
    </xf>
    <xf numFmtId="166" fontId="23" fillId="0" borderId="0" xfId="0" applyFont="true" applyBorder="true" applyAlignment="true" applyProtection="true">
      <alignment horizontal="general" vertical="bottom" textRotation="0" wrapText="false" indent="0" shrinkToFit="false"/>
      <protection locked="true" hidden="false"/>
    </xf>
    <xf numFmtId="165" fontId="23" fillId="0" borderId="0" xfId="0" applyFont="true" applyBorder="false" applyAlignment="true" applyProtection="false">
      <alignment horizontal="general" vertical="bottom" textRotation="0" wrapText="false" indent="0" shrinkToFit="false"/>
      <protection locked="true" hidden="false"/>
    </xf>
    <xf numFmtId="165" fontId="23" fillId="0" borderId="0" xfId="0" applyFont="true" applyBorder="false" applyAlignment="true" applyProtection="false">
      <alignment horizontal="center" vertical="bottom" textRotation="0" wrapText="false" indent="0" shrinkToFit="false"/>
      <protection locked="true" hidden="false"/>
    </xf>
    <xf numFmtId="166" fontId="23" fillId="0" borderId="0" xfId="0" applyFont="true" applyBorder="false" applyAlignment="true" applyProtection="false">
      <alignment horizontal="left" vertical="bottom" textRotation="0" wrapText="false" indent="0" shrinkToFit="false"/>
      <protection locked="true" hidden="false"/>
    </xf>
    <xf numFmtId="172" fontId="23" fillId="0" borderId="0" xfId="15" applyFont="true" applyBorder="true" applyAlignment="true" applyProtection="true">
      <alignment horizontal="general" vertical="bottom" textRotation="0" wrapText="false" indent="0" shrinkToFit="false"/>
      <protection locked="true" hidden="false"/>
    </xf>
    <xf numFmtId="166" fontId="23" fillId="0" borderId="0" xfId="15" applyFont="true" applyBorder="true" applyAlignment="true" applyProtection="true">
      <alignment horizontal="general" vertical="bottom" textRotation="0" wrapText="false" indent="0" shrinkToFit="false"/>
      <protection locked="true" hidden="false"/>
    </xf>
    <xf numFmtId="166" fontId="23"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true" applyProtection="true">
      <alignment horizontal="general" vertical="bottom" textRotation="0" wrapText="false" indent="0" shrinkToFit="false"/>
      <protection locked="true" hidden="false"/>
    </xf>
    <xf numFmtId="166" fontId="5" fillId="0" borderId="0" xfId="0" applyFont="true" applyBorder="false" applyAlignment="true" applyProtection="false">
      <alignment horizontal="general" vertical="bottom" textRotation="0" wrapText="false" indent="0" shrinkToFit="false"/>
      <protection locked="true" hidden="false"/>
    </xf>
    <xf numFmtId="166" fontId="8"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72" fontId="5" fillId="0" borderId="1" xfId="15" applyFont="true" applyBorder="true" applyAlignment="true" applyProtection="tru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75" fontId="23" fillId="0" borderId="0" xfId="0" applyFont="true" applyBorder="true" applyAlignment="true" applyProtection="false">
      <alignment horizontal="center" vertical="bottom" textRotation="0" wrapText="false" indent="0" shrinkToFit="false"/>
      <protection locked="true" hidden="false"/>
    </xf>
    <xf numFmtId="175" fontId="23" fillId="0" borderId="0" xfId="0" applyFont="true" applyBorder="tru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center" vertical="bottom" textRotation="0" wrapText="false" indent="0" shrinkToFit="false"/>
      <protection locked="true" hidden="false"/>
    </xf>
    <xf numFmtId="166" fontId="23" fillId="0" borderId="0" xfId="0" applyFont="true" applyBorder="true" applyAlignment="true" applyProtection="false">
      <alignment horizontal="left" vertical="bottom" textRotation="0" wrapText="false" indent="0" shrinkToFit="false"/>
      <protection locked="true" hidden="false"/>
    </xf>
    <xf numFmtId="166" fontId="23" fillId="0" borderId="0" xfId="0" applyFont="true" applyBorder="true" applyAlignment="false" applyProtection="false">
      <alignment horizontal="general" vertical="bottom" textRotation="0" wrapText="false" indent="0" shrinkToFit="false"/>
      <protection locked="true" hidden="false"/>
    </xf>
    <xf numFmtId="165" fontId="8" fillId="0" borderId="0" xfId="0" applyFont="true" applyBorder="true" applyAlignment="true" applyProtection="false">
      <alignment horizontal="general" vertical="bottom" textRotation="0" wrapText="false" indent="0" shrinkToFit="false"/>
      <protection locked="true" hidden="false"/>
    </xf>
    <xf numFmtId="172" fontId="8" fillId="0" borderId="4" xfId="15" applyFont="true" applyBorder="true" applyAlignment="true" applyProtection="true">
      <alignment horizontal="general" vertical="bottom" textRotation="0" wrapText="false" indent="0" shrinkToFit="false"/>
      <protection locked="true" hidden="false"/>
    </xf>
    <xf numFmtId="172" fontId="8" fillId="0" borderId="0" xfId="15" applyFont="true" applyBorder="true" applyAlignment="true" applyProtection="true">
      <alignment horizontal="general" vertical="bottom" textRotation="0" wrapText="false" indent="0" shrinkToFit="false"/>
      <protection locked="true" hidden="false"/>
    </xf>
    <xf numFmtId="166" fontId="11" fillId="0" borderId="0" xfId="0" applyFont="true" applyBorder="true" applyAlignment="true" applyProtection="false">
      <alignment horizontal="general" vertical="bottom" textRotation="0" wrapText="false" indent="0" shrinkToFit="false"/>
      <protection locked="true" hidden="false"/>
    </xf>
    <xf numFmtId="175" fontId="8" fillId="0" borderId="0" xfId="0" applyFont="true" applyBorder="true" applyAlignment="false" applyProtection="false">
      <alignment horizontal="general" vertical="bottom" textRotation="0" wrapText="false" indent="0" shrinkToFit="false"/>
      <protection locked="true" hidden="false"/>
    </xf>
    <xf numFmtId="175" fontId="22" fillId="0" borderId="0" xfId="0" applyFont="true" applyBorder="true" applyAlignment="true" applyProtection="false">
      <alignment horizontal="center" vertical="bottom" textRotation="0" wrapText="false" indent="0" shrinkToFit="false"/>
      <protection locked="true" hidden="false"/>
    </xf>
    <xf numFmtId="175" fontId="22" fillId="0" borderId="0" xfId="0" applyFont="true" applyBorder="true" applyAlignment="false" applyProtection="false">
      <alignment horizontal="general" vertical="bottom" textRotation="0" wrapText="false" indent="0" shrinkToFit="false"/>
      <protection locked="true" hidden="false"/>
    </xf>
    <xf numFmtId="166" fontId="22" fillId="0" borderId="0" xfId="0" applyFont="true" applyBorder="true" applyAlignment="false" applyProtection="false">
      <alignment horizontal="general" vertical="bottom" textRotation="0" wrapText="false" indent="0" shrinkToFit="false"/>
      <protection locked="true" hidden="false"/>
    </xf>
    <xf numFmtId="165" fontId="22" fillId="0" borderId="0" xfId="0" applyFont="true" applyBorder="true" applyAlignment="true" applyProtection="false">
      <alignment horizontal="center" vertical="bottom" textRotation="0" wrapText="false" indent="0" shrinkToFit="false"/>
      <protection locked="true" hidden="false"/>
    </xf>
    <xf numFmtId="166" fontId="22" fillId="0" borderId="0" xfId="0" applyFont="true" applyBorder="true" applyAlignment="true" applyProtection="false">
      <alignment horizontal="left" vertical="bottom" textRotation="0" wrapText="false" indent="0" shrinkToFit="false"/>
      <protection locked="true" hidden="false"/>
    </xf>
    <xf numFmtId="172" fontId="22" fillId="0" borderId="6" xfId="15" applyFont="true" applyBorder="true" applyAlignment="true" applyProtection="true">
      <alignment horizontal="general" vertical="bottom" textRotation="0" wrapText="false" indent="0" shrinkToFit="false"/>
      <protection locked="true" hidden="false"/>
    </xf>
    <xf numFmtId="172" fontId="22" fillId="0" borderId="0" xfId="15" applyFont="true" applyBorder="true" applyAlignment="true" applyProtection="true">
      <alignment horizontal="general" vertical="bottom" textRotation="0" wrapText="false" indent="0" shrinkToFit="false"/>
      <protection locked="true" hidden="false"/>
    </xf>
    <xf numFmtId="166" fontId="22" fillId="0" borderId="0" xfId="15" applyFont="true" applyBorder="true" applyAlignment="true" applyProtection="true">
      <alignment horizontal="general" vertical="bottom" textRotation="0" wrapText="false" indent="0" shrinkToFit="false"/>
      <protection locked="true" hidden="false"/>
    </xf>
    <xf numFmtId="175" fontId="8" fillId="0" borderId="0" xfId="0" applyFont="true" applyBorder="false" applyAlignment="true" applyProtection="false">
      <alignment horizontal="center" vertical="bottom" textRotation="0" wrapText="false" indent="0" shrinkToFit="false"/>
      <protection locked="true" hidden="false"/>
    </xf>
    <xf numFmtId="175" fontId="8" fillId="0" borderId="0" xfId="0" applyFont="true" applyBorder="false" applyAlignment="false" applyProtection="false">
      <alignment horizontal="general" vertical="bottom" textRotation="0" wrapText="false" indent="0" shrinkToFit="false"/>
      <protection locked="true" hidden="false"/>
    </xf>
    <xf numFmtId="175" fontId="12" fillId="0" borderId="0" xfId="0" applyFont="true" applyBorder="false" applyAlignment="true" applyProtection="false">
      <alignment horizontal="left" vertical="bottom" textRotation="0" wrapText="false" indent="0" shrinkToFit="false"/>
      <protection locked="true" hidden="false"/>
    </xf>
    <xf numFmtId="166" fontId="8" fillId="0" borderId="7" xfId="0" applyFont="true" applyBorder="true" applyAlignment="false" applyProtection="false">
      <alignment horizontal="general" vertical="bottom" textRotation="0" wrapText="false" indent="0" shrinkToFit="false"/>
      <protection locked="true" hidden="false"/>
    </xf>
    <xf numFmtId="166" fontId="5" fillId="0" borderId="8" xfId="0" applyFont="true" applyBorder="true" applyAlignment="false" applyProtection="false">
      <alignment horizontal="general" vertical="bottom" textRotation="0" wrapText="false" indent="0" shrinkToFit="false"/>
      <protection locked="true" hidden="false"/>
    </xf>
    <xf numFmtId="166" fontId="8" fillId="0" borderId="9" xfId="0" applyFont="true" applyBorder="true" applyAlignment="false" applyProtection="false">
      <alignment horizontal="general" vertical="bottom" textRotation="0" wrapText="false" indent="0" shrinkToFit="false"/>
      <protection locked="true" hidden="false"/>
    </xf>
    <xf numFmtId="166" fontId="24" fillId="0" borderId="0" xfId="0" applyFont="true" applyBorder="false" applyAlignment="false" applyProtection="false">
      <alignment horizontal="general" vertical="bottom" textRotation="0" wrapText="false" indent="0" shrinkToFit="false"/>
      <protection locked="true" hidden="false"/>
    </xf>
    <xf numFmtId="175" fontId="6" fillId="0" borderId="0" xfId="0" applyFont="true" applyBorder="false" applyAlignment="true" applyProtection="false">
      <alignment horizontal="general" vertical="bottom" textRotation="0" wrapText="false" indent="0" shrinkToFit="false"/>
      <protection locked="true" hidden="false"/>
    </xf>
    <xf numFmtId="166" fontId="25" fillId="0" borderId="10" xfId="0" applyFont="true" applyBorder="true" applyAlignment="false" applyProtection="false">
      <alignment horizontal="general" vertical="bottom" textRotation="0" wrapText="false" indent="0" shrinkToFit="false"/>
      <protection locked="true" hidden="false"/>
    </xf>
    <xf numFmtId="166" fontId="25" fillId="0" borderId="4" xfId="0" applyFont="true" applyBorder="true" applyAlignment="false" applyProtection="false">
      <alignment horizontal="general" vertical="bottom" textRotation="0" wrapText="false" indent="0" shrinkToFit="false"/>
      <protection locked="true" hidden="false"/>
    </xf>
    <xf numFmtId="165" fontId="25" fillId="0" borderId="4" xfId="0" applyFont="true" applyBorder="true" applyAlignment="true" applyProtection="false">
      <alignment horizontal="center" vertical="bottom" textRotation="0" wrapText="false" indent="0" shrinkToFit="false"/>
      <protection locked="true" hidden="false"/>
    </xf>
    <xf numFmtId="166" fontId="25" fillId="0" borderId="4" xfId="0" applyFont="true" applyBorder="true" applyAlignment="true" applyProtection="false">
      <alignment horizontal="left" vertical="bottom" textRotation="0" wrapText="false" indent="0" shrinkToFit="false"/>
      <protection locked="true" hidden="false"/>
    </xf>
    <xf numFmtId="166" fontId="11" fillId="0" borderId="4" xfId="0" applyFont="true" applyBorder="true" applyAlignment="false" applyProtection="false">
      <alignment horizontal="general" vertical="bottom" textRotation="0" wrapText="false" indent="0" shrinkToFit="false"/>
      <protection locked="true" hidden="false"/>
    </xf>
    <xf numFmtId="166" fontId="11" fillId="0" borderId="11" xfId="0" applyFont="true" applyBorder="true" applyAlignment="false" applyProtection="false">
      <alignment horizontal="general" vertical="bottom" textRotation="0" wrapText="false" indent="0" shrinkToFit="false"/>
      <protection locked="true" hidden="false"/>
    </xf>
    <xf numFmtId="166" fontId="25" fillId="0" borderId="12" xfId="0" applyFont="true" applyBorder="true" applyAlignment="false" applyProtection="false">
      <alignment horizontal="general" vertical="bottom" textRotation="0" wrapText="false" indent="0" shrinkToFit="false"/>
      <protection locked="true" hidden="false"/>
    </xf>
    <xf numFmtId="166" fontId="25" fillId="0" borderId="3" xfId="0" applyFont="true" applyBorder="true" applyAlignment="false" applyProtection="false">
      <alignment horizontal="general" vertical="bottom" textRotation="0" wrapText="false" indent="0" shrinkToFit="false"/>
      <protection locked="true" hidden="false"/>
    </xf>
    <xf numFmtId="165" fontId="25" fillId="0" borderId="3" xfId="0" applyFont="true" applyBorder="true" applyAlignment="true" applyProtection="false">
      <alignment horizontal="center" vertical="bottom" textRotation="0" wrapText="false" indent="0" shrinkToFit="false"/>
      <protection locked="true" hidden="false"/>
    </xf>
    <xf numFmtId="166" fontId="25" fillId="0" borderId="3" xfId="0" applyFont="true" applyBorder="true" applyAlignment="true" applyProtection="false">
      <alignment horizontal="left" vertical="bottom" textRotation="0" wrapText="false" indent="0" shrinkToFit="false"/>
      <protection locked="true" hidden="false"/>
    </xf>
    <xf numFmtId="166" fontId="11" fillId="0" borderId="3" xfId="0" applyFont="true" applyBorder="true" applyAlignment="false" applyProtection="false">
      <alignment horizontal="general" vertical="bottom" textRotation="0" wrapText="false" indent="0" shrinkToFit="false"/>
      <protection locked="true" hidden="false"/>
    </xf>
    <xf numFmtId="166" fontId="11" fillId="0" borderId="13" xfId="0" applyFont="true" applyBorder="true" applyAlignment="false" applyProtection="false">
      <alignment horizontal="general" vertical="bottom" textRotation="0" wrapText="false" indent="0" shrinkToFit="false"/>
      <protection locked="true" hidden="false"/>
    </xf>
    <xf numFmtId="166" fontId="25" fillId="0" borderId="0" xfId="0" applyFont="true" applyBorder="true" applyAlignment="false" applyProtection="false">
      <alignment horizontal="general" vertical="bottom" textRotation="0" wrapText="false" indent="0" shrinkToFit="false"/>
      <protection locked="true" hidden="false"/>
    </xf>
    <xf numFmtId="165" fontId="25" fillId="0" borderId="0" xfId="0" applyFont="true" applyBorder="true" applyAlignment="true" applyProtection="false">
      <alignment horizontal="center" vertical="bottom" textRotation="0" wrapText="false" indent="0" shrinkToFit="false"/>
      <protection locked="true" hidden="false"/>
    </xf>
    <xf numFmtId="166" fontId="25" fillId="0" borderId="0" xfId="0" applyFont="true" applyBorder="true" applyAlignment="true" applyProtection="false">
      <alignment horizontal="left" vertical="bottom" textRotation="0" wrapText="false" indent="0" shrinkToFit="false"/>
      <protection locked="true" hidden="false"/>
    </xf>
    <xf numFmtId="166" fontId="5" fillId="0" borderId="5"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5" fontId="20"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5" fontId="27" fillId="0"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true" applyProtection="false">
      <alignment horizontal="center"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76" fontId="33" fillId="0" borderId="0" xfId="0" applyFont="true" applyBorder="false" applyAlignment="false" applyProtection="true">
      <alignment horizontal="general" vertical="bottom" textRotation="0" wrapText="false" indent="0" shrinkToFit="false"/>
      <protection locked="true" hidden="false"/>
    </xf>
    <xf numFmtId="177" fontId="33" fillId="0" borderId="0" xfId="0" applyFont="true" applyBorder="false" applyAlignment="false" applyProtection="true">
      <alignment horizontal="general" vertical="bottom" textRotation="0" wrapText="false" indent="0" shrinkToFit="false"/>
      <protection locked="true" hidden="false"/>
    </xf>
    <xf numFmtId="165" fontId="20" fillId="0" borderId="0" xfId="0" applyFont="true" applyBorder="fals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75" fontId="20" fillId="0" borderId="0" xfId="0" applyFont="true" applyBorder="false" applyAlignment="true" applyProtection="false">
      <alignment horizontal="center" vertical="bottom" textRotation="0" wrapText="false" indent="0" shrinkToFit="false"/>
      <protection locked="true" hidden="false"/>
    </xf>
    <xf numFmtId="165" fontId="20" fillId="0" borderId="0" xfId="0" applyFont="true" applyBorder="false" applyAlignment="true" applyProtection="false">
      <alignment horizontal="center" vertical="bottom" textRotation="0" wrapText="false" indent="0" shrinkToFit="false"/>
      <protection locked="true" hidden="false"/>
    </xf>
    <xf numFmtId="164" fontId="20" fillId="0" borderId="3" xfId="0" applyFont="true" applyBorder="true" applyAlignment="true" applyProtection="false">
      <alignment horizontal="center" vertical="bottom" textRotation="0" wrapText="false" indent="0" shrinkToFit="false"/>
      <protection locked="true" hidden="false"/>
    </xf>
    <xf numFmtId="175" fontId="20" fillId="0" borderId="3" xfId="0" applyFont="true" applyBorder="true" applyAlignment="true" applyProtection="false">
      <alignment horizontal="center" vertical="bottom" textRotation="0" wrapText="false" indent="0" shrinkToFit="false"/>
      <protection locked="true" hidden="false"/>
    </xf>
    <xf numFmtId="165" fontId="20" fillId="0" borderId="3" xfId="0" applyFont="true" applyBorder="true" applyAlignment="true" applyProtection="false">
      <alignment horizontal="center" vertical="bottom" textRotation="0" wrapText="false" indent="0" shrinkToFit="false"/>
      <protection locked="true" hidden="false"/>
    </xf>
    <xf numFmtId="166" fontId="20" fillId="0" borderId="0" xfId="0" applyFont="true" applyBorder="false" applyAlignment="false" applyProtection="false">
      <alignment horizontal="general" vertical="bottom" textRotation="0" wrapText="false" indent="0" shrinkToFit="false"/>
      <protection locked="true" hidden="false"/>
    </xf>
    <xf numFmtId="173" fontId="20" fillId="0" borderId="0" xfId="0" applyFont="true" applyBorder="false" applyAlignment="false" applyProtection="true">
      <alignment horizontal="general" vertical="bottom" textRotation="0" wrapText="false" indent="0" shrinkToFit="false"/>
      <protection locked="false" hidden="false"/>
    </xf>
    <xf numFmtId="173" fontId="36" fillId="0" borderId="0" xfId="0" applyFont="true" applyBorder="false" applyAlignment="false" applyProtection="true">
      <alignment horizontal="general" vertical="bottom" textRotation="0" wrapText="false" indent="0" shrinkToFit="false"/>
      <protection locked="false" hidden="false"/>
    </xf>
    <xf numFmtId="164" fontId="20" fillId="0" borderId="0" xfId="0" applyFont="true" applyBorder="false" applyAlignment="false" applyProtection="true">
      <alignment horizontal="general" vertical="bottom" textRotation="0" wrapText="false" indent="0" shrinkToFit="false"/>
      <protection locked="false" hidden="false"/>
    </xf>
    <xf numFmtId="173" fontId="20" fillId="0" borderId="0" xfId="0" applyFont="true" applyBorder="false" applyAlignment="false" applyProtection="true">
      <alignment horizontal="general" vertical="bottom" textRotation="0" wrapText="false" indent="0" shrinkToFit="false"/>
      <protection locked="true" hidden="false"/>
    </xf>
    <xf numFmtId="166" fontId="20" fillId="0" borderId="0" xfId="0" applyFont="true" applyBorder="false" applyAlignment="false" applyProtection="true">
      <alignment horizontal="general" vertical="bottom" textRotation="0" wrapText="false" indent="0" shrinkToFit="false"/>
      <protection locked="true" hidden="false"/>
    </xf>
    <xf numFmtId="166" fontId="36" fillId="0" borderId="0" xfId="0" applyFont="true" applyBorder="false" applyAlignment="false" applyProtection="tru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false" indent="0" shrinkToFit="false"/>
      <protection locked="true" hidden="false"/>
    </xf>
    <xf numFmtId="166" fontId="20" fillId="0" borderId="5" xfId="0" applyFont="true" applyBorder="true" applyAlignment="false" applyProtection="false">
      <alignment horizontal="general" vertical="bottom" textRotation="0" wrapText="fals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3E3E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X2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4.85"/>
    <col collapsed="false" customWidth="true" hidden="false" outlineLevel="0" max="2" min="2" style="2" width="36.99"/>
    <col collapsed="false" customWidth="true" hidden="false" outlineLevel="0" max="3" min="3" style="2" width="18.56"/>
    <col collapsed="false" customWidth="true" hidden="false" outlineLevel="0" max="4" min="4" style="3" width="8.14"/>
    <col collapsed="false" customWidth="true" hidden="false" outlineLevel="0" max="5" min="5" style="2" width="10.28"/>
    <col collapsed="false" customWidth="true" hidden="false" outlineLevel="0" max="6" min="6" style="2" width="8.7"/>
    <col collapsed="false" customWidth="true" hidden="false" outlineLevel="0" max="7" min="7" style="2" width="9.28"/>
    <col collapsed="false" customWidth="true" hidden="false" outlineLevel="0" max="8" min="8" style="2" width="10.28"/>
    <col collapsed="false" customWidth="true" hidden="false" outlineLevel="0" max="9" min="9" style="2" width="9.7"/>
    <col collapsed="false" customWidth="true" hidden="false" outlineLevel="0" max="10" min="10" style="2" width="9.56"/>
    <col collapsed="false" customWidth="true" hidden="false" outlineLevel="0" max="11" min="11" style="4" width="9.28"/>
    <col collapsed="false" customWidth="true" hidden="false" outlineLevel="0" max="12" min="12" style="5" width="1.85"/>
    <col collapsed="false" customWidth="true" hidden="false" outlineLevel="0" max="13" min="13" style="6" width="31.28"/>
    <col collapsed="false" customWidth="true" hidden="false" outlineLevel="0" max="17" min="14" style="7" width="7.7"/>
    <col collapsed="false" customWidth="true" hidden="false" outlineLevel="0" max="18" min="18" style="8" width="7.7"/>
    <col collapsed="false" customWidth="true" hidden="false" outlineLevel="0" max="21" min="19" style="7" width="7.7"/>
    <col collapsed="false" customWidth="true" hidden="false" outlineLevel="0" max="23" min="22" style="7" width="8.28"/>
    <col collapsed="false" customWidth="true" hidden="false" outlineLevel="0" max="24" min="24" style="7" width="7.7"/>
    <col collapsed="false" customWidth="true" hidden="false" outlineLevel="0" max="25" min="25" style="7" width="8.41"/>
    <col collapsed="false" customWidth="true" hidden="false" outlineLevel="0" max="26" min="26" style="7" width="7.7"/>
    <col collapsed="false" customWidth="true" hidden="false" outlineLevel="0" max="27" min="27" style="7" width="8.28"/>
    <col collapsed="false" customWidth="true" hidden="false" outlineLevel="0" max="31" min="28" style="7" width="7.7"/>
    <col collapsed="false" customWidth="true" hidden="false" outlineLevel="0" max="32" min="32" style="7" width="9.7"/>
    <col collapsed="false" customWidth="true" hidden="false" outlineLevel="0" max="38" min="33" style="7" width="7.7"/>
    <col collapsed="false" customWidth="true" hidden="false" outlineLevel="0" max="42" min="39" style="7" width="8.41"/>
    <col collapsed="false" customWidth="true" hidden="false" outlineLevel="0" max="46" min="43" style="7" width="9.28"/>
    <col collapsed="false" customWidth="true" hidden="false" outlineLevel="0" max="47" min="47" style="7" width="1.7"/>
    <col collapsed="false" customWidth="true" hidden="false" outlineLevel="0" max="51" min="48" style="7" width="7.7"/>
    <col collapsed="false" customWidth="true" hidden="false" outlineLevel="0" max="52" min="52" style="7" width="8.28"/>
    <col collapsed="false" customWidth="true" hidden="false" outlineLevel="0" max="53" min="53" style="0" width="14.14"/>
  </cols>
  <sheetData>
    <row r="1" customFormat="false" ht="12.75" hidden="false" customHeight="false" outlineLevel="0" collapsed="false">
      <c r="B1" s="9" t="s">
        <v>0</v>
      </c>
      <c r="J1" s="4"/>
    </row>
    <row r="2" customFormat="false" ht="12.75" hidden="false" customHeight="false" outlineLevel="0" collapsed="false">
      <c r="B2" s="9" t="s">
        <v>1</v>
      </c>
      <c r="J2" s="4"/>
    </row>
    <row r="3" customFormat="false" ht="12.75" hidden="false" customHeight="false" outlineLevel="0" collapsed="false">
      <c r="B3" s="9" t="s">
        <v>2</v>
      </c>
    </row>
    <row r="4" customFormat="false" ht="12.75" hidden="false" customHeight="false" outlineLevel="0" collapsed="false">
      <c r="B4" s="4" t="s">
        <v>3</v>
      </c>
    </row>
    <row r="5" customFormat="false" ht="15" hidden="false" customHeight="false" outlineLevel="0" collapsed="false">
      <c r="A5" s="10" t="s">
        <v>4</v>
      </c>
      <c r="C5" s="11"/>
      <c r="D5" s="12"/>
      <c r="K5" s="13"/>
      <c r="R5" s="14"/>
      <c r="Z5" s="15"/>
    </row>
    <row r="6" customFormat="false" ht="15" hidden="false" customHeight="false" outlineLevel="0" collapsed="false">
      <c r="A6" s="10"/>
      <c r="C6" s="11"/>
      <c r="D6" s="12"/>
      <c r="K6" s="13"/>
      <c r="N6" s="16" t="s">
        <v>5</v>
      </c>
      <c r="O6" s="16" t="s">
        <v>6</v>
      </c>
      <c r="P6" s="16" t="s">
        <v>7</v>
      </c>
      <c r="Q6" s="16" t="s">
        <v>8</v>
      </c>
      <c r="R6" s="16" t="s">
        <v>9</v>
      </c>
      <c r="S6" s="16" t="s">
        <v>10</v>
      </c>
      <c r="T6" s="16" t="s">
        <v>11</v>
      </c>
      <c r="U6" s="16" t="s">
        <v>12</v>
      </c>
      <c r="V6" s="16" t="s">
        <v>13</v>
      </c>
      <c r="W6" s="16" t="s">
        <v>14</v>
      </c>
      <c r="X6" s="16" t="s">
        <v>15</v>
      </c>
      <c r="Y6" s="16" t="s">
        <v>16</v>
      </c>
      <c r="Z6" s="16" t="s">
        <v>17</v>
      </c>
      <c r="AA6" s="16" t="s">
        <v>18</v>
      </c>
      <c r="AB6" s="16" t="s">
        <v>19</v>
      </c>
      <c r="AC6" s="16" t="s">
        <v>20</v>
      </c>
      <c r="AD6" s="16" t="s">
        <v>21</v>
      </c>
      <c r="AE6" s="16" t="s">
        <v>22</v>
      </c>
      <c r="AF6" s="16" t="s">
        <v>23</v>
      </c>
      <c r="AG6" s="16" t="s">
        <v>24</v>
      </c>
      <c r="AH6" s="16" t="s">
        <v>25</v>
      </c>
      <c r="AI6" s="16" t="s">
        <v>26</v>
      </c>
      <c r="AJ6" s="16" t="s">
        <v>27</v>
      </c>
      <c r="AK6" s="16" t="s">
        <v>28</v>
      </c>
      <c r="AL6" s="16" t="s">
        <v>29</v>
      </c>
      <c r="AM6" s="16" t="s">
        <v>30</v>
      </c>
      <c r="AN6" s="16" t="s">
        <v>31</v>
      </c>
      <c r="AO6" s="16" t="s">
        <v>32</v>
      </c>
      <c r="AP6" s="16"/>
      <c r="AQ6" s="16" t="s">
        <v>33</v>
      </c>
      <c r="AR6" s="16" t="s">
        <v>34</v>
      </c>
      <c r="AS6" s="16"/>
      <c r="AT6" s="16" t="s">
        <v>35</v>
      </c>
      <c r="AU6" s="17"/>
      <c r="AV6" s="17"/>
      <c r="AW6" s="16" t="s">
        <v>36</v>
      </c>
      <c r="AX6" s="16" t="s">
        <v>36</v>
      </c>
      <c r="AY6" s="17"/>
      <c r="AZ6" s="17"/>
      <c r="BA6" s="18"/>
      <c r="BB6" s="18"/>
      <c r="BC6" s="18"/>
      <c r="BD6" s="18"/>
      <c r="BE6" s="18"/>
      <c r="BF6" s="18"/>
      <c r="BG6" s="18"/>
      <c r="BH6" s="18"/>
      <c r="BI6" s="18"/>
      <c r="BJ6" s="18"/>
      <c r="BK6" s="18"/>
    </row>
    <row r="7" customFormat="false" ht="12.75" hidden="false" customHeight="false" outlineLevel="0" collapsed="false">
      <c r="E7" s="19" t="s">
        <v>37</v>
      </c>
      <c r="F7" s="19"/>
      <c r="G7" s="19"/>
      <c r="H7" s="19"/>
      <c r="I7" s="19"/>
      <c r="J7" s="19"/>
      <c r="K7" s="19" t="s">
        <v>38</v>
      </c>
      <c r="M7" s="20"/>
      <c r="N7" s="21" t="s">
        <v>39</v>
      </c>
      <c r="O7" s="21" t="s">
        <v>39</v>
      </c>
      <c r="P7" s="21" t="n">
        <v>102276</v>
      </c>
      <c r="Q7" s="21" t="n">
        <v>102343</v>
      </c>
      <c r="R7" s="21" t="s">
        <v>39</v>
      </c>
      <c r="S7" s="21" t="n">
        <v>100256</v>
      </c>
      <c r="T7" s="21" t="s">
        <v>39</v>
      </c>
      <c r="U7" s="21" t="s">
        <v>39</v>
      </c>
      <c r="V7" s="21" t="n">
        <v>111723</v>
      </c>
      <c r="W7" s="21" t="s">
        <v>39</v>
      </c>
      <c r="X7" s="21" t="n">
        <v>105717</v>
      </c>
      <c r="Y7" s="21" t="n">
        <v>106041</v>
      </c>
      <c r="Z7" s="21" t="n">
        <v>111824</v>
      </c>
      <c r="AA7" s="21" t="n">
        <v>120459</v>
      </c>
      <c r="AB7" s="21" t="n">
        <v>100672</v>
      </c>
      <c r="AC7" s="21" t="n">
        <v>106196</v>
      </c>
      <c r="AD7" s="21" t="n">
        <v>105285</v>
      </c>
      <c r="AE7" s="21" t="n">
        <v>104151</v>
      </c>
      <c r="AF7" s="21" t="n">
        <v>107629</v>
      </c>
      <c r="AG7" s="21" t="n">
        <v>100290</v>
      </c>
      <c r="AH7" s="21" t="n">
        <v>102055</v>
      </c>
      <c r="AI7" s="21" t="n">
        <v>102564</v>
      </c>
      <c r="AJ7" s="21" t="n">
        <v>102247</v>
      </c>
      <c r="AK7" s="21" t="n">
        <v>102352</v>
      </c>
      <c r="AL7" s="21" t="n">
        <v>102183</v>
      </c>
      <c r="AM7" s="21" t="n">
        <v>103353</v>
      </c>
      <c r="AN7" s="21"/>
      <c r="AO7" s="21" t="n">
        <v>120459</v>
      </c>
      <c r="AP7" s="21"/>
      <c r="AQ7" s="21"/>
      <c r="AR7" s="21" t="n">
        <v>100184</v>
      </c>
      <c r="AS7" s="21"/>
      <c r="AT7" s="21" t="n">
        <v>100003</v>
      </c>
      <c r="AU7" s="21"/>
      <c r="AV7" s="21"/>
      <c r="AW7" s="21"/>
      <c r="AX7" s="21"/>
      <c r="AY7" s="13"/>
    </row>
    <row r="8" customFormat="false" ht="28.5" hidden="false" customHeight="true" outlineLevel="0" collapsed="false">
      <c r="A8" s="22" t="s">
        <v>40</v>
      </c>
      <c r="B8" s="23" t="s">
        <v>41</v>
      </c>
      <c r="C8" s="23" t="s">
        <v>42</v>
      </c>
      <c r="D8" s="24" t="s">
        <v>43</v>
      </c>
      <c r="E8" s="25" t="s">
        <v>44</v>
      </c>
      <c r="F8" s="23" t="s">
        <v>45</v>
      </c>
      <c r="G8" s="23" t="s">
        <v>46</v>
      </c>
      <c r="H8" s="25" t="s">
        <v>47</v>
      </c>
      <c r="I8" s="25" t="s">
        <v>48</v>
      </c>
      <c r="J8" s="23" t="s">
        <v>49</v>
      </c>
      <c r="K8" s="26" t="s">
        <v>50</v>
      </c>
      <c r="L8" s="27"/>
      <c r="M8" s="23" t="s">
        <v>51</v>
      </c>
      <c r="N8" s="28" t="s">
        <v>52</v>
      </c>
      <c r="O8" s="28" t="s">
        <v>53</v>
      </c>
      <c r="P8" s="28" t="s">
        <v>54</v>
      </c>
      <c r="Q8" s="28" t="s">
        <v>55</v>
      </c>
      <c r="R8" s="28" t="s">
        <v>56</v>
      </c>
      <c r="S8" s="28" t="s">
        <v>57</v>
      </c>
      <c r="T8" s="28" t="s">
        <v>58</v>
      </c>
      <c r="U8" s="28" t="s">
        <v>59</v>
      </c>
      <c r="V8" s="28" t="s">
        <v>60</v>
      </c>
      <c r="W8" s="28" t="s">
        <v>61</v>
      </c>
      <c r="X8" s="28" t="s">
        <v>62</v>
      </c>
      <c r="Y8" s="28" t="s">
        <v>63</v>
      </c>
      <c r="Z8" s="28" t="s">
        <v>64</v>
      </c>
      <c r="AA8" s="28" t="s">
        <v>65</v>
      </c>
      <c r="AB8" s="28" t="s">
        <v>66</v>
      </c>
      <c r="AC8" s="28" t="s">
        <v>67</v>
      </c>
      <c r="AD8" s="28" t="s">
        <v>68</v>
      </c>
      <c r="AE8" s="28" t="s">
        <v>69</v>
      </c>
      <c r="AF8" s="28" t="s">
        <v>70</v>
      </c>
      <c r="AG8" s="28" t="s">
        <v>71</v>
      </c>
      <c r="AH8" s="28" t="s">
        <v>72</v>
      </c>
      <c r="AI8" s="28" t="s">
        <v>73</v>
      </c>
      <c r="AJ8" s="28" t="s">
        <v>74</v>
      </c>
      <c r="AK8" s="28" t="s">
        <v>75</v>
      </c>
      <c r="AL8" s="28" t="s">
        <v>76</v>
      </c>
      <c r="AM8" s="28" t="s">
        <v>77</v>
      </c>
      <c r="AN8" s="28" t="s">
        <v>78</v>
      </c>
      <c r="AO8" s="28" t="s">
        <v>79</v>
      </c>
      <c r="AP8" s="28" t="s">
        <v>80</v>
      </c>
      <c r="AQ8" s="28" t="s">
        <v>81</v>
      </c>
      <c r="AR8" s="28" t="s">
        <v>82</v>
      </c>
      <c r="AS8" s="28" t="s">
        <v>83</v>
      </c>
      <c r="AT8" s="28" t="s">
        <v>84</v>
      </c>
      <c r="AU8" s="28"/>
      <c r="AV8" s="29" t="s">
        <v>85</v>
      </c>
      <c r="AW8" s="28" t="s">
        <v>86</v>
      </c>
      <c r="AX8" s="28" t="s">
        <v>87</v>
      </c>
      <c r="AY8" s="29" t="s">
        <v>88</v>
      </c>
      <c r="AZ8" s="29" t="s">
        <v>89</v>
      </c>
      <c r="DX8" s="30"/>
    </row>
    <row r="9" customFormat="false" ht="12.75" hidden="false" customHeight="false" outlineLevel="0" collapsed="false">
      <c r="A9" s="31"/>
      <c r="B9" s="32"/>
      <c r="C9" s="32"/>
      <c r="D9" s="33"/>
      <c r="E9" s="32"/>
      <c r="F9" s="32"/>
      <c r="G9" s="32"/>
      <c r="H9" s="32"/>
      <c r="I9" s="32"/>
      <c r="J9" s="32"/>
      <c r="K9" s="32"/>
      <c r="L9" s="34"/>
      <c r="M9" s="32"/>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6"/>
      <c r="AZ9" s="36"/>
    </row>
    <row r="10" customFormat="false" ht="12.75" hidden="false" customHeight="false" outlineLevel="0" collapsed="false">
      <c r="A10" s="37" t="n">
        <v>1</v>
      </c>
      <c r="B10" s="38" t="s">
        <v>90</v>
      </c>
      <c r="C10" s="39" t="s">
        <v>91</v>
      </c>
      <c r="D10" s="40" t="n">
        <v>100001</v>
      </c>
      <c r="E10" s="41" t="n">
        <f aca="false">1269+123+189</f>
        <v>1581</v>
      </c>
      <c r="F10" s="42" t="n">
        <v>148</v>
      </c>
      <c r="G10" s="42" t="n">
        <v>12</v>
      </c>
      <c r="H10" s="42" t="n">
        <v>148</v>
      </c>
      <c r="I10" s="42" t="n">
        <f aca="false">70+150</f>
        <v>220</v>
      </c>
      <c r="J10" s="42" t="n">
        <v>-195</v>
      </c>
      <c r="K10" s="42" t="n">
        <f aca="false">SUM(E10:J10)</f>
        <v>1914</v>
      </c>
      <c r="L10" s="43"/>
      <c r="M10" s="41" t="s">
        <v>92</v>
      </c>
      <c r="N10" s="42" t="n">
        <v>28</v>
      </c>
      <c r="O10" s="42" t="n">
        <v>54</v>
      </c>
      <c r="P10" s="42" t="n">
        <v>61</v>
      </c>
      <c r="Q10" s="42" t="n">
        <v>61</v>
      </c>
      <c r="R10" s="42" t="n">
        <v>6</v>
      </c>
      <c r="S10" s="42" t="n">
        <v>0</v>
      </c>
      <c r="T10" s="42" t="n">
        <v>32</v>
      </c>
      <c r="U10" s="42" t="n">
        <v>210</v>
      </c>
      <c r="V10" s="42" t="n">
        <v>48</v>
      </c>
      <c r="W10" s="42" t="n">
        <v>16</v>
      </c>
      <c r="X10" s="42" t="n">
        <v>316</v>
      </c>
      <c r="Y10" s="42" t="n">
        <v>3</v>
      </c>
      <c r="Z10" s="42" t="n">
        <v>33</v>
      </c>
      <c r="AA10" s="42" t="n">
        <v>7</v>
      </c>
      <c r="AB10" s="42" t="n">
        <v>13</v>
      </c>
      <c r="AC10" s="42" t="n">
        <v>13</v>
      </c>
      <c r="AD10" s="42" t="n">
        <v>270</v>
      </c>
      <c r="AE10" s="42" t="n">
        <v>219</v>
      </c>
      <c r="AF10" s="42" t="n">
        <v>8</v>
      </c>
      <c r="AG10" s="42" t="n">
        <v>0</v>
      </c>
      <c r="AH10" s="42" t="n">
        <v>19</v>
      </c>
      <c r="AI10" s="42" t="n">
        <v>23</v>
      </c>
      <c r="AJ10" s="42" t="n">
        <v>10</v>
      </c>
      <c r="AK10" s="42" t="n">
        <v>19</v>
      </c>
      <c r="AL10" s="42" t="n">
        <v>12</v>
      </c>
      <c r="AM10" s="42" t="n">
        <v>138</v>
      </c>
      <c r="AN10" s="42" t="n">
        <v>0</v>
      </c>
      <c r="AO10" s="42" t="n">
        <v>78</v>
      </c>
      <c r="AP10" s="42" t="n">
        <v>21</v>
      </c>
      <c r="AQ10" s="42" t="n">
        <v>0</v>
      </c>
      <c r="AR10" s="42" t="n">
        <v>0</v>
      </c>
      <c r="AS10" s="42" t="n">
        <v>0</v>
      </c>
      <c r="AT10" s="42" t="n">
        <v>0</v>
      </c>
      <c r="AU10" s="42"/>
      <c r="AV10" s="42" t="n">
        <f aca="false">SUM(N10:AU10)</f>
        <v>1718</v>
      </c>
      <c r="AW10" s="42" t="n">
        <v>196</v>
      </c>
      <c r="AX10" s="42" t="n">
        <v>0</v>
      </c>
      <c r="AY10" s="42" t="n">
        <f aca="false">+AV10+AW10+AX10</f>
        <v>1914</v>
      </c>
      <c r="AZ10" s="42" t="n">
        <f aca="false">+K10-AY10</f>
        <v>0</v>
      </c>
      <c r="BA10" s="44"/>
      <c r="BB10" s="44"/>
      <c r="BC10" s="44"/>
      <c r="BD10" s="44"/>
      <c r="BE10" s="44"/>
      <c r="BF10" s="44"/>
      <c r="BG10" s="44"/>
      <c r="BH10" s="44"/>
      <c r="BI10" s="44"/>
    </row>
    <row r="11" customFormat="false" ht="12.75" hidden="true" customHeight="false" outlineLevel="0" collapsed="false">
      <c r="A11" s="37" t="n">
        <v>1</v>
      </c>
      <c r="B11" s="39" t="s">
        <v>93</v>
      </c>
      <c r="C11" s="39" t="s">
        <v>94</v>
      </c>
      <c r="D11" s="40" t="n">
        <v>100003</v>
      </c>
      <c r="E11" s="41" t="n">
        <v>0</v>
      </c>
      <c r="F11" s="42" t="n">
        <v>0</v>
      </c>
      <c r="G11" s="42" t="n">
        <v>0</v>
      </c>
      <c r="H11" s="42" t="n">
        <v>0</v>
      </c>
      <c r="I11" s="42" t="n">
        <v>0</v>
      </c>
      <c r="J11" s="42" t="n">
        <v>0</v>
      </c>
      <c r="K11" s="42" t="n">
        <f aca="false">SUM(E11:J11)</f>
        <v>0</v>
      </c>
      <c r="L11" s="43"/>
      <c r="M11" s="41" t="s">
        <v>95</v>
      </c>
      <c r="N11" s="42" t="n">
        <v>0</v>
      </c>
      <c r="O11" s="42" t="n">
        <v>0</v>
      </c>
      <c r="P11" s="42" t="n">
        <v>0</v>
      </c>
      <c r="Q11" s="42"/>
      <c r="R11" s="42" t="n">
        <v>0</v>
      </c>
      <c r="S11" s="42" t="n">
        <v>0</v>
      </c>
      <c r="T11" s="42" t="n">
        <v>0</v>
      </c>
      <c r="U11" s="42" t="n">
        <v>0</v>
      </c>
      <c r="V11" s="42" t="n">
        <v>0</v>
      </c>
      <c r="W11" s="42" t="n">
        <v>0</v>
      </c>
      <c r="X11" s="42" t="n">
        <v>0</v>
      </c>
      <c r="Y11" s="42" t="n">
        <v>0</v>
      </c>
      <c r="Z11" s="42" t="n">
        <v>0</v>
      </c>
      <c r="AA11" s="42" t="n">
        <v>0</v>
      </c>
      <c r="AB11" s="42" t="n">
        <v>0</v>
      </c>
      <c r="AC11" s="42" t="n">
        <v>0</v>
      </c>
      <c r="AD11" s="42" t="n">
        <v>0</v>
      </c>
      <c r="AE11" s="42" t="n">
        <v>0</v>
      </c>
      <c r="AF11" s="42" t="n">
        <v>0</v>
      </c>
      <c r="AG11" s="42" t="n">
        <v>0</v>
      </c>
      <c r="AH11" s="42" t="n">
        <v>0</v>
      </c>
      <c r="AI11" s="42" t="n">
        <v>0</v>
      </c>
      <c r="AJ11" s="42" t="n">
        <v>0</v>
      </c>
      <c r="AK11" s="42" t="n">
        <v>0</v>
      </c>
      <c r="AL11" s="42" t="n">
        <v>0</v>
      </c>
      <c r="AM11" s="42" t="n">
        <v>0</v>
      </c>
      <c r="AN11" s="42" t="n">
        <v>0</v>
      </c>
      <c r="AO11" s="42" t="n">
        <v>0</v>
      </c>
      <c r="AP11" s="42" t="n">
        <v>0</v>
      </c>
      <c r="AQ11" s="42" t="n">
        <v>0</v>
      </c>
      <c r="AR11" s="42" t="n">
        <v>0</v>
      </c>
      <c r="AS11" s="42" t="n">
        <v>0</v>
      </c>
      <c r="AT11" s="42" t="n">
        <v>0</v>
      </c>
      <c r="AU11" s="42"/>
      <c r="AV11" s="42" t="n">
        <f aca="false">SUM(N11:AU11)</f>
        <v>0</v>
      </c>
      <c r="AW11" s="42" t="n">
        <v>0</v>
      </c>
      <c r="AX11" s="42" t="n">
        <v>0</v>
      </c>
      <c r="AY11" s="42" t="n">
        <f aca="false">+AV11+AW11+AX11</f>
        <v>0</v>
      </c>
      <c r="AZ11" s="42" t="n">
        <f aca="false">+K11-AY11</f>
        <v>0</v>
      </c>
      <c r="BA11" s="44"/>
      <c r="BB11" s="44"/>
      <c r="BC11" s="44"/>
      <c r="BD11" s="44"/>
      <c r="BE11" s="44"/>
      <c r="BF11" s="44"/>
      <c r="BG11" s="44"/>
      <c r="BH11" s="44"/>
      <c r="BI11" s="44"/>
    </row>
    <row r="12" customFormat="false" ht="12.75" hidden="false" customHeight="false" outlineLevel="0" collapsed="false">
      <c r="A12" s="37" t="n">
        <v>1</v>
      </c>
      <c r="B12" s="38" t="s">
        <v>96</v>
      </c>
      <c r="C12" s="39" t="s">
        <v>97</v>
      </c>
      <c r="D12" s="40" t="n">
        <v>100005</v>
      </c>
      <c r="E12" s="41" t="n">
        <v>0</v>
      </c>
      <c r="F12" s="42" t="n">
        <v>0</v>
      </c>
      <c r="G12" s="42" t="n">
        <v>0</v>
      </c>
      <c r="H12" s="42" t="n">
        <v>0</v>
      </c>
      <c r="I12" s="42" t="n">
        <v>0</v>
      </c>
      <c r="J12" s="42" t="n">
        <v>9091</v>
      </c>
      <c r="K12" s="42" t="n">
        <f aca="false">SUM(E12:J12)</f>
        <v>9091</v>
      </c>
      <c r="L12" s="43"/>
      <c r="M12" s="41" t="s">
        <v>98</v>
      </c>
      <c r="N12" s="42" t="n">
        <v>0</v>
      </c>
      <c r="O12" s="42" t="n">
        <v>0</v>
      </c>
      <c r="P12" s="42" t="n">
        <v>0</v>
      </c>
      <c r="Q12" s="42" t="n">
        <v>0</v>
      </c>
      <c r="R12" s="42" t="n">
        <v>0</v>
      </c>
      <c r="S12" s="42" t="n">
        <v>0</v>
      </c>
      <c r="T12" s="42" t="n">
        <v>0</v>
      </c>
      <c r="U12" s="42" t="n">
        <v>0</v>
      </c>
      <c r="V12" s="42" t="n">
        <v>0</v>
      </c>
      <c r="W12" s="42" t="n">
        <v>0</v>
      </c>
      <c r="X12" s="42" t="n">
        <v>0</v>
      </c>
      <c r="Y12" s="42" t="n">
        <v>0</v>
      </c>
      <c r="Z12" s="42" t="n">
        <v>0</v>
      </c>
      <c r="AA12" s="42" t="n">
        <v>0</v>
      </c>
      <c r="AB12" s="42" t="n">
        <v>0</v>
      </c>
      <c r="AC12" s="42" t="n">
        <v>0</v>
      </c>
      <c r="AD12" s="42" t="n">
        <v>0</v>
      </c>
      <c r="AE12" s="42" t="n">
        <v>0</v>
      </c>
      <c r="AF12" s="42" t="n">
        <v>0</v>
      </c>
      <c r="AG12" s="42" t="n">
        <v>0</v>
      </c>
      <c r="AH12" s="42" t="n">
        <v>0</v>
      </c>
      <c r="AI12" s="42" t="n">
        <v>0</v>
      </c>
      <c r="AJ12" s="42" t="n">
        <v>0</v>
      </c>
      <c r="AK12" s="42" t="n">
        <v>0</v>
      </c>
      <c r="AL12" s="42" t="n">
        <v>0</v>
      </c>
      <c r="AM12" s="42" t="n">
        <v>0</v>
      </c>
      <c r="AN12" s="42" t="n">
        <v>0</v>
      </c>
      <c r="AO12" s="42" t="n">
        <v>0</v>
      </c>
      <c r="AP12" s="42" t="n">
        <v>0</v>
      </c>
      <c r="AQ12" s="42" t="n">
        <v>0</v>
      </c>
      <c r="AR12" s="42" t="n">
        <v>0</v>
      </c>
      <c r="AS12" s="42" t="n">
        <v>0</v>
      </c>
      <c r="AT12" s="42" t="n">
        <v>0</v>
      </c>
      <c r="AU12" s="42"/>
      <c r="AV12" s="42" t="n">
        <f aca="false">SUM(N12:AU12)</f>
        <v>0</v>
      </c>
      <c r="AW12" s="42" t="n">
        <v>9091</v>
      </c>
      <c r="AX12" s="42" t="n">
        <v>0</v>
      </c>
      <c r="AY12" s="42" t="n">
        <f aca="false">+AV12+AW12+AX12</f>
        <v>9091</v>
      </c>
      <c r="AZ12" s="42" t="n">
        <f aca="false">+K12-AY12</f>
        <v>0</v>
      </c>
      <c r="BA12" s="44"/>
      <c r="BB12" s="44"/>
      <c r="BC12" s="44"/>
      <c r="BD12" s="44"/>
      <c r="BE12" s="44"/>
      <c r="BF12" s="44"/>
      <c r="BG12" s="44"/>
      <c r="BH12" s="44"/>
      <c r="BI12" s="44"/>
    </row>
    <row r="13" customFormat="false" ht="12.75" hidden="false" customHeight="false" outlineLevel="0" collapsed="false">
      <c r="A13" s="37" t="s">
        <v>36</v>
      </c>
      <c r="B13" s="39" t="s">
        <v>99</v>
      </c>
      <c r="C13" s="39" t="s">
        <v>91</v>
      </c>
      <c r="D13" s="40" t="n">
        <v>100007</v>
      </c>
      <c r="E13" s="41" t="n">
        <v>0</v>
      </c>
      <c r="F13" s="42" t="n">
        <v>0</v>
      </c>
      <c r="G13" s="42" t="n">
        <v>0</v>
      </c>
      <c r="H13" s="42" t="n">
        <v>0</v>
      </c>
      <c r="I13" s="42" t="n">
        <v>0</v>
      </c>
      <c r="J13" s="42" t="n">
        <v>14738</v>
      </c>
      <c r="K13" s="42" t="n">
        <f aca="false">SUM(E13:J13)</f>
        <v>14738</v>
      </c>
      <c r="L13" s="43"/>
      <c r="M13" s="41" t="s">
        <v>100</v>
      </c>
      <c r="N13" s="42" t="n">
        <v>0</v>
      </c>
      <c r="O13" s="42" t="n">
        <v>200</v>
      </c>
      <c r="P13" s="42" t="n">
        <v>300</v>
      </c>
      <c r="Q13" s="42" t="n">
        <v>0</v>
      </c>
      <c r="R13" s="42" t="n">
        <v>0</v>
      </c>
      <c r="S13" s="42" t="n">
        <v>0</v>
      </c>
      <c r="T13" s="42" t="n">
        <v>75</v>
      </c>
      <c r="U13" s="42" t="n">
        <v>450</v>
      </c>
      <c r="V13" s="42" t="n">
        <v>1125</v>
      </c>
      <c r="W13" s="42" t="n">
        <v>0</v>
      </c>
      <c r="X13" s="42" t="n">
        <f aca="false">200-24-17</f>
        <v>159</v>
      </c>
      <c r="Y13" s="42" t="n">
        <v>0</v>
      </c>
      <c r="Z13" s="42" t="n">
        <v>200</v>
      </c>
      <c r="AA13" s="42" t="n">
        <v>0</v>
      </c>
      <c r="AB13" s="42" t="n">
        <v>0</v>
      </c>
      <c r="AC13" s="42" t="n">
        <v>0</v>
      </c>
      <c r="AD13" s="42" t="n">
        <v>725</v>
      </c>
      <c r="AE13" s="42" t="n">
        <v>500</v>
      </c>
      <c r="AF13" s="42" t="n">
        <v>0</v>
      </c>
      <c r="AG13" s="42" t="n">
        <v>350</v>
      </c>
      <c r="AH13" s="42" t="n">
        <v>125</v>
      </c>
      <c r="AI13" s="42" t="n">
        <v>0</v>
      </c>
      <c r="AJ13" s="42" t="n">
        <v>0</v>
      </c>
      <c r="AK13" s="42" t="n">
        <v>0</v>
      </c>
      <c r="AL13" s="42" t="n">
        <f aca="false">75-41</f>
        <v>34</v>
      </c>
      <c r="AM13" s="42" t="n">
        <v>0</v>
      </c>
      <c r="AN13" s="42" t="n">
        <v>0</v>
      </c>
      <c r="AO13" s="42" t="n">
        <f aca="false">24+41</f>
        <v>65</v>
      </c>
      <c r="AP13" s="42" t="n">
        <v>17</v>
      </c>
      <c r="AQ13" s="42" t="n">
        <v>0</v>
      </c>
      <c r="AR13" s="42" t="n">
        <v>0</v>
      </c>
      <c r="AS13" s="42" t="n">
        <v>0</v>
      </c>
      <c r="AT13" s="42" t="n">
        <v>0</v>
      </c>
      <c r="AU13" s="42"/>
      <c r="AV13" s="42" t="n">
        <f aca="false">SUM(N13:AU13)</f>
        <v>4325</v>
      </c>
      <c r="AW13" s="42" t="n">
        <f aca="false">9888+525</f>
        <v>10413</v>
      </c>
      <c r="AX13" s="42" t="n">
        <v>0</v>
      </c>
      <c r="AY13" s="42" t="n">
        <f aca="false">+AV13+AW13+AX13</f>
        <v>14738</v>
      </c>
      <c r="AZ13" s="42" t="n">
        <f aca="false">+K13-AY13</f>
        <v>0</v>
      </c>
      <c r="BA13" s="44"/>
      <c r="BB13" s="44"/>
      <c r="BC13" s="44"/>
      <c r="BD13" s="44"/>
      <c r="BE13" s="44"/>
      <c r="BF13" s="44"/>
      <c r="BG13" s="44"/>
      <c r="BH13" s="44"/>
      <c r="BI13" s="44"/>
    </row>
    <row r="14" customFormat="false" ht="12.75" hidden="false" customHeight="false" outlineLevel="0" collapsed="false">
      <c r="A14" s="37" t="s">
        <v>36</v>
      </c>
      <c r="B14" s="38" t="s">
        <v>101</v>
      </c>
      <c r="C14" s="39" t="s">
        <v>102</v>
      </c>
      <c r="D14" s="40" t="n">
        <v>100008</v>
      </c>
      <c r="E14" s="41" t="n">
        <f aca="false">37+5+8</f>
        <v>50</v>
      </c>
      <c r="F14" s="42" t="n">
        <v>4</v>
      </c>
      <c r="G14" s="42" t="n">
        <v>1</v>
      </c>
      <c r="H14" s="42" t="n">
        <v>175</v>
      </c>
      <c r="I14" s="42" t="n">
        <f aca="false">3+18</f>
        <v>21</v>
      </c>
      <c r="J14" s="42" t="n">
        <v>-94</v>
      </c>
      <c r="K14" s="42" t="n">
        <f aca="false">SUM(E14:J14)</f>
        <v>157</v>
      </c>
      <c r="L14" s="43"/>
      <c r="M14" s="41" t="s">
        <v>103</v>
      </c>
      <c r="N14" s="42" t="n">
        <v>20</v>
      </c>
      <c r="O14" s="42" t="n">
        <v>20</v>
      </c>
      <c r="P14" s="42" t="n">
        <v>0</v>
      </c>
      <c r="Q14" s="42" t="n">
        <v>0</v>
      </c>
      <c r="R14" s="42" t="n">
        <v>19</v>
      </c>
      <c r="S14" s="42" t="n">
        <v>0</v>
      </c>
      <c r="T14" s="42" t="n">
        <v>19</v>
      </c>
      <c r="U14" s="42" t="n">
        <v>19</v>
      </c>
      <c r="V14" s="42" t="n">
        <v>0</v>
      </c>
      <c r="W14" s="42" t="n">
        <v>4</v>
      </c>
      <c r="X14" s="42" t="n">
        <v>3</v>
      </c>
      <c r="Y14" s="42" t="n">
        <v>0</v>
      </c>
      <c r="Z14" s="42" t="n">
        <v>1</v>
      </c>
      <c r="AA14" s="42" t="n">
        <v>6</v>
      </c>
      <c r="AB14" s="42" t="n">
        <v>0</v>
      </c>
      <c r="AC14" s="42" t="n">
        <v>0</v>
      </c>
      <c r="AD14" s="42" t="n">
        <v>7</v>
      </c>
      <c r="AE14" s="42" t="n">
        <v>7</v>
      </c>
      <c r="AF14" s="42" t="n">
        <v>0</v>
      </c>
      <c r="AG14" s="42" t="n">
        <v>0</v>
      </c>
      <c r="AH14" s="42" t="n">
        <v>0</v>
      </c>
      <c r="AI14" s="42" t="n">
        <v>0</v>
      </c>
      <c r="AJ14" s="42" t="n">
        <v>0</v>
      </c>
      <c r="AK14" s="42" t="n">
        <v>0</v>
      </c>
      <c r="AL14" s="42" t="n">
        <v>0</v>
      </c>
      <c r="AM14" s="42" t="n">
        <v>19</v>
      </c>
      <c r="AN14" s="42" t="n">
        <v>0</v>
      </c>
      <c r="AO14" s="42" t="n">
        <v>4</v>
      </c>
      <c r="AP14" s="42" t="n">
        <v>4</v>
      </c>
      <c r="AQ14" s="42" t="n">
        <v>0</v>
      </c>
      <c r="AR14" s="42" t="n">
        <v>0</v>
      </c>
      <c r="AS14" s="42" t="n">
        <v>0</v>
      </c>
      <c r="AT14" s="42" t="n">
        <v>0</v>
      </c>
      <c r="AU14" s="42"/>
      <c r="AV14" s="45" t="n">
        <f aca="false">SUM(N14:AU14)</f>
        <v>152</v>
      </c>
      <c r="AW14" s="42" t="n">
        <v>5</v>
      </c>
      <c r="AX14" s="42" t="n">
        <v>0</v>
      </c>
      <c r="AY14" s="45" t="n">
        <f aca="false">+AV14+AW14+AX14</f>
        <v>157</v>
      </c>
      <c r="AZ14" s="42" t="n">
        <f aca="false">+K14-AY14</f>
        <v>0</v>
      </c>
      <c r="BA14" s="44"/>
      <c r="BB14" s="44"/>
      <c r="BC14" s="44"/>
      <c r="BD14" s="44"/>
      <c r="BE14" s="44"/>
      <c r="BF14" s="44"/>
      <c r="BG14" s="44"/>
      <c r="BH14" s="44"/>
      <c r="BI14" s="44"/>
    </row>
    <row r="15" customFormat="false" ht="12.75" hidden="false" customHeight="false" outlineLevel="0" collapsed="false">
      <c r="A15" s="37" t="n">
        <v>11</v>
      </c>
      <c r="B15" s="39" t="s">
        <v>104</v>
      </c>
      <c r="C15" s="39" t="s">
        <v>105</v>
      </c>
      <c r="D15" s="40" t="n">
        <v>100009</v>
      </c>
      <c r="E15" s="41" t="n">
        <v>0</v>
      </c>
      <c r="F15" s="42" t="n">
        <v>628</v>
      </c>
      <c r="G15" s="42" t="n">
        <v>0</v>
      </c>
      <c r="H15" s="42" t="n">
        <v>800</v>
      </c>
      <c r="I15" s="42" t="n">
        <v>1</v>
      </c>
      <c r="J15" s="42" t="n">
        <v>0</v>
      </c>
      <c r="K15" s="42" t="n">
        <f aca="false">SUM(E15:J15)</f>
        <v>1429</v>
      </c>
      <c r="L15" s="43"/>
      <c r="M15" s="41" t="s">
        <v>98</v>
      </c>
      <c r="N15" s="42" t="n">
        <v>0</v>
      </c>
      <c r="O15" s="42" t="n">
        <v>0</v>
      </c>
      <c r="P15" s="42" t="n">
        <v>0</v>
      </c>
      <c r="Q15" s="42" t="n">
        <v>0</v>
      </c>
      <c r="R15" s="42" t="n">
        <v>0</v>
      </c>
      <c r="S15" s="42" t="n">
        <v>0</v>
      </c>
      <c r="T15" s="42" t="n">
        <v>0</v>
      </c>
      <c r="U15" s="42" t="n">
        <v>0</v>
      </c>
      <c r="V15" s="42" t="n">
        <v>0</v>
      </c>
      <c r="W15" s="42" t="n">
        <v>0</v>
      </c>
      <c r="X15" s="42" t="n">
        <v>0</v>
      </c>
      <c r="Y15" s="42" t="n">
        <v>0</v>
      </c>
      <c r="Z15" s="42" t="n">
        <v>0</v>
      </c>
      <c r="AA15" s="42" t="n">
        <v>0</v>
      </c>
      <c r="AB15" s="42" t="n">
        <v>0</v>
      </c>
      <c r="AC15" s="42" t="n">
        <v>0</v>
      </c>
      <c r="AD15" s="42" t="n">
        <v>0</v>
      </c>
      <c r="AE15" s="42" t="n">
        <v>0</v>
      </c>
      <c r="AF15" s="42" t="n">
        <v>0</v>
      </c>
      <c r="AG15" s="42" t="n">
        <v>0</v>
      </c>
      <c r="AH15" s="42" t="n">
        <v>0</v>
      </c>
      <c r="AI15" s="42" t="n">
        <v>0</v>
      </c>
      <c r="AJ15" s="42" t="n">
        <v>0</v>
      </c>
      <c r="AK15" s="42" t="n">
        <v>0</v>
      </c>
      <c r="AL15" s="42" t="n">
        <v>0</v>
      </c>
      <c r="AM15" s="42" t="n">
        <v>0</v>
      </c>
      <c r="AN15" s="42" t="n">
        <v>0</v>
      </c>
      <c r="AO15" s="42" t="n">
        <v>0</v>
      </c>
      <c r="AP15" s="42" t="n">
        <v>0</v>
      </c>
      <c r="AQ15" s="42" t="n">
        <v>0</v>
      </c>
      <c r="AR15" s="42" t="n">
        <v>0</v>
      </c>
      <c r="AS15" s="42" t="n">
        <v>0</v>
      </c>
      <c r="AT15" s="42" t="n">
        <v>0</v>
      </c>
      <c r="AU15" s="42"/>
      <c r="AV15" s="42" t="n">
        <f aca="false">SUM(N15:AU15)</f>
        <v>0</v>
      </c>
      <c r="AW15" s="42" t="n">
        <v>1429</v>
      </c>
      <c r="AX15" s="42" t="n">
        <v>0</v>
      </c>
      <c r="AY15" s="42" t="n">
        <f aca="false">+AV15+AW15+AX15</f>
        <v>1429</v>
      </c>
      <c r="AZ15" s="42" t="n">
        <f aca="false">+K15-AY15</f>
        <v>0</v>
      </c>
      <c r="BA15" s="44"/>
      <c r="BB15" s="44"/>
      <c r="BC15" s="44"/>
      <c r="BD15" s="44"/>
      <c r="BE15" s="44"/>
      <c r="BF15" s="44"/>
      <c r="BG15" s="44"/>
      <c r="BH15" s="44"/>
      <c r="BI15" s="44"/>
    </row>
    <row r="16" customFormat="false" ht="12.75" hidden="false" customHeight="false" outlineLevel="0" collapsed="false">
      <c r="A16" s="37" t="n">
        <v>11</v>
      </c>
      <c r="B16" s="39" t="s">
        <v>106</v>
      </c>
      <c r="C16" s="39" t="s">
        <v>107</v>
      </c>
      <c r="D16" s="40" t="n">
        <v>100012</v>
      </c>
      <c r="E16" s="41" t="n">
        <f aca="false">2993+215+450</f>
        <v>3658</v>
      </c>
      <c r="F16" s="42" t="n">
        <v>124</v>
      </c>
      <c r="G16" s="42" t="n">
        <v>50</v>
      </c>
      <c r="H16" s="42" t="n">
        <f aca="false">1650+1+50</f>
        <v>1701</v>
      </c>
      <c r="I16" s="42" t="n">
        <f aca="false">270+417</f>
        <v>687</v>
      </c>
      <c r="J16" s="42" t="n">
        <v>40</v>
      </c>
      <c r="K16" s="42" t="n">
        <f aca="false">SUM(E16:J16)</f>
        <v>6260</v>
      </c>
      <c r="L16" s="43"/>
      <c r="M16" s="41" t="s">
        <v>108</v>
      </c>
      <c r="N16" s="42" t="n">
        <v>0</v>
      </c>
      <c r="O16" s="42" t="n">
        <v>0</v>
      </c>
      <c r="P16" s="42" t="n">
        <v>0</v>
      </c>
      <c r="Q16" s="42" t="n">
        <v>0</v>
      </c>
      <c r="R16" s="42" t="n">
        <v>0</v>
      </c>
      <c r="S16" s="42" t="n">
        <v>0</v>
      </c>
      <c r="T16" s="42" t="n">
        <v>0</v>
      </c>
      <c r="U16" s="42" t="n">
        <v>0</v>
      </c>
      <c r="V16" s="42" t="n">
        <v>0</v>
      </c>
      <c r="W16" s="42" t="n">
        <v>0</v>
      </c>
      <c r="X16" s="42" t="n">
        <v>0</v>
      </c>
      <c r="Y16" s="42" t="n">
        <v>0</v>
      </c>
      <c r="Z16" s="42" t="n">
        <v>0</v>
      </c>
      <c r="AA16" s="42" t="n">
        <v>0</v>
      </c>
      <c r="AB16" s="42" t="n">
        <v>0</v>
      </c>
      <c r="AC16" s="42" t="n">
        <v>0</v>
      </c>
      <c r="AD16" s="42" t="n">
        <v>0</v>
      </c>
      <c r="AE16" s="42" t="n">
        <v>0</v>
      </c>
      <c r="AF16" s="42" t="n">
        <v>0</v>
      </c>
      <c r="AG16" s="42" t="n">
        <v>0</v>
      </c>
      <c r="AH16" s="42" t="n">
        <v>0</v>
      </c>
      <c r="AI16" s="42" t="n">
        <v>0</v>
      </c>
      <c r="AJ16" s="42" t="n">
        <v>0</v>
      </c>
      <c r="AK16" s="42" t="n">
        <v>0</v>
      </c>
      <c r="AL16" s="42" t="n">
        <v>0</v>
      </c>
      <c r="AM16" s="42" t="n">
        <v>0</v>
      </c>
      <c r="AN16" s="42" t="n">
        <v>0</v>
      </c>
      <c r="AO16" s="42" t="n">
        <v>0</v>
      </c>
      <c r="AP16" s="42" t="n">
        <v>0</v>
      </c>
      <c r="AQ16" s="42" t="n">
        <v>0</v>
      </c>
      <c r="AR16" s="42" t="n">
        <v>0</v>
      </c>
      <c r="AS16" s="42" t="n">
        <v>0</v>
      </c>
      <c r="AT16" s="42" t="n">
        <v>0</v>
      </c>
      <c r="AU16" s="42"/>
      <c r="AV16" s="42" t="n">
        <f aca="false">SUM(N16:AU16)</f>
        <v>0</v>
      </c>
      <c r="AW16" s="42" t="n">
        <v>6260</v>
      </c>
      <c r="AX16" s="42" t="n">
        <v>0</v>
      </c>
      <c r="AY16" s="42" t="n">
        <f aca="false">+AV16+AW16+AX16</f>
        <v>6260</v>
      </c>
      <c r="AZ16" s="42" t="n">
        <f aca="false">+K16-AY16</f>
        <v>0</v>
      </c>
      <c r="BA16" s="44"/>
      <c r="BB16" s="44"/>
      <c r="BC16" s="44"/>
      <c r="BD16" s="44"/>
      <c r="BE16" s="44"/>
      <c r="BF16" s="44"/>
      <c r="BG16" s="44"/>
      <c r="BH16" s="44"/>
      <c r="BI16" s="44"/>
    </row>
    <row r="17" customFormat="false" ht="12.75" hidden="false" customHeight="false" outlineLevel="0" collapsed="false">
      <c r="A17" s="37" t="s">
        <v>36</v>
      </c>
      <c r="B17" s="38" t="s">
        <v>109</v>
      </c>
      <c r="C17" s="39" t="s">
        <v>110</v>
      </c>
      <c r="D17" s="40" t="n">
        <v>100013</v>
      </c>
      <c r="E17" s="41" t="n">
        <f aca="false">128+11+21</f>
        <v>160</v>
      </c>
      <c r="F17" s="42" t="n">
        <v>11</v>
      </c>
      <c r="G17" s="42" t="n">
        <v>6</v>
      </c>
      <c r="H17" s="42" t="n">
        <f aca="false">1478+5</f>
        <v>1483</v>
      </c>
      <c r="I17" s="42" t="n">
        <f aca="false">21+92</f>
        <v>113</v>
      </c>
      <c r="J17" s="42" t="n">
        <v>-197</v>
      </c>
      <c r="K17" s="42" t="n">
        <f aca="false">SUM(E17:J17)</f>
        <v>1576</v>
      </c>
      <c r="L17" s="43"/>
      <c r="M17" s="41" t="s">
        <v>111</v>
      </c>
      <c r="N17" s="42" t="n">
        <v>25</v>
      </c>
      <c r="O17" s="42" t="n">
        <v>47</v>
      </c>
      <c r="P17" s="42" t="n">
        <v>50</v>
      </c>
      <c r="Q17" s="42" t="n">
        <v>54</v>
      </c>
      <c r="R17" s="42" t="n">
        <v>5</v>
      </c>
      <c r="S17" s="42" t="n">
        <v>0</v>
      </c>
      <c r="T17" s="42" t="n">
        <v>29</v>
      </c>
      <c r="U17" s="42" t="n">
        <v>184</v>
      </c>
      <c r="V17" s="42" t="n">
        <v>35</v>
      </c>
      <c r="W17" s="42" t="n">
        <v>14</v>
      </c>
      <c r="X17" s="42" t="n">
        <v>256</v>
      </c>
      <c r="Y17" s="42" t="n">
        <v>2</v>
      </c>
      <c r="Z17" s="42" t="n">
        <v>29</v>
      </c>
      <c r="AA17" s="42" t="n">
        <v>6</v>
      </c>
      <c r="AB17" s="42" t="n">
        <v>1</v>
      </c>
      <c r="AC17" s="42" t="n">
        <v>12</v>
      </c>
      <c r="AD17" s="42" t="n">
        <v>227</v>
      </c>
      <c r="AE17" s="42" t="n">
        <v>183</v>
      </c>
      <c r="AF17" s="42" t="n">
        <v>3</v>
      </c>
      <c r="AG17" s="42" t="n">
        <v>0</v>
      </c>
      <c r="AH17" s="42" t="n">
        <v>13</v>
      </c>
      <c r="AI17" s="42" t="n">
        <v>12</v>
      </c>
      <c r="AJ17" s="42" t="n">
        <v>6</v>
      </c>
      <c r="AK17" s="42" t="n">
        <v>15</v>
      </c>
      <c r="AL17" s="42" t="n">
        <v>5</v>
      </c>
      <c r="AM17" s="42" t="n">
        <v>117</v>
      </c>
      <c r="AN17" s="42" t="n">
        <v>0</v>
      </c>
      <c r="AO17" s="42" t="n">
        <v>68</v>
      </c>
      <c r="AP17" s="42" t="n">
        <v>18</v>
      </c>
      <c r="AQ17" s="42" t="n">
        <v>0</v>
      </c>
      <c r="AR17" s="42" t="n">
        <v>0</v>
      </c>
      <c r="AS17" s="42" t="n">
        <v>0</v>
      </c>
      <c r="AT17" s="42" t="n">
        <v>0</v>
      </c>
      <c r="AU17" s="42"/>
      <c r="AV17" s="45" t="n">
        <f aca="false">SUM(N17:AU17)</f>
        <v>1416</v>
      </c>
      <c r="AW17" s="42" t="n">
        <v>160</v>
      </c>
      <c r="AX17" s="42" t="n">
        <v>0</v>
      </c>
      <c r="AY17" s="42" t="n">
        <f aca="false">+AV17+AW17+AX17</f>
        <v>1576</v>
      </c>
      <c r="AZ17" s="42" t="n">
        <f aca="false">+K17-AY17</f>
        <v>0</v>
      </c>
      <c r="BA17" s="44"/>
      <c r="BB17" s="44"/>
      <c r="BC17" s="44"/>
      <c r="BD17" s="44"/>
      <c r="BE17" s="44"/>
      <c r="BF17" s="44"/>
      <c r="BG17" s="44"/>
      <c r="BH17" s="44"/>
      <c r="BI17" s="44"/>
    </row>
    <row r="18" customFormat="false" ht="12.75" hidden="false" customHeight="false" outlineLevel="0" collapsed="false">
      <c r="A18" s="37" t="n">
        <v>11</v>
      </c>
      <c r="B18" s="39" t="s">
        <v>112</v>
      </c>
      <c r="C18" s="39" t="s">
        <v>113</v>
      </c>
      <c r="D18" s="40" t="n">
        <v>100016</v>
      </c>
      <c r="E18" s="41" t="n">
        <f aca="false">700+18+79</f>
        <v>797</v>
      </c>
      <c r="F18" s="42" t="n">
        <v>167</v>
      </c>
      <c r="G18" s="42" t="n">
        <v>20</v>
      </c>
      <c r="H18" s="42" t="n">
        <f aca="false">643+50</f>
        <v>693</v>
      </c>
      <c r="I18" s="42" t="n">
        <f aca="false">30+90</f>
        <v>120</v>
      </c>
      <c r="J18" s="42" t="n">
        <v>36</v>
      </c>
      <c r="K18" s="42" t="n">
        <f aca="false">SUM(E18:J18)</f>
        <v>1833</v>
      </c>
      <c r="L18" s="43"/>
      <c r="M18" s="41" t="s">
        <v>108</v>
      </c>
      <c r="N18" s="42" t="n">
        <v>0</v>
      </c>
      <c r="O18" s="42" t="n">
        <v>0</v>
      </c>
      <c r="P18" s="42" t="n">
        <v>0</v>
      </c>
      <c r="Q18" s="42" t="n">
        <v>0</v>
      </c>
      <c r="R18" s="42" t="n">
        <v>0</v>
      </c>
      <c r="S18" s="42" t="n">
        <v>0</v>
      </c>
      <c r="T18" s="42" t="n">
        <v>0</v>
      </c>
      <c r="U18" s="42" t="n">
        <v>0</v>
      </c>
      <c r="V18" s="42" t="n">
        <v>0</v>
      </c>
      <c r="W18" s="42" t="n">
        <v>0</v>
      </c>
      <c r="X18" s="42" t="n">
        <v>0</v>
      </c>
      <c r="Y18" s="42" t="n">
        <v>0</v>
      </c>
      <c r="Z18" s="42" t="n">
        <v>0</v>
      </c>
      <c r="AA18" s="42" t="n">
        <v>0</v>
      </c>
      <c r="AB18" s="42" t="n">
        <v>0</v>
      </c>
      <c r="AC18" s="42" t="n">
        <v>0</v>
      </c>
      <c r="AD18" s="42" t="n">
        <v>0</v>
      </c>
      <c r="AE18" s="42" t="n">
        <v>0</v>
      </c>
      <c r="AF18" s="42" t="n">
        <v>0</v>
      </c>
      <c r="AG18" s="42" t="n">
        <v>0</v>
      </c>
      <c r="AH18" s="42" t="n">
        <v>0</v>
      </c>
      <c r="AI18" s="42" t="n">
        <v>0</v>
      </c>
      <c r="AJ18" s="42" t="n">
        <v>0</v>
      </c>
      <c r="AK18" s="42" t="n">
        <v>0</v>
      </c>
      <c r="AL18" s="42" t="n">
        <v>0</v>
      </c>
      <c r="AM18" s="42" t="n">
        <v>0</v>
      </c>
      <c r="AN18" s="42" t="n">
        <v>0</v>
      </c>
      <c r="AO18" s="42" t="n">
        <v>0</v>
      </c>
      <c r="AP18" s="42" t="n">
        <v>0</v>
      </c>
      <c r="AQ18" s="42" t="n">
        <v>0</v>
      </c>
      <c r="AR18" s="42" t="n">
        <v>0</v>
      </c>
      <c r="AS18" s="42" t="n">
        <v>0</v>
      </c>
      <c r="AT18" s="42" t="n">
        <v>0</v>
      </c>
      <c r="AU18" s="42"/>
      <c r="AV18" s="42" t="n">
        <f aca="false">SUM(N18:AU18)</f>
        <v>0</v>
      </c>
      <c r="AW18" s="42" t="n">
        <v>1833</v>
      </c>
      <c r="AX18" s="42" t="n">
        <v>0</v>
      </c>
      <c r="AY18" s="42" t="n">
        <f aca="false">+AV18+AW18+AX18</f>
        <v>1833</v>
      </c>
      <c r="AZ18" s="42" t="n">
        <f aca="false">+K18-AY18</f>
        <v>0</v>
      </c>
      <c r="BA18" s="46"/>
    </row>
    <row r="19" customFormat="false" ht="12.75" hidden="false" customHeight="false" outlineLevel="0" collapsed="false">
      <c r="A19" s="37" t="n">
        <v>11</v>
      </c>
      <c r="B19" s="39" t="s">
        <v>114</v>
      </c>
      <c r="C19" s="39" t="s">
        <v>115</v>
      </c>
      <c r="D19" s="40" t="n">
        <v>100017</v>
      </c>
      <c r="E19" s="41" t="n">
        <f aca="false">1091+22+115</f>
        <v>1228</v>
      </c>
      <c r="F19" s="42" t="n">
        <f aca="false">965-300+27</f>
        <v>692</v>
      </c>
      <c r="G19" s="42" t="n">
        <v>10</v>
      </c>
      <c r="H19" s="42" t="n">
        <f aca="false">1500+20+3-200</f>
        <v>1323</v>
      </c>
      <c r="I19" s="42" t="n">
        <f aca="false">30+76</f>
        <v>106</v>
      </c>
      <c r="J19" s="42" t="n">
        <v>41</v>
      </c>
      <c r="K19" s="42" t="n">
        <f aca="false">SUM(E19:J19)</f>
        <v>3400</v>
      </c>
      <c r="L19" s="43"/>
      <c r="M19" s="41" t="s">
        <v>108</v>
      </c>
      <c r="N19" s="42" t="n">
        <v>0</v>
      </c>
      <c r="O19" s="42" t="n">
        <v>0</v>
      </c>
      <c r="P19" s="42" t="n">
        <v>0</v>
      </c>
      <c r="Q19" s="42" t="n">
        <v>0</v>
      </c>
      <c r="R19" s="42" t="n">
        <v>0</v>
      </c>
      <c r="S19" s="42" t="n">
        <v>0</v>
      </c>
      <c r="T19" s="42" t="n">
        <v>0</v>
      </c>
      <c r="U19" s="42" t="n">
        <v>0</v>
      </c>
      <c r="V19" s="42" t="n">
        <v>0</v>
      </c>
      <c r="W19" s="42" t="n">
        <v>0</v>
      </c>
      <c r="X19" s="42" t="n">
        <v>0</v>
      </c>
      <c r="Y19" s="42" t="n">
        <v>0</v>
      </c>
      <c r="Z19" s="42" t="n">
        <v>0</v>
      </c>
      <c r="AA19" s="42" t="n">
        <v>0</v>
      </c>
      <c r="AB19" s="42" t="n">
        <v>0</v>
      </c>
      <c r="AC19" s="42" t="n">
        <v>0</v>
      </c>
      <c r="AD19" s="42" t="n">
        <v>0</v>
      </c>
      <c r="AE19" s="42" t="n">
        <v>0</v>
      </c>
      <c r="AF19" s="42" t="n">
        <v>0</v>
      </c>
      <c r="AG19" s="42" t="n">
        <v>0</v>
      </c>
      <c r="AH19" s="42" t="n">
        <v>0</v>
      </c>
      <c r="AI19" s="42" t="n">
        <v>0</v>
      </c>
      <c r="AJ19" s="42" t="n">
        <v>0</v>
      </c>
      <c r="AK19" s="42" t="n">
        <v>0</v>
      </c>
      <c r="AL19" s="42" t="n">
        <v>0</v>
      </c>
      <c r="AM19" s="42" t="n">
        <v>0</v>
      </c>
      <c r="AN19" s="42" t="n">
        <v>0</v>
      </c>
      <c r="AO19" s="42" t="n">
        <v>0</v>
      </c>
      <c r="AP19" s="42" t="n">
        <v>0</v>
      </c>
      <c r="AQ19" s="42" t="n">
        <v>0</v>
      </c>
      <c r="AR19" s="42" t="n">
        <v>0</v>
      </c>
      <c r="AS19" s="42" t="n">
        <v>0</v>
      </c>
      <c r="AT19" s="42" t="n">
        <v>0</v>
      </c>
      <c r="AU19" s="42"/>
      <c r="AV19" s="42" t="n">
        <f aca="false">SUM(N19:AU19)</f>
        <v>0</v>
      </c>
      <c r="AW19" s="42" t="n">
        <v>3400</v>
      </c>
      <c r="AX19" s="42" t="n">
        <v>0</v>
      </c>
      <c r="AY19" s="42" t="n">
        <f aca="false">+AV19+AW19+AX19</f>
        <v>3400</v>
      </c>
      <c r="AZ19" s="42" t="n">
        <f aca="false">+K19-AY19</f>
        <v>0</v>
      </c>
      <c r="BA19" s="46"/>
    </row>
    <row r="20" customFormat="false" ht="12.75" hidden="false" customHeight="false" outlineLevel="0" collapsed="false">
      <c r="A20" s="37" t="n">
        <v>11</v>
      </c>
      <c r="B20" s="39" t="s">
        <v>116</v>
      </c>
      <c r="C20" s="39" t="s">
        <v>105</v>
      </c>
      <c r="D20" s="40" t="n">
        <v>100018</v>
      </c>
      <c r="E20" s="41" t="n">
        <f aca="false">90+7+18</f>
        <v>115</v>
      </c>
      <c r="F20" s="42" t="n">
        <v>8</v>
      </c>
      <c r="G20" s="42" t="n">
        <v>4</v>
      </c>
      <c r="H20" s="42" t="n">
        <v>1</v>
      </c>
      <c r="I20" s="42" t="n">
        <f aca="false">11+132</f>
        <v>143</v>
      </c>
      <c r="J20" s="42" t="n">
        <v>0</v>
      </c>
      <c r="K20" s="42" t="n">
        <f aca="false">SUM(E20:J20)</f>
        <v>271</v>
      </c>
      <c r="L20" s="43"/>
      <c r="M20" s="41" t="s">
        <v>108</v>
      </c>
      <c r="N20" s="42" t="n">
        <v>0</v>
      </c>
      <c r="O20" s="42" t="n">
        <v>0</v>
      </c>
      <c r="P20" s="42" t="n">
        <v>0</v>
      </c>
      <c r="Q20" s="42" t="n">
        <v>0</v>
      </c>
      <c r="R20" s="42" t="n">
        <v>0</v>
      </c>
      <c r="S20" s="42" t="n">
        <v>0</v>
      </c>
      <c r="T20" s="42" t="n">
        <v>0</v>
      </c>
      <c r="U20" s="42" t="n">
        <v>0</v>
      </c>
      <c r="V20" s="42" t="n">
        <v>0</v>
      </c>
      <c r="W20" s="42" t="n">
        <v>0</v>
      </c>
      <c r="X20" s="42" t="n">
        <v>0</v>
      </c>
      <c r="Y20" s="42" t="n">
        <v>0</v>
      </c>
      <c r="Z20" s="42" t="n">
        <v>0</v>
      </c>
      <c r="AA20" s="42" t="n">
        <v>0</v>
      </c>
      <c r="AB20" s="42" t="n">
        <v>0</v>
      </c>
      <c r="AC20" s="42" t="n">
        <v>0</v>
      </c>
      <c r="AD20" s="42" t="n">
        <v>0</v>
      </c>
      <c r="AE20" s="42" t="n">
        <v>0</v>
      </c>
      <c r="AF20" s="42" t="n">
        <v>0</v>
      </c>
      <c r="AG20" s="42" t="n">
        <v>0</v>
      </c>
      <c r="AH20" s="42" t="n">
        <v>0</v>
      </c>
      <c r="AI20" s="42" t="n">
        <v>0</v>
      </c>
      <c r="AJ20" s="42" t="n">
        <v>0</v>
      </c>
      <c r="AK20" s="42" t="n">
        <v>0</v>
      </c>
      <c r="AL20" s="42" t="n">
        <v>0</v>
      </c>
      <c r="AM20" s="42" t="n">
        <v>0</v>
      </c>
      <c r="AN20" s="42" t="n">
        <v>0</v>
      </c>
      <c r="AO20" s="42" t="n">
        <v>0</v>
      </c>
      <c r="AP20" s="42" t="n">
        <v>0</v>
      </c>
      <c r="AQ20" s="42" t="n">
        <v>0</v>
      </c>
      <c r="AR20" s="42" t="n">
        <v>0</v>
      </c>
      <c r="AS20" s="42" t="n">
        <v>0</v>
      </c>
      <c r="AT20" s="42" t="n">
        <v>0</v>
      </c>
      <c r="AU20" s="42"/>
      <c r="AV20" s="42" t="n">
        <f aca="false">SUM(N20:AU20)</f>
        <v>0</v>
      </c>
      <c r="AW20" s="42" t="n">
        <v>271</v>
      </c>
      <c r="AX20" s="42" t="n">
        <v>0</v>
      </c>
      <c r="AY20" s="42" t="n">
        <f aca="false">+AV20+AW20+AX20</f>
        <v>271</v>
      </c>
      <c r="AZ20" s="42" t="n">
        <f aca="false">+K20-AY20</f>
        <v>0</v>
      </c>
      <c r="BA20" s="46"/>
    </row>
    <row r="21" customFormat="false" ht="12.75" hidden="false" customHeight="false" outlineLevel="0" collapsed="false">
      <c r="A21" s="47" t="n">
        <v>11</v>
      </c>
      <c r="B21" s="48" t="s">
        <v>117</v>
      </c>
      <c r="C21" s="48" t="s">
        <v>118</v>
      </c>
      <c r="D21" s="49" t="n">
        <v>100019</v>
      </c>
      <c r="E21" s="50" t="n">
        <f aca="false">790+82+159</f>
        <v>1031</v>
      </c>
      <c r="F21" s="45" t="n">
        <v>174</v>
      </c>
      <c r="G21" s="45" t="n">
        <v>60</v>
      </c>
      <c r="H21" s="45" t="n">
        <f aca="false">60+158+2</f>
        <v>220</v>
      </c>
      <c r="I21" s="45" t="n">
        <v>0</v>
      </c>
      <c r="J21" s="45" t="n">
        <v>53</v>
      </c>
      <c r="K21" s="42" t="n">
        <f aca="false">SUM(E21:J21)</f>
        <v>1538</v>
      </c>
      <c r="L21" s="51"/>
      <c r="M21" s="50" t="s">
        <v>108</v>
      </c>
      <c r="N21" s="45" t="n">
        <v>0</v>
      </c>
      <c r="O21" s="45" t="n">
        <v>0</v>
      </c>
      <c r="P21" s="45" t="n">
        <v>0</v>
      </c>
      <c r="Q21" s="45" t="n">
        <v>0</v>
      </c>
      <c r="R21" s="45" t="n">
        <v>0</v>
      </c>
      <c r="S21" s="45" t="n">
        <v>0</v>
      </c>
      <c r="T21" s="45" t="n">
        <v>0</v>
      </c>
      <c r="U21" s="45" t="n">
        <v>0</v>
      </c>
      <c r="V21" s="45" t="n">
        <v>0</v>
      </c>
      <c r="W21" s="42" t="n">
        <v>0</v>
      </c>
      <c r="X21" s="45" t="n">
        <v>0</v>
      </c>
      <c r="Y21" s="45" t="n">
        <v>0</v>
      </c>
      <c r="Z21" s="45" t="n">
        <v>0</v>
      </c>
      <c r="AA21" s="45" t="n">
        <v>0</v>
      </c>
      <c r="AB21" s="45" t="n">
        <v>0</v>
      </c>
      <c r="AC21" s="45" t="n">
        <v>0</v>
      </c>
      <c r="AD21" s="45" t="n">
        <v>0</v>
      </c>
      <c r="AE21" s="45" t="n">
        <v>0</v>
      </c>
      <c r="AF21" s="45" t="n">
        <v>0</v>
      </c>
      <c r="AG21" s="45" t="n">
        <v>0</v>
      </c>
      <c r="AH21" s="45" t="n">
        <v>0</v>
      </c>
      <c r="AI21" s="45" t="n">
        <v>0</v>
      </c>
      <c r="AJ21" s="45" t="n">
        <v>0</v>
      </c>
      <c r="AK21" s="45" t="n">
        <v>0</v>
      </c>
      <c r="AL21" s="45" t="n">
        <v>0</v>
      </c>
      <c r="AM21" s="45" t="n">
        <v>0</v>
      </c>
      <c r="AN21" s="45" t="n">
        <v>0</v>
      </c>
      <c r="AO21" s="45" t="n">
        <v>0</v>
      </c>
      <c r="AP21" s="45" t="n">
        <v>0</v>
      </c>
      <c r="AQ21" s="45" t="n">
        <v>0</v>
      </c>
      <c r="AR21" s="45" t="n">
        <v>0</v>
      </c>
      <c r="AS21" s="45" t="n">
        <v>0</v>
      </c>
      <c r="AT21" s="42" t="n">
        <v>0</v>
      </c>
      <c r="AU21" s="45"/>
      <c r="AV21" s="45" t="n">
        <f aca="false">SUM(N21:AU21)</f>
        <v>0</v>
      </c>
      <c r="AW21" s="45" t="n">
        <v>1538</v>
      </c>
      <c r="AX21" s="42" t="n">
        <v>0</v>
      </c>
      <c r="AY21" s="42" t="n">
        <f aca="false">+AV21+AW21+AX21</f>
        <v>1538</v>
      </c>
      <c r="AZ21" s="45" t="n">
        <f aca="false">+K21-AY21</f>
        <v>0</v>
      </c>
      <c r="BA21" s="52"/>
    </row>
    <row r="22" customFormat="false" ht="12.75" hidden="false" customHeight="false" outlineLevel="0" collapsed="false">
      <c r="A22" s="37" t="n">
        <v>11</v>
      </c>
      <c r="B22" s="39" t="s">
        <v>119</v>
      </c>
      <c r="C22" s="39" t="s">
        <v>120</v>
      </c>
      <c r="D22" s="40" t="n">
        <v>100020</v>
      </c>
      <c r="E22" s="41" t="n">
        <f aca="false">121+7+26</f>
        <v>154</v>
      </c>
      <c r="F22" s="42" t="n">
        <v>601</v>
      </c>
      <c r="G22" s="42" t="n">
        <v>48</v>
      </c>
      <c r="H22" s="42" t="n">
        <f aca="false">109+19+12+1</f>
        <v>141</v>
      </c>
      <c r="I22" s="42" t="n">
        <f aca="false">14+49</f>
        <v>63</v>
      </c>
      <c r="J22" s="42" t="n">
        <f aca="false">693-200</f>
        <v>493</v>
      </c>
      <c r="K22" s="42" t="n">
        <f aca="false">SUM(E22:J22)</f>
        <v>1500</v>
      </c>
      <c r="L22" s="43"/>
      <c r="M22" s="41" t="s">
        <v>108</v>
      </c>
      <c r="N22" s="42" t="n">
        <v>0</v>
      </c>
      <c r="O22" s="42" t="n">
        <v>0</v>
      </c>
      <c r="P22" s="42" t="n">
        <v>0</v>
      </c>
      <c r="Q22" s="42" t="n">
        <v>0</v>
      </c>
      <c r="R22" s="42" t="n">
        <v>0</v>
      </c>
      <c r="S22" s="42" t="n">
        <v>0</v>
      </c>
      <c r="T22" s="42" t="n">
        <v>0</v>
      </c>
      <c r="U22" s="42" t="n">
        <v>0</v>
      </c>
      <c r="V22" s="42" t="n">
        <v>0</v>
      </c>
      <c r="W22" s="42" t="n">
        <v>0</v>
      </c>
      <c r="X22" s="42" t="n">
        <v>0</v>
      </c>
      <c r="Y22" s="42" t="n">
        <v>0</v>
      </c>
      <c r="Z22" s="42" t="n">
        <v>0</v>
      </c>
      <c r="AA22" s="42" t="n">
        <v>0</v>
      </c>
      <c r="AB22" s="42" t="n">
        <v>0</v>
      </c>
      <c r="AC22" s="42" t="n">
        <v>0</v>
      </c>
      <c r="AD22" s="42" t="n">
        <v>0</v>
      </c>
      <c r="AE22" s="42" t="n">
        <v>0</v>
      </c>
      <c r="AF22" s="42" t="n">
        <v>0</v>
      </c>
      <c r="AG22" s="42" t="n">
        <v>0</v>
      </c>
      <c r="AH22" s="42" t="n">
        <v>0</v>
      </c>
      <c r="AI22" s="42" t="n">
        <v>0</v>
      </c>
      <c r="AJ22" s="42" t="n">
        <v>0</v>
      </c>
      <c r="AK22" s="42" t="n">
        <v>0</v>
      </c>
      <c r="AL22" s="42" t="n">
        <v>0</v>
      </c>
      <c r="AM22" s="42" t="n">
        <v>0</v>
      </c>
      <c r="AN22" s="42" t="n">
        <v>0</v>
      </c>
      <c r="AO22" s="42" t="n">
        <v>0</v>
      </c>
      <c r="AP22" s="42" t="n">
        <v>0</v>
      </c>
      <c r="AQ22" s="42" t="n">
        <v>0</v>
      </c>
      <c r="AR22" s="42" t="n">
        <v>0</v>
      </c>
      <c r="AS22" s="42" t="n">
        <v>0</v>
      </c>
      <c r="AT22" s="42" t="n">
        <v>0</v>
      </c>
      <c r="AU22" s="42"/>
      <c r="AV22" s="42" t="n">
        <f aca="false">SUM(N22:AU22)</f>
        <v>0</v>
      </c>
      <c r="AW22" s="42" t="n">
        <v>1500</v>
      </c>
      <c r="AX22" s="42" t="n">
        <v>0</v>
      </c>
      <c r="AY22" s="42" t="n">
        <f aca="false">+AV22+AW22+AX22</f>
        <v>1500</v>
      </c>
      <c r="AZ22" s="42" t="n">
        <f aca="false">+K22-AY22</f>
        <v>0</v>
      </c>
      <c r="BA22" s="46"/>
    </row>
    <row r="23" customFormat="false" ht="12.75" hidden="false" customHeight="false" outlineLevel="0" collapsed="false">
      <c r="A23" s="37" t="n">
        <v>11</v>
      </c>
      <c r="B23" s="39" t="s">
        <v>121</v>
      </c>
      <c r="C23" s="39" t="s">
        <v>107</v>
      </c>
      <c r="D23" s="40" t="n">
        <v>100021</v>
      </c>
      <c r="E23" s="41" t="n">
        <v>0</v>
      </c>
      <c r="F23" s="42" t="n">
        <v>3</v>
      </c>
      <c r="G23" s="42" t="n">
        <v>2</v>
      </c>
      <c r="H23" s="42" t="n">
        <f aca="false">122+6</f>
        <v>128</v>
      </c>
      <c r="I23" s="42" t="n">
        <v>80</v>
      </c>
      <c r="J23" s="42" t="n">
        <v>0</v>
      </c>
      <c r="K23" s="42" t="n">
        <f aca="false">SUM(E23:J23)</f>
        <v>213</v>
      </c>
      <c r="L23" s="43"/>
      <c r="M23" s="41" t="s">
        <v>108</v>
      </c>
      <c r="N23" s="42" t="n">
        <v>0</v>
      </c>
      <c r="O23" s="42" t="n">
        <v>0</v>
      </c>
      <c r="P23" s="42" t="n">
        <v>0</v>
      </c>
      <c r="Q23" s="42" t="n">
        <v>0</v>
      </c>
      <c r="R23" s="42" t="n">
        <v>0</v>
      </c>
      <c r="S23" s="42" t="n">
        <v>0</v>
      </c>
      <c r="T23" s="42" t="n">
        <v>0</v>
      </c>
      <c r="U23" s="42" t="n">
        <v>0</v>
      </c>
      <c r="V23" s="42" t="n">
        <v>0</v>
      </c>
      <c r="W23" s="42" t="n">
        <v>0</v>
      </c>
      <c r="X23" s="42" t="n">
        <v>0</v>
      </c>
      <c r="Y23" s="42" t="n">
        <v>0</v>
      </c>
      <c r="Z23" s="42" t="n">
        <v>0</v>
      </c>
      <c r="AA23" s="42" t="n">
        <v>0</v>
      </c>
      <c r="AB23" s="42" t="n">
        <v>0</v>
      </c>
      <c r="AC23" s="42" t="n">
        <v>0</v>
      </c>
      <c r="AD23" s="42" t="n">
        <v>0</v>
      </c>
      <c r="AE23" s="42" t="n">
        <v>0</v>
      </c>
      <c r="AF23" s="42" t="n">
        <v>0</v>
      </c>
      <c r="AG23" s="42" t="n">
        <v>0</v>
      </c>
      <c r="AH23" s="42" t="n">
        <v>0</v>
      </c>
      <c r="AI23" s="42" t="n">
        <v>0</v>
      </c>
      <c r="AJ23" s="42" t="n">
        <v>0</v>
      </c>
      <c r="AK23" s="42" t="n">
        <v>0</v>
      </c>
      <c r="AL23" s="42" t="n">
        <v>0</v>
      </c>
      <c r="AM23" s="42" t="n">
        <v>0</v>
      </c>
      <c r="AN23" s="42" t="n">
        <v>0</v>
      </c>
      <c r="AO23" s="42" t="n">
        <v>0</v>
      </c>
      <c r="AP23" s="42" t="n">
        <v>0</v>
      </c>
      <c r="AQ23" s="42" t="n">
        <v>0</v>
      </c>
      <c r="AR23" s="42" t="n">
        <v>0</v>
      </c>
      <c r="AS23" s="42" t="n">
        <v>0</v>
      </c>
      <c r="AT23" s="42" t="n">
        <v>0</v>
      </c>
      <c r="AU23" s="42"/>
      <c r="AV23" s="42" t="n">
        <f aca="false">SUM(N23:AU23)</f>
        <v>0</v>
      </c>
      <c r="AW23" s="42" t="n">
        <v>213</v>
      </c>
      <c r="AX23" s="42" t="n">
        <v>0</v>
      </c>
      <c r="AY23" s="42" t="n">
        <f aca="false">+AV23+AW23+AX23</f>
        <v>213</v>
      </c>
      <c r="AZ23" s="42" t="n">
        <f aca="false">+K23-AY23</f>
        <v>0</v>
      </c>
      <c r="BA23" s="46"/>
    </row>
    <row r="24" customFormat="false" ht="12.75" hidden="false" customHeight="false" outlineLevel="0" collapsed="false">
      <c r="A24" s="37" t="n">
        <v>11</v>
      </c>
      <c r="B24" s="39" t="s">
        <v>122</v>
      </c>
      <c r="C24" s="39" t="s">
        <v>123</v>
      </c>
      <c r="D24" s="40" t="n">
        <v>100022</v>
      </c>
      <c r="E24" s="41" t="n">
        <f aca="false">164+14+25</f>
        <v>203</v>
      </c>
      <c r="F24" s="42" t="n">
        <v>38</v>
      </c>
      <c r="G24" s="42" t="n">
        <v>0</v>
      </c>
      <c r="H24" s="42" t="n">
        <f aca="false">17+15</f>
        <v>32</v>
      </c>
      <c r="I24" s="42" t="n">
        <f aca="false">3+16</f>
        <v>19</v>
      </c>
      <c r="J24" s="42" t="n">
        <v>35</v>
      </c>
      <c r="K24" s="42" t="n">
        <f aca="false">SUM(E24:J24)</f>
        <v>327</v>
      </c>
      <c r="L24" s="43"/>
      <c r="M24" s="41" t="s">
        <v>108</v>
      </c>
      <c r="N24" s="42" t="n">
        <v>0</v>
      </c>
      <c r="O24" s="42" t="n">
        <v>0</v>
      </c>
      <c r="P24" s="42" t="n">
        <v>0</v>
      </c>
      <c r="Q24" s="42" t="n">
        <v>0</v>
      </c>
      <c r="R24" s="42" t="n">
        <v>0</v>
      </c>
      <c r="S24" s="42" t="n">
        <v>0</v>
      </c>
      <c r="T24" s="42" t="n">
        <v>0</v>
      </c>
      <c r="U24" s="42" t="n">
        <v>0</v>
      </c>
      <c r="V24" s="42" t="n">
        <v>0</v>
      </c>
      <c r="W24" s="42" t="n">
        <v>0</v>
      </c>
      <c r="X24" s="42" t="n">
        <v>0</v>
      </c>
      <c r="Y24" s="42" t="n">
        <v>0</v>
      </c>
      <c r="Z24" s="42" t="n">
        <v>0</v>
      </c>
      <c r="AA24" s="42" t="n">
        <v>0</v>
      </c>
      <c r="AB24" s="42" t="n">
        <v>0</v>
      </c>
      <c r="AC24" s="42" t="n">
        <v>0</v>
      </c>
      <c r="AD24" s="42" t="n">
        <v>0</v>
      </c>
      <c r="AE24" s="42" t="n">
        <v>0</v>
      </c>
      <c r="AF24" s="42" t="n">
        <v>0</v>
      </c>
      <c r="AG24" s="42" t="n">
        <v>0</v>
      </c>
      <c r="AH24" s="42" t="n">
        <v>0</v>
      </c>
      <c r="AI24" s="42" t="n">
        <v>0</v>
      </c>
      <c r="AJ24" s="42" t="n">
        <v>0</v>
      </c>
      <c r="AK24" s="42" t="n">
        <v>0</v>
      </c>
      <c r="AL24" s="42" t="n">
        <v>0</v>
      </c>
      <c r="AM24" s="42" t="n">
        <v>0</v>
      </c>
      <c r="AN24" s="42" t="n">
        <v>0</v>
      </c>
      <c r="AO24" s="42" t="n">
        <v>0</v>
      </c>
      <c r="AP24" s="42" t="n">
        <v>0</v>
      </c>
      <c r="AQ24" s="42" t="n">
        <v>0</v>
      </c>
      <c r="AR24" s="42" t="n">
        <v>0</v>
      </c>
      <c r="AS24" s="42" t="n">
        <v>0</v>
      </c>
      <c r="AT24" s="42" t="n">
        <v>0</v>
      </c>
      <c r="AU24" s="42"/>
      <c r="AV24" s="42" t="n">
        <f aca="false">SUM(N24:AU24)</f>
        <v>0</v>
      </c>
      <c r="AW24" s="42" t="n">
        <v>327</v>
      </c>
      <c r="AX24" s="42" t="n">
        <v>0</v>
      </c>
      <c r="AY24" s="42" t="n">
        <f aca="false">+AV24+AW24+AX24</f>
        <v>327</v>
      </c>
      <c r="AZ24" s="42" t="n">
        <f aca="false">+K24-AY24</f>
        <v>0</v>
      </c>
      <c r="BA24" s="46"/>
    </row>
    <row r="25" customFormat="false" ht="12.75" hidden="false" customHeight="false" outlineLevel="0" collapsed="false">
      <c r="A25" s="37" t="n">
        <v>11</v>
      </c>
      <c r="B25" s="39" t="s">
        <v>124</v>
      </c>
      <c r="C25" s="39" t="s">
        <v>125</v>
      </c>
      <c r="D25" s="40" t="n">
        <v>100024</v>
      </c>
      <c r="E25" s="41" t="n">
        <f aca="false">1250+70+150</f>
        <v>1470</v>
      </c>
      <c r="F25" s="42" t="n">
        <v>308</v>
      </c>
      <c r="G25" s="42" t="n">
        <v>50</v>
      </c>
      <c r="H25" s="42" t="n">
        <f aca="false">625+30</f>
        <v>655</v>
      </c>
      <c r="I25" s="42" t="n">
        <f aca="false">100+400</f>
        <v>500</v>
      </c>
      <c r="J25" s="42" t="n">
        <v>103</v>
      </c>
      <c r="K25" s="42" t="n">
        <f aca="false">SUM(E25:J25)</f>
        <v>3086</v>
      </c>
      <c r="L25" s="43"/>
      <c r="M25" s="41" t="s">
        <v>108</v>
      </c>
      <c r="N25" s="42" t="n">
        <v>0</v>
      </c>
      <c r="O25" s="42" t="n">
        <v>0</v>
      </c>
      <c r="P25" s="42" t="n">
        <v>0</v>
      </c>
      <c r="Q25" s="42" t="n">
        <v>0</v>
      </c>
      <c r="R25" s="42" t="n">
        <v>0</v>
      </c>
      <c r="S25" s="42" t="n">
        <v>50</v>
      </c>
      <c r="T25" s="42" t="n">
        <v>0</v>
      </c>
      <c r="U25" s="42" t="n">
        <v>0</v>
      </c>
      <c r="V25" s="42" t="n">
        <v>0</v>
      </c>
      <c r="W25" s="42" t="n">
        <v>0</v>
      </c>
      <c r="X25" s="42" t="n">
        <v>0</v>
      </c>
      <c r="Y25" s="42" t="n">
        <v>0</v>
      </c>
      <c r="Z25" s="42" t="n">
        <v>0</v>
      </c>
      <c r="AA25" s="42" t="n">
        <v>0</v>
      </c>
      <c r="AB25" s="42" t="n">
        <v>0</v>
      </c>
      <c r="AC25" s="42" t="n">
        <v>0</v>
      </c>
      <c r="AD25" s="42" t="n">
        <v>0</v>
      </c>
      <c r="AE25" s="42" t="n">
        <v>0</v>
      </c>
      <c r="AF25" s="42" t="n">
        <v>0</v>
      </c>
      <c r="AG25" s="42" t="n">
        <v>0</v>
      </c>
      <c r="AH25" s="42" t="n">
        <v>0</v>
      </c>
      <c r="AI25" s="42" t="n">
        <v>0</v>
      </c>
      <c r="AJ25" s="42" t="n">
        <v>0</v>
      </c>
      <c r="AK25" s="42" t="n">
        <v>0</v>
      </c>
      <c r="AL25" s="42" t="n">
        <v>0</v>
      </c>
      <c r="AM25" s="42" t="n">
        <v>0</v>
      </c>
      <c r="AN25" s="42" t="n">
        <v>0</v>
      </c>
      <c r="AO25" s="42" t="n">
        <v>0</v>
      </c>
      <c r="AP25" s="42" t="n">
        <v>0</v>
      </c>
      <c r="AQ25" s="42" t="n">
        <v>0</v>
      </c>
      <c r="AR25" s="42" t="n">
        <v>0</v>
      </c>
      <c r="AS25" s="42" t="n">
        <v>0</v>
      </c>
      <c r="AT25" s="42" t="n">
        <v>0</v>
      </c>
      <c r="AU25" s="42"/>
      <c r="AV25" s="42" t="n">
        <f aca="false">SUM(N25:AU25)</f>
        <v>50</v>
      </c>
      <c r="AW25" s="42" t="n">
        <v>3036</v>
      </c>
      <c r="AX25" s="42" t="n">
        <v>0</v>
      </c>
      <c r="AY25" s="42" t="n">
        <f aca="false">+AV25+AW25+AX25</f>
        <v>3086</v>
      </c>
      <c r="AZ25" s="42" t="n">
        <f aca="false">+K25-AY25</f>
        <v>0</v>
      </c>
      <c r="BA25" s="46"/>
    </row>
    <row r="26" customFormat="false" ht="12.75" hidden="false" customHeight="false" outlineLevel="0" collapsed="false">
      <c r="A26" s="37" t="s">
        <v>36</v>
      </c>
      <c r="B26" s="38" t="s">
        <v>126</v>
      </c>
      <c r="C26" s="39" t="s">
        <v>127</v>
      </c>
      <c r="D26" s="40" t="n">
        <v>100026</v>
      </c>
      <c r="E26" s="41" t="n">
        <f aca="false">360+33+60</f>
        <v>453</v>
      </c>
      <c r="F26" s="42" t="n">
        <v>25</v>
      </c>
      <c r="G26" s="42" t="n">
        <v>1</v>
      </c>
      <c r="H26" s="42" t="n">
        <f aca="false">57+6</f>
        <v>63</v>
      </c>
      <c r="I26" s="42" t="n">
        <f aca="false">18+47</f>
        <v>65</v>
      </c>
      <c r="J26" s="42" t="n">
        <v>0</v>
      </c>
      <c r="K26" s="42" t="n">
        <f aca="false">SUM(E26:J26)</f>
        <v>607</v>
      </c>
      <c r="L26" s="43"/>
      <c r="M26" s="53" t="s">
        <v>128</v>
      </c>
      <c r="N26" s="42" t="n">
        <v>15</v>
      </c>
      <c r="O26" s="42" t="n">
        <v>39</v>
      </c>
      <c r="P26" s="42" t="n">
        <v>7</v>
      </c>
      <c r="Q26" s="42" t="n">
        <v>8</v>
      </c>
      <c r="R26" s="42" t="n">
        <v>0</v>
      </c>
      <c r="S26" s="42" t="n">
        <v>0</v>
      </c>
      <c r="T26" s="42" t="n">
        <v>0</v>
      </c>
      <c r="U26" s="42" t="n">
        <v>52</v>
      </c>
      <c r="V26" s="42" t="n">
        <v>0</v>
      </c>
      <c r="W26" s="42" t="n">
        <v>0</v>
      </c>
      <c r="X26" s="42" t="n">
        <f aca="false">243-15</f>
        <v>228</v>
      </c>
      <c r="Y26" s="42" t="n">
        <v>0</v>
      </c>
      <c r="Z26" s="42" t="n">
        <v>0</v>
      </c>
      <c r="AA26" s="42" t="n">
        <v>0</v>
      </c>
      <c r="AB26" s="42" t="n">
        <v>0</v>
      </c>
      <c r="AC26" s="42" t="n">
        <v>0</v>
      </c>
      <c r="AD26" s="42" t="n">
        <v>43</v>
      </c>
      <c r="AE26" s="42" t="n">
        <v>12</v>
      </c>
      <c r="AF26" s="42" t="n">
        <v>42</v>
      </c>
      <c r="AG26" s="42" t="n">
        <v>9</v>
      </c>
      <c r="AH26" s="42" t="n">
        <v>0</v>
      </c>
      <c r="AI26" s="42" t="n">
        <v>0</v>
      </c>
      <c r="AJ26" s="42" t="n">
        <v>0</v>
      </c>
      <c r="AK26" s="42" t="n">
        <v>0</v>
      </c>
      <c r="AL26" s="42" t="n">
        <v>0</v>
      </c>
      <c r="AM26" s="42" t="n">
        <v>0</v>
      </c>
      <c r="AN26" s="42" t="n">
        <v>0</v>
      </c>
      <c r="AO26" s="42" t="n">
        <v>0</v>
      </c>
      <c r="AP26" s="42" t="n">
        <v>15</v>
      </c>
      <c r="AQ26" s="42" t="n">
        <v>0</v>
      </c>
      <c r="AR26" s="42" t="n">
        <v>0</v>
      </c>
      <c r="AS26" s="42" t="n">
        <v>0</v>
      </c>
      <c r="AT26" s="42" t="n">
        <v>0</v>
      </c>
      <c r="AU26" s="42"/>
      <c r="AV26" s="45" t="n">
        <f aca="false">SUM(N26:AU26)</f>
        <v>470</v>
      </c>
      <c r="AW26" s="42" t="n">
        <v>137</v>
      </c>
      <c r="AX26" s="42" t="n">
        <v>0</v>
      </c>
      <c r="AY26" s="42" t="n">
        <f aca="false">+AV26+AW26+AX26</f>
        <v>607</v>
      </c>
      <c r="AZ26" s="42" t="n">
        <f aca="false">+K26-AY26</f>
        <v>0</v>
      </c>
      <c r="BA26" s="46"/>
    </row>
    <row r="27" customFormat="false" ht="12.75" hidden="false" customHeight="false" outlineLevel="0" collapsed="false">
      <c r="A27" s="37" t="n">
        <v>11</v>
      </c>
      <c r="B27" s="39" t="s">
        <v>129</v>
      </c>
      <c r="C27" s="39" t="s">
        <v>130</v>
      </c>
      <c r="D27" s="40" t="n">
        <v>100027</v>
      </c>
      <c r="E27" s="41" t="n">
        <f aca="false">6745+894+1030</f>
        <v>8669</v>
      </c>
      <c r="F27" s="42" t="n">
        <v>933</v>
      </c>
      <c r="G27" s="42" t="n">
        <v>114</v>
      </c>
      <c r="H27" s="42" t="n">
        <f aca="false">2854+17+96</f>
        <v>2967</v>
      </c>
      <c r="I27" s="42" t="n">
        <f aca="false">420+897</f>
        <v>1317</v>
      </c>
      <c r="J27" s="42" t="n">
        <v>184</v>
      </c>
      <c r="K27" s="42" t="n">
        <f aca="false">SUM(E27:J27)</f>
        <v>14184</v>
      </c>
      <c r="L27" s="43"/>
      <c r="M27" s="41" t="s">
        <v>131</v>
      </c>
      <c r="N27" s="42" t="n">
        <v>0</v>
      </c>
      <c r="O27" s="42" t="n">
        <v>0</v>
      </c>
      <c r="P27" s="42" t="n">
        <v>0</v>
      </c>
      <c r="Q27" s="42" t="n">
        <v>0</v>
      </c>
      <c r="R27" s="42" t="n">
        <v>0</v>
      </c>
      <c r="S27" s="42" t="n">
        <v>0</v>
      </c>
      <c r="T27" s="42" t="n">
        <v>0</v>
      </c>
      <c r="U27" s="42" t="n">
        <v>0</v>
      </c>
      <c r="V27" s="42" t="n">
        <v>100</v>
      </c>
      <c r="W27" s="42" t="n">
        <v>0</v>
      </c>
      <c r="X27" s="42" t="n">
        <f aca="false">251-15</f>
        <v>236</v>
      </c>
      <c r="Y27" s="42" t="n">
        <v>0</v>
      </c>
      <c r="Z27" s="42" t="n">
        <v>0</v>
      </c>
      <c r="AA27" s="42" t="n">
        <v>0</v>
      </c>
      <c r="AB27" s="42" t="n">
        <v>180</v>
      </c>
      <c r="AC27" s="42" t="n">
        <v>0</v>
      </c>
      <c r="AD27" s="42" t="n">
        <v>192</v>
      </c>
      <c r="AE27" s="42" t="n">
        <v>67</v>
      </c>
      <c r="AF27" s="42" t="n">
        <v>25</v>
      </c>
      <c r="AG27" s="42" t="n">
        <v>0</v>
      </c>
      <c r="AH27" s="42" t="n">
        <v>907</v>
      </c>
      <c r="AI27" s="42" t="n">
        <v>907</v>
      </c>
      <c r="AJ27" s="42" t="n">
        <v>624</v>
      </c>
      <c r="AK27" s="42" t="n">
        <v>38</v>
      </c>
      <c r="AL27" s="42" t="n">
        <f aca="false">907-499</f>
        <v>408</v>
      </c>
      <c r="AM27" s="42" t="n">
        <v>0</v>
      </c>
      <c r="AN27" s="42" t="n">
        <v>0</v>
      </c>
      <c r="AO27" s="42" t="n">
        <f aca="false">499</f>
        <v>499</v>
      </c>
      <c r="AP27" s="42" t="n">
        <v>15</v>
      </c>
      <c r="AQ27" s="42" t="n">
        <v>0</v>
      </c>
      <c r="AR27" s="42" t="n">
        <v>0</v>
      </c>
      <c r="AS27" s="42" t="n">
        <v>0</v>
      </c>
      <c r="AT27" s="42" t="n">
        <v>0</v>
      </c>
      <c r="AU27" s="42"/>
      <c r="AV27" s="42" t="n">
        <f aca="false">SUM(N27:AU27)</f>
        <v>4198</v>
      </c>
      <c r="AW27" s="42" t="n">
        <v>9986</v>
      </c>
      <c r="AX27" s="42" t="n">
        <v>0</v>
      </c>
      <c r="AY27" s="42" t="n">
        <f aca="false">+AV27+AW27+AX27</f>
        <v>14184</v>
      </c>
      <c r="AZ27" s="42" t="n">
        <f aca="false">+K27-AY27</f>
        <v>0</v>
      </c>
      <c r="BA27" s="46"/>
    </row>
    <row r="28" customFormat="false" ht="12.75" hidden="false" customHeight="false" outlineLevel="0" collapsed="false">
      <c r="A28" s="37" t="n">
        <v>11</v>
      </c>
      <c r="B28" s="39" t="s">
        <v>132</v>
      </c>
      <c r="C28" s="39" t="s">
        <v>133</v>
      </c>
      <c r="D28" s="40" t="n">
        <v>100028</v>
      </c>
      <c r="E28" s="41" t="n">
        <f aca="false">2200+90+252</f>
        <v>2542</v>
      </c>
      <c r="F28" s="42" t="n">
        <v>102</v>
      </c>
      <c r="G28" s="42" t="n">
        <v>20</v>
      </c>
      <c r="H28" s="42" t="n">
        <f aca="false">380+45</f>
        <v>425</v>
      </c>
      <c r="I28" s="42" t="n">
        <f aca="false">54+255</f>
        <v>309</v>
      </c>
      <c r="J28" s="42" t="n">
        <v>87</v>
      </c>
      <c r="K28" s="42" t="n">
        <f aca="false">SUM(E28:J28)</f>
        <v>3485</v>
      </c>
      <c r="L28" s="43"/>
      <c r="M28" s="41" t="s">
        <v>134</v>
      </c>
      <c r="N28" s="42" t="n">
        <v>0</v>
      </c>
      <c r="O28" s="42" t="n">
        <v>0</v>
      </c>
      <c r="P28" s="42" t="n">
        <v>0</v>
      </c>
      <c r="Q28" s="42" t="n">
        <v>0</v>
      </c>
      <c r="R28" s="42" t="n">
        <v>0</v>
      </c>
      <c r="S28" s="42" t="n">
        <v>0</v>
      </c>
      <c r="T28" s="42" t="n">
        <v>0</v>
      </c>
      <c r="U28" s="42" t="n">
        <v>0</v>
      </c>
      <c r="V28" s="42" t="n">
        <v>0</v>
      </c>
      <c r="W28" s="42" t="n">
        <v>0</v>
      </c>
      <c r="X28" s="42" t="n">
        <v>0</v>
      </c>
      <c r="Y28" s="42" t="n">
        <v>0</v>
      </c>
      <c r="Z28" s="42" t="n">
        <v>0</v>
      </c>
      <c r="AA28" s="42" t="n">
        <v>0</v>
      </c>
      <c r="AB28" s="42" t="n">
        <v>0</v>
      </c>
      <c r="AC28" s="42" t="n">
        <v>0</v>
      </c>
      <c r="AD28" s="42" t="n">
        <v>0</v>
      </c>
      <c r="AE28" s="42" t="n">
        <v>0</v>
      </c>
      <c r="AF28" s="42" t="n">
        <v>0</v>
      </c>
      <c r="AG28" s="42" t="n">
        <v>0</v>
      </c>
      <c r="AH28" s="42" t="n">
        <v>0</v>
      </c>
      <c r="AI28" s="42" t="n">
        <v>0</v>
      </c>
      <c r="AJ28" s="42" t="n">
        <v>0</v>
      </c>
      <c r="AK28" s="42" t="n">
        <v>0</v>
      </c>
      <c r="AL28" s="42" t="n">
        <v>0</v>
      </c>
      <c r="AM28" s="42" t="n">
        <v>0</v>
      </c>
      <c r="AN28" s="42" t="n">
        <v>0</v>
      </c>
      <c r="AO28" s="42" t="n">
        <v>0</v>
      </c>
      <c r="AP28" s="42" t="n">
        <v>0</v>
      </c>
      <c r="AQ28" s="42" t="n">
        <v>0</v>
      </c>
      <c r="AR28" s="42" t="n">
        <v>0</v>
      </c>
      <c r="AS28" s="42" t="n">
        <v>0</v>
      </c>
      <c r="AT28" s="42" t="n">
        <v>0</v>
      </c>
      <c r="AU28" s="42"/>
      <c r="AV28" s="42" t="n">
        <f aca="false">SUM(N28:AU28)</f>
        <v>0</v>
      </c>
      <c r="AW28" s="42" t="n">
        <v>3485</v>
      </c>
      <c r="AX28" s="42" t="n">
        <v>0</v>
      </c>
      <c r="AY28" s="42" t="n">
        <f aca="false">+AV28+AW28+AX28</f>
        <v>3485</v>
      </c>
      <c r="AZ28" s="42" t="n">
        <f aca="false">+K28-AY28</f>
        <v>0</v>
      </c>
      <c r="BA28" s="46"/>
    </row>
    <row r="29" customFormat="false" ht="12.75" hidden="false" customHeight="false" outlineLevel="0" collapsed="false">
      <c r="A29" s="37" t="s">
        <v>36</v>
      </c>
      <c r="B29" s="38" t="s">
        <v>135</v>
      </c>
      <c r="C29" s="39" t="s">
        <v>136</v>
      </c>
      <c r="D29" s="40" t="n">
        <v>100029</v>
      </c>
      <c r="E29" s="41" t="n">
        <f aca="false">746+75+124</f>
        <v>945</v>
      </c>
      <c r="F29" s="42" t="n">
        <v>176</v>
      </c>
      <c r="G29" s="42" t="n">
        <v>6</v>
      </c>
      <c r="H29" s="42" t="n">
        <f aca="false">106+1+36</f>
        <v>143</v>
      </c>
      <c r="I29" s="42" t="n">
        <f aca="false">36+74</f>
        <v>110</v>
      </c>
      <c r="J29" s="42" t="n">
        <v>8</v>
      </c>
      <c r="K29" s="42" t="n">
        <f aca="false">SUM(E29:J29)</f>
        <v>1388</v>
      </c>
      <c r="L29" s="43"/>
      <c r="M29" s="41" t="s">
        <v>137</v>
      </c>
      <c r="N29" s="42" t="n">
        <v>79</v>
      </c>
      <c r="O29" s="42" t="n">
        <v>123</v>
      </c>
      <c r="P29" s="42" t="n">
        <v>0</v>
      </c>
      <c r="Q29" s="42" t="n">
        <v>0</v>
      </c>
      <c r="R29" s="42" t="n">
        <v>0</v>
      </c>
      <c r="S29" s="42" t="n">
        <v>0</v>
      </c>
      <c r="T29" s="42" t="n">
        <v>0</v>
      </c>
      <c r="U29" s="42" t="n">
        <v>304</v>
      </c>
      <c r="V29" s="42" t="n">
        <v>0</v>
      </c>
      <c r="W29" s="42" t="n">
        <v>0</v>
      </c>
      <c r="X29" s="42" t="n">
        <f aca="false">249-15</f>
        <v>234</v>
      </c>
      <c r="Y29" s="42" t="n">
        <v>0</v>
      </c>
      <c r="Z29" s="42" t="n">
        <v>43</v>
      </c>
      <c r="AA29" s="42" t="n">
        <v>0</v>
      </c>
      <c r="AB29" s="42" t="n">
        <v>0</v>
      </c>
      <c r="AC29" s="42" t="n">
        <v>0</v>
      </c>
      <c r="AD29" s="42" t="n">
        <v>100</v>
      </c>
      <c r="AE29" s="42" t="n">
        <v>150</v>
      </c>
      <c r="AF29" s="42" t="n">
        <v>75</v>
      </c>
      <c r="AG29" s="42" t="n">
        <v>10</v>
      </c>
      <c r="AH29" s="42" t="n">
        <v>0</v>
      </c>
      <c r="AI29" s="42" t="n">
        <v>0</v>
      </c>
      <c r="AJ29" s="42" t="n">
        <v>0</v>
      </c>
      <c r="AK29" s="42" t="n">
        <v>0</v>
      </c>
      <c r="AL29" s="42" t="n">
        <v>0</v>
      </c>
      <c r="AM29" s="42" t="n">
        <v>0</v>
      </c>
      <c r="AN29" s="42" t="n">
        <v>0</v>
      </c>
      <c r="AO29" s="42" t="n">
        <v>0</v>
      </c>
      <c r="AP29" s="42" t="n">
        <v>15</v>
      </c>
      <c r="AQ29" s="42" t="n">
        <v>0</v>
      </c>
      <c r="AR29" s="42" t="n">
        <v>0</v>
      </c>
      <c r="AS29" s="42" t="n">
        <v>0</v>
      </c>
      <c r="AT29" s="42" t="n">
        <v>0</v>
      </c>
      <c r="AU29" s="42"/>
      <c r="AV29" s="42" t="n">
        <f aca="false">SUM(N29:AU29)</f>
        <v>1133</v>
      </c>
      <c r="AW29" s="42" t="n">
        <v>255</v>
      </c>
      <c r="AX29" s="42" t="n">
        <v>0</v>
      </c>
      <c r="AY29" s="42" t="n">
        <f aca="false">+AV29+AW29+AX29</f>
        <v>1388</v>
      </c>
      <c r="AZ29" s="42" t="n">
        <f aca="false">+K29-AY29</f>
        <v>0</v>
      </c>
      <c r="BA29" s="46"/>
    </row>
    <row r="30" customFormat="false" ht="12.75" hidden="false" customHeight="false" outlineLevel="0" collapsed="false">
      <c r="A30" s="37" t="n">
        <v>11</v>
      </c>
      <c r="B30" s="39" t="s">
        <v>138</v>
      </c>
      <c r="C30" s="39" t="s">
        <v>139</v>
      </c>
      <c r="D30" s="40" t="n">
        <v>100030</v>
      </c>
      <c r="E30" s="41" t="n">
        <f aca="false">1381+107+209</f>
        <v>1697</v>
      </c>
      <c r="F30" s="42" t="n">
        <v>45</v>
      </c>
      <c r="G30" s="42" t="n">
        <v>6</v>
      </c>
      <c r="H30" s="42" t="n">
        <f aca="false">1690+10+60</f>
        <v>1760</v>
      </c>
      <c r="I30" s="42" t="n">
        <f aca="false">58+152</f>
        <v>210</v>
      </c>
      <c r="J30" s="42" t="n">
        <v>900</v>
      </c>
      <c r="K30" s="42" t="n">
        <f aca="false">SUM(E30:J30)</f>
        <v>4618</v>
      </c>
      <c r="L30" s="43"/>
      <c r="M30" s="41" t="s">
        <v>140</v>
      </c>
      <c r="N30" s="42" t="n">
        <v>0</v>
      </c>
      <c r="O30" s="42" t="n">
        <v>0</v>
      </c>
      <c r="P30" s="42" t="n">
        <v>0</v>
      </c>
      <c r="Q30" s="42" t="n">
        <v>0</v>
      </c>
      <c r="R30" s="42" t="n">
        <v>0</v>
      </c>
      <c r="S30" s="42" t="n">
        <v>17</v>
      </c>
      <c r="T30" s="42" t="n">
        <v>0</v>
      </c>
      <c r="U30" s="42" t="n">
        <v>0</v>
      </c>
      <c r="V30" s="42" t="n">
        <v>67</v>
      </c>
      <c r="W30" s="42" t="n">
        <v>0</v>
      </c>
      <c r="X30" s="42" t="n">
        <f aca="false">304-26</f>
        <v>278</v>
      </c>
      <c r="Y30" s="42" t="n">
        <v>0</v>
      </c>
      <c r="Z30" s="42" t="n">
        <v>0</v>
      </c>
      <c r="AA30" s="42" t="n">
        <v>0</v>
      </c>
      <c r="AB30" s="42" t="n">
        <v>0</v>
      </c>
      <c r="AC30" s="42" t="n">
        <v>0</v>
      </c>
      <c r="AD30" s="42" t="n">
        <v>73</v>
      </c>
      <c r="AE30" s="42" t="n">
        <v>67</v>
      </c>
      <c r="AF30" s="42" t="n">
        <v>0</v>
      </c>
      <c r="AG30" s="42" t="n">
        <v>67</v>
      </c>
      <c r="AH30" s="42" t="n">
        <v>67</v>
      </c>
      <c r="AI30" s="42" t="n">
        <v>67</v>
      </c>
      <c r="AJ30" s="42" t="n">
        <v>0</v>
      </c>
      <c r="AK30" s="42" t="n">
        <v>0</v>
      </c>
      <c r="AL30" s="42" t="n">
        <f aca="false">67-37</f>
        <v>30</v>
      </c>
      <c r="AM30" s="42" t="n">
        <v>0</v>
      </c>
      <c r="AN30" s="42" t="n">
        <v>0</v>
      </c>
      <c r="AO30" s="42" t="n">
        <v>37</v>
      </c>
      <c r="AP30" s="42" t="n">
        <v>26</v>
      </c>
      <c r="AQ30" s="42" t="n">
        <v>0</v>
      </c>
      <c r="AR30" s="42" t="n">
        <v>17</v>
      </c>
      <c r="AS30" s="42" t="n">
        <v>0</v>
      </c>
      <c r="AT30" s="42" t="n">
        <v>0</v>
      </c>
      <c r="AU30" s="42"/>
      <c r="AV30" s="42" t="n">
        <f aca="false">SUM(N30:AU30)</f>
        <v>813</v>
      </c>
      <c r="AW30" s="42" t="n">
        <v>3805</v>
      </c>
      <c r="AX30" s="42" t="n">
        <v>0</v>
      </c>
      <c r="AY30" s="42" t="n">
        <f aca="false">+AV30+AW30+AX30</f>
        <v>4618</v>
      </c>
      <c r="AZ30" s="42" t="n">
        <f aca="false">+K30-AY30</f>
        <v>0</v>
      </c>
      <c r="BA30" s="46"/>
    </row>
    <row r="31" customFormat="false" ht="12.75" hidden="false" customHeight="false" outlineLevel="0" collapsed="false">
      <c r="A31" s="37" t="n">
        <v>11</v>
      </c>
      <c r="B31" s="39" t="s">
        <v>141</v>
      </c>
      <c r="C31" s="39" t="s">
        <v>142</v>
      </c>
      <c r="D31" s="40" t="n">
        <v>100031</v>
      </c>
      <c r="E31" s="41" t="n">
        <f aca="false">292+21+42</f>
        <v>355</v>
      </c>
      <c r="F31" s="42" t="n">
        <v>20</v>
      </c>
      <c r="G31" s="42" t="n">
        <v>6</v>
      </c>
      <c r="H31" s="42" t="n">
        <f aca="false">95+3+8</f>
        <v>106</v>
      </c>
      <c r="I31" s="42" t="n">
        <f aca="false">14+41</f>
        <v>55</v>
      </c>
      <c r="J31" s="42" t="n">
        <v>0</v>
      </c>
      <c r="K31" s="42" t="n">
        <f aca="false">SUM(E31:J31)</f>
        <v>542</v>
      </c>
      <c r="L31" s="43"/>
      <c r="M31" s="41" t="s">
        <v>143</v>
      </c>
      <c r="N31" s="42" t="n">
        <v>0</v>
      </c>
      <c r="O31" s="42" t="n">
        <v>0</v>
      </c>
      <c r="P31" s="42" t="n">
        <v>0</v>
      </c>
      <c r="Q31" s="42" t="n">
        <v>0</v>
      </c>
      <c r="R31" s="42" t="n">
        <v>0</v>
      </c>
      <c r="S31" s="42" t="n">
        <v>136</v>
      </c>
      <c r="T31" s="42" t="n">
        <v>190</v>
      </c>
      <c r="U31" s="42" t="n">
        <v>0</v>
      </c>
      <c r="V31" s="42" t="n">
        <v>0</v>
      </c>
      <c r="W31" s="42" t="n">
        <v>0</v>
      </c>
      <c r="X31" s="42" t="n">
        <v>0</v>
      </c>
      <c r="Y31" s="42" t="n">
        <v>0</v>
      </c>
      <c r="Z31" s="42" t="n">
        <v>0</v>
      </c>
      <c r="AA31" s="42" t="n">
        <v>0</v>
      </c>
      <c r="AB31" s="42" t="n">
        <v>0</v>
      </c>
      <c r="AC31" s="42" t="n">
        <v>0</v>
      </c>
      <c r="AD31" s="42" t="n">
        <v>0</v>
      </c>
      <c r="AE31" s="42" t="n">
        <v>0</v>
      </c>
      <c r="AF31" s="42" t="n">
        <v>0</v>
      </c>
      <c r="AG31" s="42" t="n">
        <v>0</v>
      </c>
      <c r="AH31" s="42" t="n">
        <v>0</v>
      </c>
      <c r="AI31" s="42" t="n">
        <v>0</v>
      </c>
      <c r="AJ31" s="42" t="n">
        <v>0</v>
      </c>
      <c r="AK31" s="42" t="n">
        <v>0</v>
      </c>
      <c r="AL31" s="42" t="n">
        <v>0</v>
      </c>
      <c r="AM31" s="42" t="n">
        <v>0</v>
      </c>
      <c r="AN31" s="42" t="n">
        <v>0</v>
      </c>
      <c r="AO31" s="42" t="n">
        <v>0</v>
      </c>
      <c r="AP31" s="42" t="n">
        <v>0</v>
      </c>
      <c r="AQ31" s="42" t="n">
        <v>0</v>
      </c>
      <c r="AR31" s="42" t="n">
        <v>0</v>
      </c>
      <c r="AS31" s="42" t="n">
        <v>0</v>
      </c>
      <c r="AT31" s="42" t="n">
        <v>0</v>
      </c>
      <c r="AU31" s="42"/>
      <c r="AV31" s="42" t="n">
        <f aca="false">SUM(N31:AU31)</f>
        <v>326</v>
      </c>
      <c r="AW31" s="42" t="n">
        <v>216</v>
      </c>
      <c r="AX31" s="42" t="n">
        <v>0</v>
      </c>
      <c r="AY31" s="42" t="n">
        <f aca="false">+AV31+AW31+AX31</f>
        <v>542</v>
      </c>
      <c r="AZ31" s="42" t="n">
        <f aca="false">+K31-AY31</f>
        <v>0</v>
      </c>
      <c r="BA31" s="46"/>
    </row>
    <row r="32" customFormat="false" ht="12.75" hidden="false" customHeight="false" outlineLevel="0" collapsed="false">
      <c r="A32" s="37" t="n">
        <v>11</v>
      </c>
      <c r="B32" s="38" t="s">
        <v>144</v>
      </c>
      <c r="C32" s="39" t="s">
        <v>94</v>
      </c>
      <c r="D32" s="40" t="n">
        <v>100032</v>
      </c>
      <c r="E32" s="41" t="n">
        <v>0</v>
      </c>
      <c r="F32" s="42" t="n">
        <v>0</v>
      </c>
      <c r="G32" s="42" t="n">
        <v>0</v>
      </c>
      <c r="H32" s="42" t="n">
        <v>0</v>
      </c>
      <c r="I32" s="42" t="n">
        <v>0</v>
      </c>
      <c r="J32" s="42" t="n">
        <v>0</v>
      </c>
      <c r="K32" s="42" t="n">
        <f aca="false">SUM(E32:J32)</f>
        <v>0</v>
      </c>
      <c r="L32" s="43"/>
      <c r="M32" s="41" t="s">
        <v>98</v>
      </c>
      <c r="N32" s="42" t="n">
        <v>0</v>
      </c>
      <c r="O32" s="42" t="n">
        <v>0</v>
      </c>
      <c r="P32" s="42" t="n">
        <v>0</v>
      </c>
      <c r="Q32" s="42" t="n">
        <v>0</v>
      </c>
      <c r="R32" s="42" t="n">
        <v>0</v>
      </c>
      <c r="S32" s="42" t="n">
        <v>0</v>
      </c>
      <c r="T32" s="42" t="n">
        <v>0</v>
      </c>
      <c r="U32" s="42" t="n">
        <v>0</v>
      </c>
      <c r="V32" s="42" t="n">
        <v>0</v>
      </c>
      <c r="W32" s="42" t="n">
        <v>0</v>
      </c>
      <c r="X32" s="42" t="n">
        <v>0</v>
      </c>
      <c r="Y32" s="42" t="n">
        <v>0</v>
      </c>
      <c r="Z32" s="42" t="n">
        <v>0</v>
      </c>
      <c r="AA32" s="42" t="n">
        <v>0</v>
      </c>
      <c r="AB32" s="42" t="n">
        <v>0</v>
      </c>
      <c r="AC32" s="42" t="n">
        <v>0</v>
      </c>
      <c r="AD32" s="42" t="n">
        <v>0</v>
      </c>
      <c r="AE32" s="42" t="n">
        <v>0</v>
      </c>
      <c r="AF32" s="42" t="n">
        <v>0</v>
      </c>
      <c r="AG32" s="42" t="n">
        <v>0</v>
      </c>
      <c r="AH32" s="42" t="n">
        <v>0</v>
      </c>
      <c r="AI32" s="42" t="n">
        <v>0</v>
      </c>
      <c r="AJ32" s="42" t="n">
        <v>0</v>
      </c>
      <c r="AK32" s="42" t="n">
        <v>0</v>
      </c>
      <c r="AL32" s="42" t="n">
        <v>0</v>
      </c>
      <c r="AM32" s="42" t="n">
        <v>0</v>
      </c>
      <c r="AN32" s="42" t="n">
        <v>0</v>
      </c>
      <c r="AO32" s="42" t="n">
        <v>0</v>
      </c>
      <c r="AP32" s="42" t="n">
        <v>0</v>
      </c>
      <c r="AQ32" s="42" t="n">
        <v>0</v>
      </c>
      <c r="AR32" s="42" t="n">
        <v>0</v>
      </c>
      <c r="AS32" s="42" t="n">
        <v>0</v>
      </c>
      <c r="AT32" s="42" t="n">
        <v>0</v>
      </c>
      <c r="AU32" s="42"/>
      <c r="AV32" s="42" t="n">
        <f aca="false">SUM(N32:AU32)</f>
        <v>0</v>
      </c>
      <c r="AW32" s="42" t="n">
        <v>0</v>
      </c>
      <c r="AX32" s="42" t="n">
        <v>0</v>
      </c>
      <c r="AY32" s="42" t="n">
        <f aca="false">+AV32+AW32+AX32</f>
        <v>0</v>
      </c>
      <c r="AZ32" s="42" t="n">
        <f aca="false">+K32-AY32</f>
        <v>0</v>
      </c>
      <c r="BA32" s="46"/>
    </row>
    <row r="33" customFormat="false" ht="12.75" hidden="false" customHeight="false" outlineLevel="0" collapsed="false">
      <c r="A33" s="37" t="s">
        <v>36</v>
      </c>
      <c r="B33" s="38" t="s">
        <v>145</v>
      </c>
      <c r="C33" s="39" t="s">
        <v>97</v>
      </c>
      <c r="D33" s="40" t="n">
        <v>100033</v>
      </c>
      <c r="E33" s="41" t="n">
        <f aca="false">317+43+56</f>
        <v>416</v>
      </c>
      <c r="F33" s="42" t="n">
        <v>22</v>
      </c>
      <c r="G33" s="42" t="n">
        <v>3</v>
      </c>
      <c r="H33" s="42" t="n">
        <f aca="false">174+25</f>
        <v>199</v>
      </c>
      <c r="I33" s="42" t="n">
        <f aca="false">25+42</f>
        <v>67</v>
      </c>
      <c r="J33" s="42" t="n">
        <v>2</v>
      </c>
      <c r="K33" s="42" t="n">
        <f aca="false">SUM(E33:J33)</f>
        <v>709</v>
      </c>
      <c r="L33" s="43"/>
      <c r="M33" s="41" t="s">
        <v>111</v>
      </c>
      <c r="N33" s="42" t="n">
        <v>11</v>
      </c>
      <c r="O33" s="42" t="n">
        <v>21</v>
      </c>
      <c r="P33" s="42" t="n">
        <v>23</v>
      </c>
      <c r="Q33" s="42" t="n">
        <v>24</v>
      </c>
      <c r="R33" s="42" t="n">
        <v>2</v>
      </c>
      <c r="S33" s="42" t="n">
        <v>0</v>
      </c>
      <c r="T33" s="42" t="n">
        <v>13</v>
      </c>
      <c r="U33" s="42" t="n">
        <v>83</v>
      </c>
      <c r="V33" s="42" t="n">
        <v>19</v>
      </c>
      <c r="W33" s="42" t="n">
        <v>0</v>
      </c>
      <c r="X33" s="42" t="n">
        <v>117</v>
      </c>
      <c r="Y33" s="42" t="n">
        <v>1</v>
      </c>
      <c r="Z33" s="42" t="n">
        <v>13</v>
      </c>
      <c r="AA33" s="42" t="n">
        <v>3</v>
      </c>
      <c r="AB33" s="42" t="n">
        <v>1</v>
      </c>
      <c r="AC33" s="42" t="n">
        <v>5</v>
      </c>
      <c r="AD33" s="42" t="n">
        <v>102</v>
      </c>
      <c r="AE33" s="42" t="n">
        <v>82</v>
      </c>
      <c r="AF33" s="42" t="n">
        <v>1</v>
      </c>
      <c r="AG33" s="42" t="n">
        <v>0</v>
      </c>
      <c r="AH33" s="42" t="n">
        <v>6</v>
      </c>
      <c r="AI33" s="42" t="n">
        <v>6</v>
      </c>
      <c r="AJ33" s="42" t="n">
        <v>3</v>
      </c>
      <c r="AK33" s="42" t="n">
        <v>7</v>
      </c>
      <c r="AL33" s="42" t="n">
        <v>2</v>
      </c>
      <c r="AM33" s="42" t="n">
        <v>53</v>
      </c>
      <c r="AN33" s="42" t="n">
        <v>0</v>
      </c>
      <c r="AO33" s="42" t="n">
        <v>31</v>
      </c>
      <c r="AP33" s="42" t="n">
        <v>8</v>
      </c>
      <c r="AQ33" s="42" t="n">
        <v>0</v>
      </c>
      <c r="AR33" s="42" t="n">
        <v>0</v>
      </c>
      <c r="AS33" s="42" t="n">
        <v>0</v>
      </c>
      <c r="AT33" s="42" t="n">
        <v>0</v>
      </c>
      <c r="AU33" s="42"/>
      <c r="AV33" s="42" t="n">
        <f aca="false">SUM(N33:AU33)</f>
        <v>637</v>
      </c>
      <c r="AW33" s="42" t="n">
        <v>72</v>
      </c>
      <c r="AX33" s="42" t="n">
        <v>0</v>
      </c>
      <c r="AY33" s="42" t="n">
        <f aca="false">+AV33+AW33+AX33</f>
        <v>709</v>
      </c>
      <c r="AZ33" s="42" t="n">
        <f aca="false">+K33-AY33</f>
        <v>0</v>
      </c>
      <c r="BA33" s="46"/>
    </row>
    <row r="34" customFormat="false" ht="12.75" hidden="false" customHeight="false" outlineLevel="0" collapsed="false">
      <c r="A34" s="37" t="s">
        <v>36</v>
      </c>
      <c r="B34" s="38" t="s">
        <v>146</v>
      </c>
      <c r="C34" s="39" t="s">
        <v>97</v>
      </c>
      <c r="D34" s="40" t="n">
        <v>100034</v>
      </c>
      <c r="E34" s="41" t="n">
        <f aca="false">85+8+18</f>
        <v>111</v>
      </c>
      <c r="F34" s="42" t="n">
        <v>27</v>
      </c>
      <c r="G34" s="42" t="n">
        <v>236</v>
      </c>
      <c r="H34" s="42" t="n">
        <f aca="false">238+2+15</f>
        <v>255</v>
      </c>
      <c r="I34" s="42" t="n">
        <f aca="false">4+87</f>
        <v>91</v>
      </c>
      <c r="J34" s="42" t="n">
        <v>-49</v>
      </c>
      <c r="K34" s="42" t="n">
        <f aca="false">SUM(E34:J34)</f>
        <v>671</v>
      </c>
      <c r="L34" s="43"/>
      <c r="M34" s="41" t="s">
        <v>147</v>
      </c>
      <c r="N34" s="42" t="n">
        <v>5</v>
      </c>
      <c r="O34" s="42" t="n">
        <v>7</v>
      </c>
      <c r="P34" s="42" t="n">
        <v>35</v>
      </c>
      <c r="Q34" s="42" t="n">
        <v>0</v>
      </c>
      <c r="R34" s="42" t="n">
        <v>4</v>
      </c>
      <c r="S34" s="42" t="n">
        <v>0</v>
      </c>
      <c r="T34" s="42" t="n">
        <v>0</v>
      </c>
      <c r="U34" s="42" t="n">
        <v>14</v>
      </c>
      <c r="V34" s="42" t="n">
        <v>25</v>
      </c>
      <c r="W34" s="42" t="n">
        <v>0</v>
      </c>
      <c r="X34" s="42" t="n">
        <v>158</v>
      </c>
      <c r="Y34" s="42" t="n">
        <v>1</v>
      </c>
      <c r="Z34" s="42" t="n">
        <v>2</v>
      </c>
      <c r="AA34" s="42" t="n">
        <v>4</v>
      </c>
      <c r="AB34" s="42" t="n">
        <v>11</v>
      </c>
      <c r="AC34" s="42" t="n">
        <v>8</v>
      </c>
      <c r="AD34" s="42" t="n">
        <v>75</v>
      </c>
      <c r="AE34" s="42" t="n">
        <v>68</v>
      </c>
      <c r="AF34" s="42" t="n">
        <v>2</v>
      </c>
      <c r="AG34" s="42" t="n">
        <v>15</v>
      </c>
      <c r="AH34" s="42" t="n">
        <v>8</v>
      </c>
      <c r="AI34" s="42" t="n">
        <v>6</v>
      </c>
      <c r="AJ34" s="42" t="n">
        <v>4</v>
      </c>
      <c r="AK34" s="42" t="n">
        <v>11</v>
      </c>
      <c r="AL34" s="42" t="n">
        <v>19</v>
      </c>
      <c r="AM34" s="42" t="n">
        <v>103</v>
      </c>
      <c r="AN34" s="42" t="n">
        <v>0</v>
      </c>
      <c r="AO34" s="42" t="n">
        <v>0</v>
      </c>
      <c r="AP34" s="42" t="n">
        <v>0</v>
      </c>
      <c r="AQ34" s="42" t="n">
        <v>0</v>
      </c>
      <c r="AR34" s="42" t="n">
        <v>0</v>
      </c>
      <c r="AS34" s="42" t="n">
        <v>0</v>
      </c>
      <c r="AT34" s="42" t="n">
        <v>0</v>
      </c>
      <c r="AU34" s="42"/>
      <c r="AV34" s="45" t="n">
        <f aca="false">SUM(N34:AU34)</f>
        <v>585</v>
      </c>
      <c r="AW34" s="42" t="n">
        <v>86</v>
      </c>
      <c r="AX34" s="42" t="n">
        <v>0</v>
      </c>
      <c r="AY34" s="42" t="n">
        <f aca="false">+AV34+AW34+AX34</f>
        <v>671</v>
      </c>
      <c r="AZ34" s="42" t="n">
        <f aca="false">+K34-AY34</f>
        <v>0</v>
      </c>
      <c r="BA34" s="46"/>
    </row>
    <row r="35" customFormat="false" ht="12.75" hidden="false" customHeight="false" outlineLevel="0" collapsed="false">
      <c r="A35" s="37" t="n">
        <v>11</v>
      </c>
      <c r="B35" s="39" t="s">
        <v>148</v>
      </c>
      <c r="C35" s="39" t="s">
        <v>149</v>
      </c>
      <c r="D35" s="40" t="n">
        <v>100035</v>
      </c>
      <c r="E35" s="41" t="n">
        <f aca="false">195+16+28</f>
        <v>239</v>
      </c>
      <c r="F35" s="42" t="n">
        <v>43</v>
      </c>
      <c r="G35" s="42" t="n">
        <v>4</v>
      </c>
      <c r="H35" s="42" t="n">
        <v>136</v>
      </c>
      <c r="I35" s="42" t="n">
        <f aca="false">6+36</f>
        <v>42</v>
      </c>
      <c r="J35" s="42" t="n">
        <v>-291</v>
      </c>
      <c r="K35" s="42" t="n">
        <f aca="false">SUM(E35:J35)</f>
        <v>173</v>
      </c>
      <c r="L35" s="43"/>
      <c r="M35" s="41" t="s">
        <v>150</v>
      </c>
      <c r="N35" s="42" t="n">
        <v>0</v>
      </c>
      <c r="O35" s="42" t="n">
        <v>0</v>
      </c>
      <c r="P35" s="42" t="n">
        <v>5</v>
      </c>
      <c r="Q35" s="42" t="n">
        <v>0</v>
      </c>
      <c r="R35" s="42" t="n">
        <v>0</v>
      </c>
      <c r="S35" s="42" t="n">
        <v>0</v>
      </c>
      <c r="T35" s="42" t="n">
        <v>0</v>
      </c>
      <c r="U35" s="42" t="n">
        <v>0</v>
      </c>
      <c r="V35" s="42" t="n">
        <v>11</v>
      </c>
      <c r="W35" s="42" t="n">
        <v>0</v>
      </c>
      <c r="X35" s="42" t="n">
        <v>35</v>
      </c>
      <c r="Y35" s="42" t="n">
        <v>0</v>
      </c>
      <c r="Z35" s="42" t="n">
        <v>0</v>
      </c>
      <c r="AA35" s="42" t="n">
        <v>0</v>
      </c>
      <c r="AB35" s="42" t="n">
        <v>16</v>
      </c>
      <c r="AC35" s="42" t="n">
        <v>3</v>
      </c>
      <c r="AD35" s="42" t="n">
        <v>17</v>
      </c>
      <c r="AE35" s="42" t="n">
        <v>16</v>
      </c>
      <c r="AF35" s="42" t="n">
        <v>7</v>
      </c>
      <c r="AG35" s="42" t="n">
        <v>0</v>
      </c>
      <c r="AH35" s="42" t="n">
        <v>7</v>
      </c>
      <c r="AI35" s="42" t="n">
        <v>14</v>
      </c>
      <c r="AJ35" s="42" t="n">
        <v>5</v>
      </c>
      <c r="AK35" s="42" t="n">
        <v>2</v>
      </c>
      <c r="AL35" s="42" t="n">
        <v>8</v>
      </c>
      <c r="AM35" s="42" t="n">
        <v>7</v>
      </c>
      <c r="AN35" s="42" t="n">
        <v>0</v>
      </c>
      <c r="AO35" s="42" t="n">
        <v>0</v>
      </c>
      <c r="AP35" s="42" t="n">
        <v>0</v>
      </c>
      <c r="AQ35" s="42" t="n">
        <v>0</v>
      </c>
      <c r="AR35" s="42" t="n">
        <v>0</v>
      </c>
      <c r="AS35" s="42" t="n">
        <v>0</v>
      </c>
      <c r="AT35" s="42" t="n">
        <v>0</v>
      </c>
      <c r="AU35" s="42"/>
      <c r="AV35" s="45" t="n">
        <f aca="false">SUM(N35:AU35)</f>
        <v>153</v>
      </c>
      <c r="AW35" s="42" t="n">
        <v>20</v>
      </c>
      <c r="AX35" s="42" t="n">
        <v>0</v>
      </c>
      <c r="AY35" s="42" t="n">
        <f aca="false">+AV35+AW35+AX35</f>
        <v>173</v>
      </c>
      <c r="AZ35" s="42" t="n">
        <f aca="false">+K35-AY35</f>
        <v>0</v>
      </c>
      <c r="BA35" s="46"/>
    </row>
    <row r="36" customFormat="false" ht="12.75" hidden="false" customHeight="false" outlineLevel="0" collapsed="false">
      <c r="A36" s="37" t="s">
        <v>36</v>
      </c>
      <c r="B36" s="38" t="s">
        <v>151</v>
      </c>
      <c r="C36" s="39" t="s">
        <v>152</v>
      </c>
      <c r="D36" s="40" t="n">
        <v>100039</v>
      </c>
      <c r="E36" s="41" t="n">
        <f aca="false">1985+190+284</f>
        <v>2459</v>
      </c>
      <c r="F36" s="42" t="n">
        <v>100</v>
      </c>
      <c r="G36" s="42" t="n">
        <v>24</v>
      </c>
      <c r="H36" s="42" t="n">
        <f aca="false">1096+3</f>
        <v>1099</v>
      </c>
      <c r="I36" s="42" t="n">
        <f aca="false">93+312</f>
        <v>405</v>
      </c>
      <c r="J36" s="42" t="n">
        <v>43</v>
      </c>
      <c r="K36" s="42" t="n">
        <f aca="false">SUM(E36:J36)</f>
        <v>4130</v>
      </c>
      <c r="L36" s="43"/>
      <c r="M36" s="41" t="s">
        <v>153</v>
      </c>
      <c r="N36" s="42" t="n">
        <v>0</v>
      </c>
      <c r="O36" s="42" t="n">
        <v>0</v>
      </c>
      <c r="P36" s="42" t="n">
        <v>0</v>
      </c>
      <c r="Q36" s="42" t="n">
        <v>0</v>
      </c>
      <c r="R36" s="42" t="n">
        <v>0</v>
      </c>
      <c r="S36" s="42" t="n">
        <v>25</v>
      </c>
      <c r="T36" s="42" t="n">
        <v>150</v>
      </c>
      <c r="U36" s="42" t="n">
        <v>0</v>
      </c>
      <c r="V36" s="42" t="n">
        <v>900</v>
      </c>
      <c r="W36" s="42" t="n">
        <v>0</v>
      </c>
      <c r="X36" s="42" t="n">
        <f aca="false">500-42</f>
        <v>458</v>
      </c>
      <c r="Y36" s="42" t="n">
        <v>0</v>
      </c>
      <c r="Z36" s="42" t="n">
        <v>0</v>
      </c>
      <c r="AA36" s="42" t="n">
        <v>0</v>
      </c>
      <c r="AB36" s="42" t="n">
        <v>0</v>
      </c>
      <c r="AC36" s="42" t="n">
        <v>0</v>
      </c>
      <c r="AD36" s="42" t="n">
        <v>30</v>
      </c>
      <c r="AE36" s="42" t="n">
        <v>250</v>
      </c>
      <c r="AF36" s="42" t="n">
        <v>1</v>
      </c>
      <c r="AG36" s="42" t="n">
        <v>180</v>
      </c>
      <c r="AH36" s="42" t="n">
        <v>0</v>
      </c>
      <c r="AI36" s="42" t="n">
        <v>440</v>
      </c>
      <c r="AJ36" s="42" t="n">
        <v>0</v>
      </c>
      <c r="AK36" s="42" t="n">
        <v>0</v>
      </c>
      <c r="AL36" s="42" t="n">
        <f aca="false">770-424-89</f>
        <v>257</v>
      </c>
      <c r="AM36" s="42" t="n">
        <v>0</v>
      </c>
      <c r="AN36" s="42" t="n">
        <v>0</v>
      </c>
      <c r="AO36" s="42" t="n">
        <f aca="false">424+89</f>
        <v>513</v>
      </c>
      <c r="AP36" s="42" t="n">
        <v>42</v>
      </c>
      <c r="AQ36" s="42" t="n">
        <v>30</v>
      </c>
      <c r="AR36" s="42" t="n">
        <v>5</v>
      </c>
      <c r="AS36" s="42" t="n">
        <v>25</v>
      </c>
      <c r="AT36" s="42" t="n">
        <v>0</v>
      </c>
      <c r="AU36" s="42"/>
      <c r="AV36" s="42" t="n">
        <f aca="false">SUM(N36:AU36)</f>
        <v>3306</v>
      </c>
      <c r="AW36" s="42" t="n">
        <v>824</v>
      </c>
      <c r="AX36" s="42" t="n">
        <v>0</v>
      </c>
      <c r="AY36" s="42" t="n">
        <f aca="false">+AV36+AW36+AX36</f>
        <v>4130</v>
      </c>
      <c r="AZ36" s="42" t="n">
        <f aca="false">+K36-AY36</f>
        <v>0</v>
      </c>
      <c r="BA36" s="46"/>
    </row>
    <row r="37" customFormat="false" ht="12.75" hidden="false" customHeight="false" outlineLevel="0" collapsed="false">
      <c r="A37" s="37" t="n">
        <v>11</v>
      </c>
      <c r="B37" s="39" t="s">
        <v>154</v>
      </c>
      <c r="C37" s="39" t="s">
        <v>155</v>
      </c>
      <c r="D37" s="40" t="n">
        <v>100040</v>
      </c>
      <c r="E37" s="41" t="n">
        <f aca="false">2982+305+381</f>
        <v>3668</v>
      </c>
      <c r="F37" s="42" t="n">
        <v>517</v>
      </c>
      <c r="G37" s="42" t="n">
        <v>42</v>
      </c>
      <c r="H37" s="42" t="n">
        <f aca="false">708+5+36+2</f>
        <v>751</v>
      </c>
      <c r="I37" s="42" t="n">
        <f aca="false">88+348</f>
        <v>436</v>
      </c>
      <c r="J37" s="42" t="n">
        <v>56</v>
      </c>
      <c r="K37" s="42" t="n">
        <f aca="false">SUM(E37:J37)</f>
        <v>5470</v>
      </c>
      <c r="L37" s="43"/>
      <c r="M37" s="41" t="s">
        <v>156</v>
      </c>
      <c r="N37" s="42" t="n">
        <v>0</v>
      </c>
      <c r="O37" s="42" t="n">
        <v>0</v>
      </c>
      <c r="P37" s="42" t="n">
        <v>133</v>
      </c>
      <c r="Q37" s="42" t="n">
        <v>141</v>
      </c>
      <c r="R37" s="42" t="n">
        <v>0</v>
      </c>
      <c r="S37" s="42" t="n">
        <v>0</v>
      </c>
      <c r="T37" s="42" t="n">
        <v>0</v>
      </c>
      <c r="U37" s="42" t="n">
        <v>0</v>
      </c>
      <c r="V37" s="42" t="n">
        <v>0</v>
      </c>
      <c r="W37" s="42" t="n">
        <v>0</v>
      </c>
      <c r="X37" s="42" t="n">
        <f aca="false">1092-102</f>
        <v>990</v>
      </c>
      <c r="Y37" s="42" t="n">
        <v>0</v>
      </c>
      <c r="Z37" s="42" t="n">
        <v>0</v>
      </c>
      <c r="AA37" s="42" t="n">
        <v>0</v>
      </c>
      <c r="AB37" s="42" t="n">
        <v>274</v>
      </c>
      <c r="AC37" s="42" t="n">
        <v>274</v>
      </c>
      <c r="AD37" s="42" t="n">
        <v>546</v>
      </c>
      <c r="AE37" s="42" t="n">
        <v>546</v>
      </c>
      <c r="AF37" s="42" t="n">
        <v>0</v>
      </c>
      <c r="AG37" s="42" t="n">
        <v>274</v>
      </c>
      <c r="AH37" s="42" t="n">
        <v>274</v>
      </c>
      <c r="AI37" s="42" t="n">
        <v>274</v>
      </c>
      <c r="AJ37" s="42" t="n">
        <v>274</v>
      </c>
      <c r="AK37" s="42" t="n">
        <v>0</v>
      </c>
      <c r="AL37" s="42" t="n">
        <v>0</v>
      </c>
      <c r="AM37" s="42" t="n">
        <v>0</v>
      </c>
      <c r="AN37" s="42" t="n">
        <v>0</v>
      </c>
      <c r="AO37" s="42" t="n">
        <v>0</v>
      </c>
      <c r="AP37" s="42" t="n">
        <v>102</v>
      </c>
      <c r="AQ37" s="42" t="n">
        <v>0</v>
      </c>
      <c r="AR37" s="42" t="n">
        <v>0</v>
      </c>
      <c r="AS37" s="42" t="n">
        <v>0</v>
      </c>
      <c r="AT37" s="42" t="n">
        <v>0</v>
      </c>
      <c r="AU37" s="42"/>
      <c r="AV37" s="45" t="n">
        <f aca="false">SUM(N37:AU37)</f>
        <v>4102</v>
      </c>
      <c r="AW37" s="42" t="n">
        <v>1368</v>
      </c>
      <c r="AX37" s="42" t="n">
        <v>0</v>
      </c>
      <c r="AY37" s="42" t="n">
        <f aca="false">+AV37+AW37+AX37</f>
        <v>5470</v>
      </c>
      <c r="AZ37" s="42" t="n">
        <f aca="false">+K37-AY37</f>
        <v>0</v>
      </c>
      <c r="BA37" s="46"/>
    </row>
    <row r="38" customFormat="false" ht="12.75" hidden="false" customHeight="false" outlineLevel="0" collapsed="false">
      <c r="A38" s="37" t="s">
        <v>36</v>
      </c>
      <c r="B38" s="38" t="s">
        <v>157</v>
      </c>
      <c r="C38" s="39" t="s">
        <v>155</v>
      </c>
      <c r="D38" s="40" t="n">
        <v>100041</v>
      </c>
      <c r="E38" s="41" t="n">
        <f aca="false">366+34+53</f>
        <v>453</v>
      </c>
      <c r="F38" s="42" t="n">
        <v>25</v>
      </c>
      <c r="G38" s="42" t="n">
        <v>0</v>
      </c>
      <c r="H38" s="42" t="n">
        <f aca="false">12+3</f>
        <v>15</v>
      </c>
      <c r="I38" s="42" t="n">
        <f aca="false">16+36</f>
        <v>52</v>
      </c>
      <c r="J38" s="42" t="n">
        <v>0</v>
      </c>
      <c r="K38" s="42" t="n">
        <f aca="false">SUM(E38:J38)</f>
        <v>545</v>
      </c>
      <c r="L38" s="43"/>
      <c r="M38" s="41" t="s">
        <v>156</v>
      </c>
      <c r="N38" s="42" t="n">
        <v>27</v>
      </c>
      <c r="O38" s="42" t="n">
        <v>81</v>
      </c>
      <c r="P38" s="42" t="n">
        <v>0</v>
      </c>
      <c r="Q38" s="42" t="n">
        <v>0</v>
      </c>
      <c r="R38" s="42" t="n">
        <v>0</v>
      </c>
      <c r="S38" s="42" t="n">
        <v>27</v>
      </c>
      <c r="T38" s="42" t="n">
        <v>27</v>
      </c>
      <c r="U38" s="42" t="n">
        <v>54</v>
      </c>
      <c r="V38" s="42" t="n">
        <v>0</v>
      </c>
      <c r="W38" s="42" t="n">
        <v>0</v>
      </c>
      <c r="X38" s="42" t="n">
        <f aca="false">83-7</f>
        <v>76</v>
      </c>
      <c r="Y38" s="42" t="n">
        <v>0</v>
      </c>
      <c r="Z38" s="42" t="n">
        <v>0</v>
      </c>
      <c r="AA38" s="42" t="n">
        <v>0</v>
      </c>
      <c r="AB38" s="42" t="n">
        <v>0</v>
      </c>
      <c r="AC38" s="42" t="n">
        <v>0</v>
      </c>
      <c r="AD38" s="42" t="n">
        <v>81</v>
      </c>
      <c r="AE38" s="42" t="n">
        <v>27</v>
      </c>
      <c r="AF38" s="42" t="n">
        <v>0</v>
      </c>
      <c r="AG38" s="42" t="n">
        <v>0</v>
      </c>
      <c r="AH38" s="42" t="n">
        <v>27</v>
      </c>
      <c r="AI38" s="42" t="n">
        <v>54</v>
      </c>
      <c r="AJ38" s="42" t="n">
        <v>27</v>
      </c>
      <c r="AK38" s="42" t="n">
        <v>0</v>
      </c>
      <c r="AL38" s="42" t="n">
        <f aca="false">27-15</f>
        <v>12</v>
      </c>
      <c r="AM38" s="42" t="n">
        <v>0</v>
      </c>
      <c r="AN38" s="42" t="n">
        <v>0</v>
      </c>
      <c r="AO38" s="42" t="n">
        <v>15</v>
      </c>
      <c r="AP38" s="42" t="n">
        <v>7</v>
      </c>
      <c r="AQ38" s="42" t="n">
        <v>0</v>
      </c>
      <c r="AR38" s="42" t="n">
        <v>0</v>
      </c>
      <c r="AS38" s="42" t="n">
        <v>0</v>
      </c>
      <c r="AT38" s="42" t="n">
        <v>0</v>
      </c>
      <c r="AU38" s="42"/>
      <c r="AV38" s="42" t="n">
        <f aca="false">SUM(N38:AU38)</f>
        <v>542</v>
      </c>
      <c r="AW38" s="42" t="n">
        <v>3</v>
      </c>
      <c r="AX38" s="42" t="n">
        <v>0</v>
      </c>
      <c r="AY38" s="42" t="n">
        <f aca="false">+AV38+AW38+AX38</f>
        <v>545</v>
      </c>
      <c r="AZ38" s="42" t="n">
        <f aca="false">+K38-AY38</f>
        <v>0</v>
      </c>
      <c r="BA38" s="46"/>
    </row>
    <row r="39" customFormat="false" ht="12.75" hidden="false" customHeight="false" outlineLevel="0" collapsed="false">
      <c r="A39" s="37" t="s">
        <v>36</v>
      </c>
      <c r="B39" s="39" t="s">
        <v>158</v>
      </c>
      <c r="C39" s="39" t="s">
        <v>159</v>
      </c>
      <c r="D39" s="40" t="n">
        <v>100042</v>
      </c>
      <c r="E39" s="41" t="n">
        <v>0</v>
      </c>
      <c r="F39" s="42" t="n">
        <v>1009</v>
      </c>
      <c r="G39" s="42" t="n">
        <v>139</v>
      </c>
      <c r="H39" s="42" t="n">
        <f aca="false">539+25+130</f>
        <v>694</v>
      </c>
      <c r="I39" s="42" t="n">
        <f aca="false">30+70</f>
        <v>100</v>
      </c>
      <c r="J39" s="42" t="n">
        <v>1</v>
      </c>
      <c r="K39" s="42" t="n">
        <f aca="false">SUM(E39:J39)</f>
        <v>1943</v>
      </c>
      <c r="L39" s="43"/>
      <c r="M39" s="41" t="s">
        <v>156</v>
      </c>
      <c r="N39" s="42" t="n">
        <v>0</v>
      </c>
      <c r="O39" s="42" t="n">
        <v>0</v>
      </c>
      <c r="P39" s="42" t="n">
        <v>0</v>
      </c>
      <c r="Q39" s="42" t="n">
        <v>0</v>
      </c>
      <c r="R39" s="42" t="n">
        <v>0</v>
      </c>
      <c r="S39" s="42" t="n">
        <v>0</v>
      </c>
      <c r="T39" s="42" t="n">
        <v>0</v>
      </c>
      <c r="U39" s="42" t="n">
        <v>0</v>
      </c>
      <c r="V39" s="42" t="n">
        <v>0</v>
      </c>
      <c r="W39" s="42" t="n">
        <v>0</v>
      </c>
      <c r="X39" s="42" t="n">
        <v>1450</v>
      </c>
      <c r="Y39" s="42" t="n">
        <v>0</v>
      </c>
      <c r="Z39" s="42" t="n">
        <v>0</v>
      </c>
      <c r="AA39" s="42" t="n">
        <v>0</v>
      </c>
      <c r="AB39" s="42" t="n">
        <v>0</v>
      </c>
      <c r="AC39" s="42" t="n">
        <v>0</v>
      </c>
      <c r="AD39" s="42" t="n">
        <v>358</v>
      </c>
      <c r="AE39" s="42" t="n">
        <v>134</v>
      </c>
      <c r="AF39" s="42" t="n">
        <v>0</v>
      </c>
      <c r="AG39" s="42" t="n">
        <v>0</v>
      </c>
      <c r="AH39" s="42" t="n">
        <v>0</v>
      </c>
      <c r="AI39" s="42" t="n">
        <v>0</v>
      </c>
      <c r="AJ39" s="42" t="n">
        <v>0</v>
      </c>
      <c r="AK39" s="42" t="n">
        <v>0</v>
      </c>
      <c r="AL39" s="42" t="n">
        <v>0</v>
      </c>
      <c r="AM39" s="42" t="n">
        <v>0</v>
      </c>
      <c r="AN39" s="42" t="n">
        <v>0</v>
      </c>
      <c r="AO39" s="42" t="n">
        <v>0</v>
      </c>
      <c r="AP39" s="42" t="n">
        <v>0</v>
      </c>
      <c r="AQ39" s="42" t="n">
        <v>0</v>
      </c>
      <c r="AR39" s="42" t="n">
        <v>0</v>
      </c>
      <c r="AS39" s="42" t="n">
        <v>0</v>
      </c>
      <c r="AT39" s="42" t="n">
        <v>0</v>
      </c>
      <c r="AU39" s="42"/>
      <c r="AV39" s="45" t="n">
        <f aca="false">SUM(N39:AU39)</f>
        <v>1942</v>
      </c>
      <c r="AW39" s="42" t="n">
        <v>1</v>
      </c>
      <c r="AX39" s="42" t="n">
        <v>0</v>
      </c>
      <c r="AY39" s="42" t="n">
        <f aca="false">+AV39+AW39+AX39</f>
        <v>1943</v>
      </c>
      <c r="AZ39" s="42" t="n">
        <f aca="false">+K39-AY39</f>
        <v>0</v>
      </c>
      <c r="BA39" s="46"/>
    </row>
    <row r="40" customFormat="false" ht="12.75" hidden="false" customHeight="false" outlineLevel="0" collapsed="false">
      <c r="A40" s="37" t="n">
        <v>11</v>
      </c>
      <c r="B40" s="39" t="s">
        <v>160</v>
      </c>
      <c r="C40" s="39" t="s">
        <v>120</v>
      </c>
      <c r="D40" s="40" t="n">
        <v>100044</v>
      </c>
      <c r="E40" s="41" t="n">
        <f aca="false">1749+35+186</f>
        <v>1970</v>
      </c>
      <c r="F40" s="42" t="n">
        <v>41</v>
      </c>
      <c r="G40" s="42" t="n">
        <v>1</v>
      </c>
      <c r="H40" s="42" t="n">
        <f aca="false">65+1+492</f>
        <v>558</v>
      </c>
      <c r="I40" s="42" t="n">
        <f aca="false">48+240</f>
        <v>288</v>
      </c>
      <c r="J40" s="42" t="n">
        <f aca="false">92+450</f>
        <v>542</v>
      </c>
      <c r="K40" s="42" t="n">
        <f aca="false">SUM(E40:J40)</f>
        <v>3400</v>
      </c>
      <c r="L40" s="43"/>
      <c r="M40" s="41" t="s">
        <v>108</v>
      </c>
      <c r="N40" s="42" t="n">
        <v>0</v>
      </c>
      <c r="O40" s="42" t="n">
        <v>0</v>
      </c>
      <c r="P40" s="42" t="n">
        <v>0</v>
      </c>
      <c r="Q40" s="42" t="n">
        <v>0</v>
      </c>
      <c r="R40" s="42" t="n">
        <v>0</v>
      </c>
      <c r="S40" s="42" t="n">
        <v>0</v>
      </c>
      <c r="T40" s="42" t="n">
        <v>0</v>
      </c>
      <c r="U40" s="42" t="n">
        <v>0</v>
      </c>
      <c r="V40" s="42" t="n">
        <v>0</v>
      </c>
      <c r="W40" s="42" t="n">
        <v>0</v>
      </c>
      <c r="X40" s="42" t="n">
        <v>0</v>
      </c>
      <c r="Y40" s="42" t="n">
        <v>0</v>
      </c>
      <c r="Z40" s="42" t="n">
        <v>0</v>
      </c>
      <c r="AA40" s="42" t="n">
        <v>0</v>
      </c>
      <c r="AB40" s="42" t="n">
        <v>0</v>
      </c>
      <c r="AC40" s="42" t="n">
        <v>0</v>
      </c>
      <c r="AD40" s="42" t="n">
        <v>0</v>
      </c>
      <c r="AE40" s="42" t="n">
        <v>0</v>
      </c>
      <c r="AF40" s="42" t="n">
        <v>0</v>
      </c>
      <c r="AG40" s="42" t="n">
        <v>0</v>
      </c>
      <c r="AH40" s="42" t="n">
        <v>0</v>
      </c>
      <c r="AI40" s="42" t="n">
        <v>0</v>
      </c>
      <c r="AJ40" s="42" t="n">
        <v>0</v>
      </c>
      <c r="AK40" s="42" t="n">
        <v>0</v>
      </c>
      <c r="AL40" s="42" t="n">
        <v>0</v>
      </c>
      <c r="AM40" s="42" t="n">
        <v>0</v>
      </c>
      <c r="AN40" s="42" t="n">
        <v>0</v>
      </c>
      <c r="AO40" s="42" t="n">
        <v>0</v>
      </c>
      <c r="AP40" s="42" t="n">
        <v>0</v>
      </c>
      <c r="AQ40" s="42" t="n">
        <v>0</v>
      </c>
      <c r="AR40" s="42" t="n">
        <v>0</v>
      </c>
      <c r="AS40" s="42" t="n">
        <v>0</v>
      </c>
      <c r="AT40" s="42" t="n">
        <v>0</v>
      </c>
      <c r="AU40" s="42"/>
      <c r="AV40" s="42" t="n">
        <f aca="false">SUM(N40:AU40)</f>
        <v>0</v>
      </c>
      <c r="AW40" s="42" t="n">
        <v>3400</v>
      </c>
      <c r="AX40" s="42" t="n">
        <v>0</v>
      </c>
      <c r="AY40" s="42" t="n">
        <f aca="false">+AV40+AW40+AX40</f>
        <v>3400</v>
      </c>
      <c r="AZ40" s="42" t="n">
        <f aca="false">+K40-AY40</f>
        <v>0</v>
      </c>
      <c r="BA40" s="46"/>
    </row>
    <row r="41" customFormat="false" ht="12.75" hidden="false" customHeight="false" outlineLevel="0" collapsed="false">
      <c r="A41" s="37" t="n">
        <v>11</v>
      </c>
      <c r="B41" s="39" t="s">
        <v>161</v>
      </c>
      <c r="C41" s="39" t="s">
        <v>162</v>
      </c>
      <c r="D41" s="40" t="n">
        <v>100045</v>
      </c>
      <c r="E41" s="41" t="n">
        <f aca="false">1600+144+410</f>
        <v>2154</v>
      </c>
      <c r="F41" s="42" t="n">
        <v>80</v>
      </c>
      <c r="G41" s="42" t="n">
        <v>5</v>
      </c>
      <c r="H41" s="42" t="n">
        <f aca="false">17+1</f>
        <v>18</v>
      </c>
      <c r="I41" s="42" t="n">
        <f aca="false">40+22</f>
        <v>62</v>
      </c>
      <c r="J41" s="42" t="n">
        <v>0</v>
      </c>
      <c r="K41" s="42" t="n">
        <f aca="false">SUM(E41:J41)</f>
        <v>2319</v>
      </c>
      <c r="L41" s="43"/>
      <c r="M41" s="41" t="s">
        <v>163</v>
      </c>
      <c r="N41" s="42" t="n">
        <v>0</v>
      </c>
      <c r="O41" s="42" t="n">
        <v>0</v>
      </c>
      <c r="P41" s="42" t="n">
        <v>0</v>
      </c>
      <c r="Q41" s="42" t="n">
        <v>0</v>
      </c>
      <c r="R41" s="42" t="n">
        <v>0</v>
      </c>
      <c r="S41" s="42" t="n">
        <v>0</v>
      </c>
      <c r="T41" s="42" t="n">
        <v>0</v>
      </c>
      <c r="U41" s="42" t="n">
        <v>0</v>
      </c>
      <c r="V41" s="42" t="n">
        <v>0</v>
      </c>
      <c r="W41" s="42" t="n">
        <v>0</v>
      </c>
      <c r="X41" s="42" t="n">
        <v>0</v>
      </c>
      <c r="Y41" s="42" t="n">
        <v>0</v>
      </c>
      <c r="Z41" s="42" t="n">
        <v>0</v>
      </c>
      <c r="AA41" s="42" t="n">
        <v>0</v>
      </c>
      <c r="AB41" s="42" t="n">
        <v>0</v>
      </c>
      <c r="AC41" s="42" t="n">
        <v>0</v>
      </c>
      <c r="AD41" s="42" t="n">
        <v>0</v>
      </c>
      <c r="AE41" s="42" t="n">
        <v>0</v>
      </c>
      <c r="AF41" s="42" t="n">
        <v>0</v>
      </c>
      <c r="AG41" s="42" t="n">
        <v>0</v>
      </c>
      <c r="AH41" s="42" t="n">
        <v>0</v>
      </c>
      <c r="AI41" s="42" t="n">
        <v>0</v>
      </c>
      <c r="AJ41" s="42" t="n">
        <v>0</v>
      </c>
      <c r="AK41" s="42" t="n">
        <v>0</v>
      </c>
      <c r="AL41" s="42" t="n">
        <v>0</v>
      </c>
      <c r="AM41" s="42" t="n">
        <v>0</v>
      </c>
      <c r="AN41" s="42" t="n">
        <v>0</v>
      </c>
      <c r="AO41" s="42" t="n">
        <v>0</v>
      </c>
      <c r="AP41" s="42" t="n">
        <v>0</v>
      </c>
      <c r="AQ41" s="42" t="n">
        <v>0</v>
      </c>
      <c r="AR41" s="42" t="n">
        <v>0</v>
      </c>
      <c r="AS41" s="42" t="n">
        <v>0</v>
      </c>
      <c r="AT41" s="42" t="n">
        <v>0</v>
      </c>
      <c r="AU41" s="42"/>
      <c r="AV41" s="42" t="n">
        <f aca="false">SUM(N41:AU41)</f>
        <v>0</v>
      </c>
      <c r="AW41" s="42" t="n">
        <v>2319</v>
      </c>
      <c r="AX41" s="42" t="n">
        <v>0</v>
      </c>
      <c r="AY41" s="42" t="n">
        <f aca="false">+AV41+AW41+AX41</f>
        <v>2319</v>
      </c>
      <c r="AZ41" s="42" t="n">
        <f aca="false">+K41-AY41</f>
        <v>0</v>
      </c>
      <c r="BA41" s="46"/>
    </row>
    <row r="42" customFormat="false" ht="12.75" hidden="false" customHeight="false" outlineLevel="0" collapsed="false">
      <c r="A42" s="37" t="n">
        <v>11</v>
      </c>
      <c r="B42" s="39" t="s">
        <v>164</v>
      </c>
      <c r="C42" s="39" t="s">
        <v>165</v>
      </c>
      <c r="D42" s="40" t="n">
        <v>100046</v>
      </c>
      <c r="E42" s="41" t="n">
        <v>0</v>
      </c>
      <c r="F42" s="42" t="n">
        <v>50</v>
      </c>
      <c r="G42" s="42" t="n">
        <v>0</v>
      </c>
      <c r="H42" s="42" t="n">
        <f aca="false">10+18400</f>
        <v>18410</v>
      </c>
      <c r="I42" s="42" t="n">
        <v>0</v>
      </c>
      <c r="J42" s="42" t="n">
        <v>0</v>
      </c>
      <c r="K42" s="42" t="n">
        <f aca="false">SUM(E42:J42)</f>
        <v>18460</v>
      </c>
      <c r="L42" s="43"/>
      <c r="M42" s="41" t="s">
        <v>98</v>
      </c>
      <c r="N42" s="42" t="n">
        <v>0</v>
      </c>
      <c r="O42" s="42" t="n">
        <v>0</v>
      </c>
      <c r="P42" s="42" t="n">
        <v>0</v>
      </c>
      <c r="Q42" s="42" t="n">
        <v>0</v>
      </c>
      <c r="R42" s="42" t="n">
        <v>0</v>
      </c>
      <c r="S42" s="42" t="n">
        <v>0</v>
      </c>
      <c r="T42" s="42" t="n">
        <v>0</v>
      </c>
      <c r="U42" s="42" t="n">
        <v>0</v>
      </c>
      <c r="V42" s="42" t="n">
        <v>0</v>
      </c>
      <c r="W42" s="42" t="n">
        <v>0</v>
      </c>
      <c r="X42" s="42" t="n">
        <v>0</v>
      </c>
      <c r="Y42" s="42" t="n">
        <v>0</v>
      </c>
      <c r="Z42" s="42" t="n">
        <v>0</v>
      </c>
      <c r="AA42" s="42" t="n">
        <v>0</v>
      </c>
      <c r="AB42" s="42" t="n">
        <v>0</v>
      </c>
      <c r="AC42" s="42" t="n">
        <v>0</v>
      </c>
      <c r="AD42" s="42" t="n">
        <v>0</v>
      </c>
      <c r="AE42" s="42" t="n">
        <v>0</v>
      </c>
      <c r="AF42" s="42" t="n">
        <v>0</v>
      </c>
      <c r="AG42" s="42" t="n">
        <v>0</v>
      </c>
      <c r="AH42" s="42" t="n">
        <v>0</v>
      </c>
      <c r="AI42" s="42" t="n">
        <v>0</v>
      </c>
      <c r="AJ42" s="42" t="n">
        <v>0</v>
      </c>
      <c r="AK42" s="42" t="n">
        <v>0</v>
      </c>
      <c r="AL42" s="42" t="n">
        <v>0</v>
      </c>
      <c r="AM42" s="42" t="n">
        <v>0</v>
      </c>
      <c r="AN42" s="42" t="n">
        <v>0</v>
      </c>
      <c r="AO42" s="42" t="n">
        <v>0</v>
      </c>
      <c r="AP42" s="42" t="n">
        <v>0</v>
      </c>
      <c r="AQ42" s="42" t="n">
        <v>0</v>
      </c>
      <c r="AR42" s="42" t="n">
        <v>0</v>
      </c>
      <c r="AS42" s="42" t="n">
        <v>0</v>
      </c>
      <c r="AT42" s="42" t="n">
        <v>0</v>
      </c>
      <c r="AU42" s="42"/>
      <c r="AV42" s="42" t="n">
        <f aca="false">SUM(N42:AU42)</f>
        <v>0</v>
      </c>
      <c r="AW42" s="42" t="n">
        <v>18460</v>
      </c>
      <c r="AX42" s="42" t="n">
        <v>0</v>
      </c>
      <c r="AY42" s="42" t="n">
        <f aca="false">+AV42+AW42+AX42</f>
        <v>18460</v>
      </c>
      <c r="AZ42" s="42" t="n">
        <f aca="false">+K42-AY42</f>
        <v>0</v>
      </c>
      <c r="BA42" s="46"/>
    </row>
    <row r="43" customFormat="false" ht="12.75" hidden="false" customHeight="false" outlineLevel="0" collapsed="false">
      <c r="A43" s="37" t="s">
        <v>36</v>
      </c>
      <c r="B43" s="38" t="s">
        <v>166</v>
      </c>
      <c r="C43" s="39" t="s">
        <v>167</v>
      </c>
      <c r="D43" s="40" t="n">
        <v>100052</v>
      </c>
      <c r="E43" s="41" t="n">
        <f aca="false">3139+265+468</f>
        <v>3872</v>
      </c>
      <c r="F43" s="42" t="n">
        <v>558</v>
      </c>
      <c r="G43" s="42" t="n">
        <v>25</v>
      </c>
      <c r="H43" s="42" t="n">
        <f aca="false">215+8+120</f>
        <v>343</v>
      </c>
      <c r="I43" s="42" t="n">
        <f aca="false">120+355</f>
        <v>475</v>
      </c>
      <c r="J43" s="42" t="n">
        <v>361</v>
      </c>
      <c r="K43" s="42" t="n">
        <f aca="false">SUM(E43:J43)</f>
        <v>5634</v>
      </c>
      <c r="L43" s="43"/>
      <c r="M43" s="41" t="s">
        <v>156</v>
      </c>
      <c r="N43" s="41" t="n">
        <v>0</v>
      </c>
      <c r="O43" s="41" t="n">
        <v>0</v>
      </c>
      <c r="P43" s="41" t="n">
        <v>27</v>
      </c>
      <c r="Q43" s="41" t="n">
        <v>29</v>
      </c>
      <c r="R43" s="41" t="n">
        <v>0</v>
      </c>
      <c r="S43" s="41" t="n">
        <v>0</v>
      </c>
      <c r="T43" s="41" t="n">
        <v>0</v>
      </c>
      <c r="U43" s="41" t="n">
        <v>0</v>
      </c>
      <c r="V43" s="41" t="n">
        <v>0</v>
      </c>
      <c r="W43" s="42" t="n">
        <v>0</v>
      </c>
      <c r="X43" s="41" t="n">
        <f aca="false">2986-418-180</f>
        <v>2388</v>
      </c>
      <c r="Y43" s="41" t="n">
        <v>0</v>
      </c>
      <c r="Z43" s="41" t="n">
        <v>0</v>
      </c>
      <c r="AA43" s="41" t="n">
        <v>423</v>
      </c>
      <c r="AB43" s="41" t="n">
        <v>423</v>
      </c>
      <c r="AC43" s="41" t="n">
        <v>0</v>
      </c>
      <c r="AD43" s="41" t="n">
        <v>901</v>
      </c>
      <c r="AE43" s="41" t="n">
        <v>451</v>
      </c>
      <c r="AF43" s="41" t="n">
        <v>0</v>
      </c>
      <c r="AG43" s="41" t="n">
        <v>0</v>
      </c>
      <c r="AH43" s="41" t="n">
        <v>169</v>
      </c>
      <c r="AI43" s="41" t="n">
        <v>169</v>
      </c>
      <c r="AJ43" s="41" t="n">
        <v>56</v>
      </c>
      <c r="AK43" s="41" t="n">
        <v>0</v>
      </c>
      <c r="AL43" s="41" t="n">
        <v>0</v>
      </c>
      <c r="AM43" s="42" t="n">
        <v>0</v>
      </c>
      <c r="AN43" s="42" t="n">
        <v>0</v>
      </c>
      <c r="AO43" s="42" t="n">
        <v>418</v>
      </c>
      <c r="AP43" s="42" t="n">
        <v>180</v>
      </c>
      <c r="AQ43" s="42" t="n">
        <v>0</v>
      </c>
      <c r="AR43" s="42" t="n">
        <v>0</v>
      </c>
      <c r="AS43" s="42" t="n">
        <v>0</v>
      </c>
      <c r="AT43" s="42" t="n">
        <v>0</v>
      </c>
      <c r="AU43" s="41"/>
      <c r="AV43" s="42" t="n">
        <f aca="false">SUM(N43:AU43)</f>
        <v>5634</v>
      </c>
      <c r="AW43" s="42" t="n">
        <v>0</v>
      </c>
      <c r="AX43" s="42" t="n">
        <v>0</v>
      </c>
      <c r="AY43" s="42" t="n">
        <f aca="false">+AV43+AW43+AX43</f>
        <v>5634</v>
      </c>
      <c r="AZ43" s="42" t="n">
        <f aca="false">+K43-AY43</f>
        <v>0</v>
      </c>
      <c r="BA43" s="46"/>
    </row>
    <row r="44" customFormat="false" ht="12.75" hidden="false" customHeight="false" outlineLevel="0" collapsed="false">
      <c r="A44" s="37" t="s">
        <v>36</v>
      </c>
      <c r="B44" s="38" t="s">
        <v>168</v>
      </c>
      <c r="C44" s="39" t="s">
        <v>167</v>
      </c>
      <c r="D44" s="40" t="n">
        <v>100053</v>
      </c>
      <c r="E44" s="41" t="n">
        <f aca="false">1767+175+257</f>
        <v>2199</v>
      </c>
      <c r="F44" s="42" t="n">
        <v>355</v>
      </c>
      <c r="G44" s="42" t="n">
        <v>36</v>
      </c>
      <c r="H44" s="42" t="n">
        <f aca="false">139+25</f>
        <v>164</v>
      </c>
      <c r="I44" s="42" t="n">
        <f aca="false">110+300</f>
        <v>410</v>
      </c>
      <c r="J44" s="42" t="n">
        <v>261</v>
      </c>
      <c r="K44" s="42" t="n">
        <f aca="false">SUM(E44:J44)</f>
        <v>3425</v>
      </c>
      <c r="L44" s="43"/>
      <c r="M44" s="41" t="s">
        <v>156</v>
      </c>
      <c r="N44" s="41" t="n">
        <v>0</v>
      </c>
      <c r="O44" s="41" t="n">
        <v>0</v>
      </c>
      <c r="P44" s="41" t="n">
        <v>0</v>
      </c>
      <c r="Q44" s="41" t="n">
        <v>0</v>
      </c>
      <c r="R44" s="41" t="n">
        <v>0</v>
      </c>
      <c r="S44" s="41" t="n">
        <v>0</v>
      </c>
      <c r="T44" s="41" t="n">
        <v>0</v>
      </c>
      <c r="U44" s="41" t="n">
        <v>0</v>
      </c>
      <c r="V44" s="41" t="n">
        <v>0</v>
      </c>
      <c r="W44" s="42" t="n">
        <v>0</v>
      </c>
      <c r="X44" s="41" t="n">
        <f aca="false">1815-125-416</f>
        <v>1274</v>
      </c>
      <c r="Y44" s="41" t="n">
        <v>0</v>
      </c>
      <c r="Z44" s="41" t="n">
        <v>0</v>
      </c>
      <c r="AA44" s="41" t="n">
        <v>0</v>
      </c>
      <c r="AB44" s="41" t="n">
        <v>343</v>
      </c>
      <c r="AC44" s="41" t="n">
        <v>0</v>
      </c>
      <c r="AD44" s="41" t="n">
        <v>411</v>
      </c>
      <c r="AE44" s="41" t="n">
        <v>411</v>
      </c>
      <c r="AF44" s="41" t="n">
        <v>0</v>
      </c>
      <c r="AG44" s="41" t="n">
        <v>0</v>
      </c>
      <c r="AH44" s="41" t="n">
        <v>0</v>
      </c>
      <c r="AI44" s="41" t="n">
        <v>308</v>
      </c>
      <c r="AJ44" s="41" t="n">
        <v>137</v>
      </c>
      <c r="AK44" s="41" t="n">
        <v>0</v>
      </c>
      <c r="AL44" s="41" t="n">
        <v>0</v>
      </c>
      <c r="AM44" s="42" t="n">
        <v>0</v>
      </c>
      <c r="AN44" s="42" t="n">
        <v>0</v>
      </c>
      <c r="AO44" s="42" t="n">
        <f aca="false">125</f>
        <v>125</v>
      </c>
      <c r="AP44" s="42" t="n">
        <v>416</v>
      </c>
      <c r="AQ44" s="42" t="n">
        <v>0</v>
      </c>
      <c r="AR44" s="42" t="n">
        <v>0</v>
      </c>
      <c r="AS44" s="42" t="n">
        <v>0</v>
      </c>
      <c r="AT44" s="42" t="n">
        <v>0</v>
      </c>
      <c r="AU44" s="41"/>
      <c r="AV44" s="42" t="n">
        <f aca="false">SUM(N44:AU44)</f>
        <v>3425</v>
      </c>
      <c r="AW44" s="42" t="n">
        <v>0</v>
      </c>
      <c r="AX44" s="42" t="n">
        <v>0</v>
      </c>
      <c r="AY44" s="42" t="n">
        <f aca="false">+AV44+AW44+AX44</f>
        <v>3425</v>
      </c>
      <c r="AZ44" s="42" t="n">
        <f aca="false">+K44-AY44</f>
        <v>0</v>
      </c>
      <c r="BA44" s="46"/>
    </row>
    <row r="45" customFormat="false" ht="12.75" hidden="false" customHeight="false" outlineLevel="0" collapsed="false">
      <c r="A45" s="37" t="s">
        <v>36</v>
      </c>
      <c r="B45" s="38" t="s">
        <v>169</v>
      </c>
      <c r="C45" s="39" t="s">
        <v>167</v>
      </c>
      <c r="D45" s="40" t="n">
        <v>100054</v>
      </c>
      <c r="E45" s="41" t="n">
        <f aca="false">2115+95+154</f>
        <v>2364</v>
      </c>
      <c r="F45" s="42" t="n">
        <v>128</v>
      </c>
      <c r="G45" s="42" t="n">
        <v>13</v>
      </c>
      <c r="H45" s="42" t="n">
        <f aca="false">30+70</f>
        <v>100</v>
      </c>
      <c r="I45" s="42" t="n">
        <f aca="false">95+205</f>
        <v>300</v>
      </c>
      <c r="J45" s="42" t="n">
        <v>380</v>
      </c>
      <c r="K45" s="42" t="n">
        <f aca="false">SUM(E45:J45)</f>
        <v>3285</v>
      </c>
      <c r="L45" s="43"/>
      <c r="M45" s="41" t="s">
        <v>156</v>
      </c>
      <c r="N45" s="41" t="n">
        <v>0</v>
      </c>
      <c r="O45" s="41" t="n">
        <v>0</v>
      </c>
      <c r="P45" s="41" t="n">
        <v>16</v>
      </c>
      <c r="Q45" s="41" t="n">
        <v>17</v>
      </c>
      <c r="R45" s="41" t="n">
        <v>0</v>
      </c>
      <c r="S45" s="41" t="n">
        <v>0</v>
      </c>
      <c r="T45" s="41" t="n">
        <v>0</v>
      </c>
      <c r="U45" s="41" t="n">
        <v>66</v>
      </c>
      <c r="V45" s="41" t="n">
        <v>66</v>
      </c>
      <c r="W45" s="42" t="n">
        <v>0</v>
      </c>
      <c r="X45" s="41" t="n">
        <f aca="false">1413-76-100</f>
        <v>1237</v>
      </c>
      <c r="Y45" s="41" t="n">
        <v>32</v>
      </c>
      <c r="Z45" s="41" t="n">
        <v>0</v>
      </c>
      <c r="AA45" s="41" t="n">
        <v>0</v>
      </c>
      <c r="AB45" s="41" t="n">
        <v>32</v>
      </c>
      <c r="AC45" s="41" t="n">
        <v>0</v>
      </c>
      <c r="AD45" s="41" t="n">
        <v>394</v>
      </c>
      <c r="AE45" s="41" t="n">
        <v>723</v>
      </c>
      <c r="AF45" s="41" t="n">
        <v>32</v>
      </c>
      <c r="AG45" s="41" t="n">
        <v>33</v>
      </c>
      <c r="AH45" s="41" t="n">
        <v>66</v>
      </c>
      <c r="AI45" s="41" t="n">
        <v>263</v>
      </c>
      <c r="AJ45" s="41" t="n">
        <v>66</v>
      </c>
      <c r="AK45" s="41" t="n">
        <v>0</v>
      </c>
      <c r="AL45" s="41" t="n">
        <v>0</v>
      </c>
      <c r="AM45" s="42" t="n">
        <v>66</v>
      </c>
      <c r="AN45" s="42" t="n">
        <v>0</v>
      </c>
      <c r="AO45" s="42" t="n">
        <f aca="false">76</f>
        <v>76</v>
      </c>
      <c r="AP45" s="42" t="n">
        <v>100</v>
      </c>
      <c r="AQ45" s="42" t="n">
        <v>0</v>
      </c>
      <c r="AR45" s="42" t="n">
        <v>0</v>
      </c>
      <c r="AS45" s="42" t="n">
        <v>0</v>
      </c>
      <c r="AT45" s="42" t="n">
        <v>0</v>
      </c>
      <c r="AU45" s="42"/>
      <c r="AV45" s="42" t="n">
        <f aca="false">SUM(N45:AU45)</f>
        <v>3285</v>
      </c>
      <c r="AW45" s="42" t="n">
        <v>0</v>
      </c>
      <c r="AX45" s="42" t="n">
        <v>0</v>
      </c>
      <c r="AY45" s="42" t="n">
        <f aca="false">+AV45+AW45+AX45</f>
        <v>3285</v>
      </c>
      <c r="AZ45" s="42" t="n">
        <f aca="false">+K45-AY45</f>
        <v>0</v>
      </c>
      <c r="BA45" s="46"/>
    </row>
    <row r="46" customFormat="false" ht="12.75" hidden="false" customHeight="false" outlineLevel="0" collapsed="false">
      <c r="A46" s="37" t="s">
        <v>36</v>
      </c>
      <c r="B46" s="38" t="s">
        <v>170</v>
      </c>
      <c r="C46" s="39" t="s">
        <v>167</v>
      </c>
      <c r="D46" s="40" t="n">
        <v>100055</v>
      </c>
      <c r="E46" s="41" t="n">
        <f aca="false">1717+135+226</f>
        <v>2078</v>
      </c>
      <c r="F46" s="42" t="n">
        <v>274</v>
      </c>
      <c r="G46" s="42" t="n">
        <v>6</v>
      </c>
      <c r="H46" s="42" t="n">
        <f aca="false">36+2+48+1</f>
        <v>87</v>
      </c>
      <c r="I46" s="42" t="n">
        <f aca="false">58+133</f>
        <v>191</v>
      </c>
      <c r="J46" s="42" t="n">
        <v>203</v>
      </c>
      <c r="K46" s="42" t="n">
        <f aca="false">SUM(E46:J46)</f>
        <v>2839</v>
      </c>
      <c r="L46" s="43"/>
      <c r="M46" s="41" t="s">
        <v>156</v>
      </c>
      <c r="N46" s="41" t="n">
        <v>0</v>
      </c>
      <c r="O46" s="41" t="n">
        <v>0</v>
      </c>
      <c r="P46" s="41" t="n">
        <v>28</v>
      </c>
      <c r="Q46" s="41" t="n">
        <v>29</v>
      </c>
      <c r="R46" s="41" t="n">
        <v>0</v>
      </c>
      <c r="S46" s="41" t="n">
        <v>0</v>
      </c>
      <c r="T46" s="41" t="n">
        <v>0</v>
      </c>
      <c r="U46" s="41" t="n">
        <v>0</v>
      </c>
      <c r="V46" s="41" t="n">
        <v>0</v>
      </c>
      <c r="W46" s="42" t="n">
        <v>0</v>
      </c>
      <c r="X46" s="41" t="n">
        <f aca="false">1050-167-209</f>
        <v>674</v>
      </c>
      <c r="Y46" s="41" t="n">
        <v>114</v>
      </c>
      <c r="Z46" s="41" t="n">
        <v>0</v>
      </c>
      <c r="AA46" s="41" t="n">
        <v>0</v>
      </c>
      <c r="AB46" s="41" t="n">
        <v>284</v>
      </c>
      <c r="AC46" s="41" t="n">
        <v>0</v>
      </c>
      <c r="AD46" s="41" t="n">
        <v>568</v>
      </c>
      <c r="AE46" s="41" t="n">
        <v>426</v>
      </c>
      <c r="AF46" s="41" t="n">
        <v>0</v>
      </c>
      <c r="AG46" s="41" t="n">
        <v>85</v>
      </c>
      <c r="AH46" s="41" t="n">
        <v>85</v>
      </c>
      <c r="AI46" s="41" t="n">
        <v>85</v>
      </c>
      <c r="AJ46" s="41" t="n">
        <v>85</v>
      </c>
      <c r="AK46" s="41" t="n">
        <v>0</v>
      </c>
      <c r="AL46" s="41" t="n">
        <v>0</v>
      </c>
      <c r="AM46" s="42" t="n">
        <v>0</v>
      </c>
      <c r="AN46" s="42" t="n">
        <v>0</v>
      </c>
      <c r="AO46" s="42" t="n">
        <f aca="false">167</f>
        <v>167</v>
      </c>
      <c r="AP46" s="42" t="n">
        <v>209</v>
      </c>
      <c r="AQ46" s="42" t="n">
        <v>0</v>
      </c>
      <c r="AR46" s="42" t="n">
        <v>0</v>
      </c>
      <c r="AS46" s="42" t="n">
        <v>0</v>
      </c>
      <c r="AT46" s="42" t="n">
        <v>0</v>
      </c>
      <c r="AU46" s="42"/>
      <c r="AV46" s="42" t="n">
        <f aca="false">SUM(N46:AU46)</f>
        <v>2839</v>
      </c>
      <c r="AW46" s="42" t="n">
        <v>0</v>
      </c>
      <c r="AX46" s="42" t="n">
        <v>0</v>
      </c>
      <c r="AY46" s="42" t="n">
        <f aca="false">+AV46+AW46+AX46</f>
        <v>2839</v>
      </c>
      <c r="AZ46" s="42" t="n">
        <f aca="false">+K46-AY46</f>
        <v>0</v>
      </c>
      <c r="BA46" s="46"/>
    </row>
    <row r="47" customFormat="false" ht="12.75" hidden="false" customHeight="false" outlineLevel="0" collapsed="false">
      <c r="A47" s="47" t="n">
        <v>11</v>
      </c>
      <c r="B47" s="48" t="s">
        <v>171</v>
      </c>
      <c r="C47" s="48" t="s">
        <v>118</v>
      </c>
      <c r="D47" s="49" t="n">
        <v>100056</v>
      </c>
      <c r="E47" s="50" t="n">
        <v>0</v>
      </c>
      <c r="F47" s="45" t="n">
        <v>0</v>
      </c>
      <c r="G47" s="45" t="n">
        <v>0</v>
      </c>
      <c r="H47" s="45" t="n">
        <v>0</v>
      </c>
      <c r="I47" s="45" t="n">
        <v>0</v>
      </c>
      <c r="J47" s="45" t="n">
        <v>1195</v>
      </c>
      <c r="K47" s="42" t="n">
        <f aca="false">SUM(E47:J47)</f>
        <v>1195</v>
      </c>
      <c r="L47" s="51"/>
      <c r="M47" s="50" t="s">
        <v>147</v>
      </c>
      <c r="N47" s="45" t="n">
        <v>19</v>
      </c>
      <c r="O47" s="45" t="n">
        <v>36</v>
      </c>
      <c r="P47" s="45" t="n">
        <v>38</v>
      </c>
      <c r="Q47" s="45" t="n">
        <v>41</v>
      </c>
      <c r="R47" s="45" t="n">
        <v>4</v>
      </c>
      <c r="S47" s="45" t="n">
        <v>0</v>
      </c>
      <c r="T47" s="45" t="n">
        <v>22</v>
      </c>
      <c r="U47" s="45" t="n">
        <v>140</v>
      </c>
      <c r="V47" s="45" t="n">
        <v>26</v>
      </c>
      <c r="W47" s="42" t="n">
        <v>11</v>
      </c>
      <c r="X47" s="45" t="n">
        <v>194</v>
      </c>
      <c r="Y47" s="45" t="n">
        <v>2</v>
      </c>
      <c r="Z47" s="45" t="n">
        <v>22</v>
      </c>
      <c r="AA47" s="45" t="n">
        <v>4</v>
      </c>
      <c r="AB47" s="45" t="n">
        <v>1</v>
      </c>
      <c r="AC47" s="45" t="n">
        <v>9</v>
      </c>
      <c r="AD47" s="45" t="n">
        <v>172</v>
      </c>
      <c r="AE47" s="45" t="n">
        <v>138</v>
      </c>
      <c r="AF47" s="45" t="n">
        <v>2</v>
      </c>
      <c r="AG47" s="45" t="n">
        <v>0</v>
      </c>
      <c r="AH47" s="45" t="n">
        <v>10</v>
      </c>
      <c r="AI47" s="45" t="n">
        <v>9</v>
      </c>
      <c r="AJ47" s="45" t="n">
        <v>4</v>
      </c>
      <c r="AK47" s="45" t="n">
        <v>11</v>
      </c>
      <c r="AL47" s="45" t="n">
        <v>4</v>
      </c>
      <c r="AM47" s="45" t="n">
        <v>89</v>
      </c>
      <c r="AN47" s="45" t="n">
        <v>0</v>
      </c>
      <c r="AO47" s="45" t="n">
        <v>52</v>
      </c>
      <c r="AP47" s="45" t="n">
        <v>14</v>
      </c>
      <c r="AQ47" s="42" t="n">
        <v>0</v>
      </c>
      <c r="AR47" s="42" t="n">
        <v>0</v>
      </c>
      <c r="AS47" s="42" t="n">
        <v>0</v>
      </c>
      <c r="AT47" s="42" t="n">
        <v>0</v>
      </c>
      <c r="AU47" s="45"/>
      <c r="AV47" s="45" t="n">
        <f aca="false">SUM(N47:AU47)</f>
        <v>1074</v>
      </c>
      <c r="AW47" s="45" t="n">
        <v>121</v>
      </c>
      <c r="AX47" s="42" t="n">
        <v>0</v>
      </c>
      <c r="AY47" s="42" t="n">
        <f aca="false">+AV47+AW47+AX47</f>
        <v>1195</v>
      </c>
      <c r="AZ47" s="45" t="n">
        <f aca="false">+K47-AY47</f>
        <v>0</v>
      </c>
      <c r="BA47" s="52"/>
    </row>
    <row r="48" customFormat="false" ht="12.75" hidden="false" customHeight="false" outlineLevel="0" collapsed="false">
      <c r="A48" s="47" t="n">
        <v>11</v>
      </c>
      <c r="B48" s="48" t="s">
        <v>172</v>
      </c>
      <c r="C48" s="48" t="s">
        <v>173</v>
      </c>
      <c r="D48" s="49" t="n">
        <v>100058</v>
      </c>
      <c r="E48" s="50" t="n">
        <f aca="false">26+3+5</f>
        <v>34</v>
      </c>
      <c r="F48" s="45" t="n">
        <v>5</v>
      </c>
      <c r="G48" s="45" t="n">
        <v>1</v>
      </c>
      <c r="H48" s="50" t="n">
        <v>0</v>
      </c>
      <c r="I48" s="50" t="n">
        <f aca="false">1+6</f>
        <v>7</v>
      </c>
      <c r="J48" s="50" t="n">
        <v>0</v>
      </c>
      <c r="K48" s="42" t="n">
        <f aca="false">SUM(E48:J48)</f>
        <v>47</v>
      </c>
      <c r="L48" s="51"/>
      <c r="M48" s="50" t="s">
        <v>111</v>
      </c>
      <c r="N48" s="45" t="n">
        <v>1</v>
      </c>
      <c r="O48" s="45" t="n">
        <v>1</v>
      </c>
      <c r="P48" s="45" t="n">
        <v>1</v>
      </c>
      <c r="Q48" s="45" t="n">
        <v>2</v>
      </c>
      <c r="R48" s="45" t="n">
        <v>0</v>
      </c>
      <c r="S48" s="45" t="n">
        <v>0</v>
      </c>
      <c r="T48" s="45" t="n">
        <v>1</v>
      </c>
      <c r="U48" s="45" t="n">
        <v>5</v>
      </c>
      <c r="V48" s="45" t="n">
        <v>1</v>
      </c>
      <c r="W48" s="42" t="n">
        <v>0</v>
      </c>
      <c r="X48" s="45" t="n">
        <v>9</v>
      </c>
      <c r="Y48" s="45" t="n">
        <v>0</v>
      </c>
      <c r="Z48" s="45" t="n">
        <v>1</v>
      </c>
      <c r="AA48" s="45" t="n">
        <v>0</v>
      </c>
      <c r="AB48" s="45" t="n">
        <v>0</v>
      </c>
      <c r="AC48" s="45" t="n">
        <v>0</v>
      </c>
      <c r="AD48" s="45" t="n">
        <v>8</v>
      </c>
      <c r="AE48" s="45" t="n">
        <v>6</v>
      </c>
      <c r="AF48" s="45" t="n">
        <v>0</v>
      </c>
      <c r="AG48" s="45" t="n">
        <v>0</v>
      </c>
      <c r="AH48" s="45" t="n">
        <v>0</v>
      </c>
      <c r="AI48" s="45" t="n">
        <v>0</v>
      </c>
      <c r="AJ48" s="45" t="n">
        <v>0</v>
      </c>
      <c r="AK48" s="45" t="n">
        <v>0</v>
      </c>
      <c r="AL48" s="45" t="n">
        <v>0</v>
      </c>
      <c r="AM48" s="45" t="n">
        <v>3</v>
      </c>
      <c r="AN48" s="45" t="n">
        <v>0</v>
      </c>
      <c r="AO48" s="45" t="n">
        <v>2</v>
      </c>
      <c r="AP48" s="45" t="n">
        <v>1</v>
      </c>
      <c r="AQ48" s="42" t="n">
        <v>0</v>
      </c>
      <c r="AR48" s="42" t="n">
        <v>0</v>
      </c>
      <c r="AS48" s="42" t="n">
        <v>0</v>
      </c>
      <c r="AT48" s="42" t="n">
        <v>0</v>
      </c>
      <c r="AU48" s="45"/>
      <c r="AV48" s="45" t="n">
        <f aca="false">SUM(N48:AU48)</f>
        <v>42</v>
      </c>
      <c r="AW48" s="45" t="n">
        <v>5</v>
      </c>
      <c r="AX48" s="42" t="n">
        <v>0</v>
      </c>
      <c r="AY48" s="42" t="n">
        <f aca="false">+AV48+AW48+AX48</f>
        <v>47</v>
      </c>
      <c r="AZ48" s="45" t="n">
        <f aca="false">+K48-AY48</f>
        <v>0</v>
      </c>
      <c r="BA48" s="52"/>
    </row>
    <row r="49" customFormat="false" ht="12.75" hidden="false" customHeight="false" outlineLevel="0" collapsed="false">
      <c r="A49" s="37" t="s">
        <v>36</v>
      </c>
      <c r="B49" s="39" t="s">
        <v>174</v>
      </c>
      <c r="C49" s="39" t="s">
        <v>175</v>
      </c>
      <c r="D49" s="40" t="n">
        <v>100059</v>
      </c>
      <c r="E49" s="41" t="n">
        <v>0</v>
      </c>
      <c r="F49" s="42" t="n">
        <v>0</v>
      </c>
      <c r="G49" s="42" t="n">
        <v>0</v>
      </c>
      <c r="H49" s="42" t="n">
        <v>0</v>
      </c>
      <c r="I49" s="42" t="n">
        <v>0</v>
      </c>
      <c r="J49" s="42" t="n">
        <v>0</v>
      </c>
      <c r="K49" s="42" t="n">
        <f aca="false">SUM(E49:J49)</f>
        <v>0</v>
      </c>
      <c r="L49" s="43"/>
      <c r="M49" s="41" t="s">
        <v>156</v>
      </c>
      <c r="N49" s="42" t="n">
        <v>0</v>
      </c>
      <c r="O49" s="42" t="n">
        <v>0</v>
      </c>
      <c r="P49" s="42" t="n">
        <v>0</v>
      </c>
      <c r="Q49" s="42" t="n">
        <v>0</v>
      </c>
      <c r="R49" s="42" t="n">
        <v>0</v>
      </c>
      <c r="S49" s="42" t="n">
        <v>0</v>
      </c>
      <c r="T49" s="42" t="n">
        <v>0</v>
      </c>
      <c r="U49" s="42" t="n">
        <v>0</v>
      </c>
      <c r="V49" s="42" t="n">
        <v>0</v>
      </c>
      <c r="W49" s="42" t="n">
        <v>0</v>
      </c>
      <c r="X49" s="42" t="n">
        <v>0</v>
      </c>
      <c r="Y49" s="42" t="n">
        <v>0</v>
      </c>
      <c r="Z49" s="42" t="n">
        <v>0</v>
      </c>
      <c r="AA49" s="42" t="n">
        <v>0</v>
      </c>
      <c r="AB49" s="42" t="n">
        <v>0</v>
      </c>
      <c r="AC49" s="42" t="n">
        <v>0</v>
      </c>
      <c r="AD49" s="42" t="n">
        <v>0</v>
      </c>
      <c r="AE49" s="42" t="n">
        <v>0</v>
      </c>
      <c r="AF49" s="42" t="n">
        <v>0</v>
      </c>
      <c r="AG49" s="42" t="n">
        <v>0</v>
      </c>
      <c r="AH49" s="42" t="n">
        <v>0</v>
      </c>
      <c r="AI49" s="42" t="n">
        <v>0</v>
      </c>
      <c r="AJ49" s="42" t="n">
        <v>0</v>
      </c>
      <c r="AK49" s="42" t="n">
        <v>0</v>
      </c>
      <c r="AL49" s="42" t="n">
        <v>0</v>
      </c>
      <c r="AM49" s="42" t="n">
        <v>0</v>
      </c>
      <c r="AN49" s="42" t="n">
        <v>0</v>
      </c>
      <c r="AO49" s="42" t="n">
        <v>0</v>
      </c>
      <c r="AP49" s="42" t="n">
        <v>0</v>
      </c>
      <c r="AQ49" s="42" t="n">
        <v>0</v>
      </c>
      <c r="AR49" s="42" t="n">
        <v>0</v>
      </c>
      <c r="AS49" s="42" t="n">
        <v>0</v>
      </c>
      <c r="AT49" s="42" t="n">
        <v>0</v>
      </c>
      <c r="AU49" s="42"/>
      <c r="AV49" s="42" t="n">
        <f aca="false">SUM(N49:AU49)</f>
        <v>0</v>
      </c>
      <c r="AW49" s="42" t="n">
        <v>0</v>
      </c>
      <c r="AX49" s="42" t="n">
        <v>0</v>
      </c>
      <c r="AY49" s="42" t="n">
        <f aca="false">+AV49+AW49+AX49</f>
        <v>0</v>
      </c>
      <c r="AZ49" s="42" t="n">
        <f aca="false">+K49-AY49</f>
        <v>0</v>
      </c>
      <c r="BA49" s="46"/>
    </row>
    <row r="50" customFormat="false" ht="12.75" hidden="false" customHeight="false" outlineLevel="0" collapsed="false">
      <c r="A50" s="37" t="n">
        <v>11</v>
      </c>
      <c r="B50" s="39" t="s">
        <v>176</v>
      </c>
      <c r="C50" s="39" t="s">
        <v>165</v>
      </c>
      <c r="D50" s="40" t="n">
        <v>100061</v>
      </c>
      <c r="E50" s="41" t="n">
        <f aca="false">1117+95+159</f>
        <v>1371</v>
      </c>
      <c r="F50" s="42" t="n">
        <v>216</v>
      </c>
      <c r="G50" s="42" t="n">
        <v>36</v>
      </c>
      <c r="H50" s="42" t="n">
        <f aca="false">266+17</f>
        <v>283</v>
      </c>
      <c r="I50" s="42" t="n">
        <f aca="false">50+248</f>
        <v>298</v>
      </c>
      <c r="J50" s="42" t="n">
        <v>127</v>
      </c>
      <c r="K50" s="42" t="n">
        <f aca="false">SUM(E50:J50)</f>
        <v>2331</v>
      </c>
      <c r="L50" s="43"/>
      <c r="M50" s="41" t="s">
        <v>98</v>
      </c>
      <c r="N50" s="42" t="n">
        <v>0</v>
      </c>
      <c r="O50" s="42" t="n">
        <v>0</v>
      </c>
      <c r="P50" s="42" t="n">
        <v>0</v>
      </c>
      <c r="Q50" s="42" t="n">
        <v>0</v>
      </c>
      <c r="R50" s="42" t="n">
        <v>0</v>
      </c>
      <c r="S50" s="42" t="n">
        <v>0</v>
      </c>
      <c r="T50" s="42" t="n">
        <v>0</v>
      </c>
      <c r="U50" s="42" t="n">
        <v>0</v>
      </c>
      <c r="V50" s="42" t="n">
        <v>0</v>
      </c>
      <c r="W50" s="42" t="n">
        <v>0</v>
      </c>
      <c r="X50" s="42" t="n">
        <v>0</v>
      </c>
      <c r="Y50" s="42" t="n">
        <v>0</v>
      </c>
      <c r="Z50" s="42" t="n">
        <v>0</v>
      </c>
      <c r="AA50" s="42" t="n">
        <v>0</v>
      </c>
      <c r="AB50" s="42" t="n">
        <v>0</v>
      </c>
      <c r="AC50" s="42" t="n">
        <v>0</v>
      </c>
      <c r="AD50" s="42" t="n">
        <v>0</v>
      </c>
      <c r="AE50" s="42" t="n">
        <v>0</v>
      </c>
      <c r="AF50" s="42" t="n">
        <v>0</v>
      </c>
      <c r="AG50" s="42" t="n">
        <v>0</v>
      </c>
      <c r="AH50" s="42" t="n">
        <v>0</v>
      </c>
      <c r="AI50" s="42" t="n">
        <v>0</v>
      </c>
      <c r="AJ50" s="42" t="n">
        <v>0</v>
      </c>
      <c r="AK50" s="42" t="n">
        <v>0</v>
      </c>
      <c r="AL50" s="42" t="n">
        <v>0</v>
      </c>
      <c r="AM50" s="42" t="n">
        <v>0</v>
      </c>
      <c r="AN50" s="42" t="n">
        <v>0</v>
      </c>
      <c r="AO50" s="42" t="n">
        <v>0</v>
      </c>
      <c r="AP50" s="42" t="n">
        <v>0</v>
      </c>
      <c r="AQ50" s="42" t="n">
        <v>0</v>
      </c>
      <c r="AR50" s="42" t="n">
        <v>0</v>
      </c>
      <c r="AS50" s="42" t="n">
        <v>0</v>
      </c>
      <c r="AT50" s="42" t="n">
        <v>0</v>
      </c>
      <c r="AU50" s="42"/>
      <c r="AV50" s="42" t="n">
        <f aca="false">SUM(N50:AU50)</f>
        <v>0</v>
      </c>
      <c r="AW50" s="42" t="n">
        <v>2331</v>
      </c>
      <c r="AX50" s="42" t="n">
        <v>0</v>
      </c>
      <c r="AY50" s="42" t="n">
        <f aca="false">+AV50+AW50+AX50</f>
        <v>2331</v>
      </c>
      <c r="AZ50" s="42" t="n">
        <f aca="false">+K50-AY50</f>
        <v>0</v>
      </c>
      <c r="BA50" s="46"/>
    </row>
    <row r="51" customFormat="false" ht="12.75" hidden="false" customHeight="false" outlineLevel="0" collapsed="false">
      <c r="A51" s="37" t="s">
        <v>36</v>
      </c>
      <c r="B51" s="39" t="s">
        <v>177</v>
      </c>
      <c r="C51" s="39" t="s">
        <v>178</v>
      </c>
      <c r="D51" s="40" t="n">
        <v>100062</v>
      </c>
      <c r="E51" s="41" t="n">
        <f aca="false">8954+426+1227</f>
        <v>10607</v>
      </c>
      <c r="F51" s="42" t="n">
        <v>1173</v>
      </c>
      <c r="G51" s="42" t="n">
        <v>45</v>
      </c>
      <c r="H51" s="42" t="n">
        <f aca="false">8685+42+108</f>
        <v>8835</v>
      </c>
      <c r="I51" s="42" t="n">
        <f aca="false">150+400</f>
        <v>550</v>
      </c>
      <c r="J51" s="42" t="n">
        <v>1148</v>
      </c>
      <c r="K51" s="42" t="n">
        <f aca="false">SUM(E51:J51)</f>
        <v>22358</v>
      </c>
      <c r="L51" s="43"/>
      <c r="M51" s="41" t="s">
        <v>156</v>
      </c>
      <c r="N51" s="42" t="n">
        <v>0</v>
      </c>
      <c r="O51" s="42" t="n">
        <v>0</v>
      </c>
      <c r="P51" s="42" t="n">
        <v>0</v>
      </c>
      <c r="Q51" s="42" t="n">
        <v>0</v>
      </c>
      <c r="R51" s="42" t="n">
        <v>0</v>
      </c>
      <c r="S51" s="42" t="n">
        <v>0</v>
      </c>
      <c r="T51" s="42" t="n">
        <v>0</v>
      </c>
      <c r="U51" s="42" t="n">
        <v>0</v>
      </c>
      <c r="V51" s="42" t="n">
        <v>0</v>
      </c>
      <c r="W51" s="42" t="n">
        <v>0</v>
      </c>
      <c r="X51" s="42" t="n">
        <f aca="false">8618-500</f>
        <v>8118</v>
      </c>
      <c r="Y51" s="42" t="n">
        <v>0</v>
      </c>
      <c r="Z51" s="42" t="n">
        <v>0</v>
      </c>
      <c r="AA51" s="42" t="n">
        <v>0</v>
      </c>
      <c r="AB51" s="42" t="n">
        <v>0</v>
      </c>
      <c r="AC51" s="42" t="n">
        <v>0</v>
      </c>
      <c r="AD51" s="42" t="n">
        <f aca="false">6123+500</f>
        <v>6623</v>
      </c>
      <c r="AE51" s="42" t="n">
        <v>2421</v>
      </c>
      <c r="AF51" s="42" t="n">
        <v>0</v>
      </c>
      <c r="AG51" s="42" t="n">
        <v>0</v>
      </c>
      <c r="AH51" s="42" t="n">
        <v>0</v>
      </c>
      <c r="AI51" s="42" t="n">
        <v>400</v>
      </c>
      <c r="AJ51" s="42" t="n">
        <v>0</v>
      </c>
      <c r="AK51" s="42" t="n">
        <v>0</v>
      </c>
      <c r="AL51" s="42" t="n">
        <v>0</v>
      </c>
      <c r="AM51" s="42" t="n">
        <v>500</v>
      </c>
      <c r="AN51" s="42" t="n">
        <v>0</v>
      </c>
      <c r="AO51" s="42" t="n">
        <v>900</v>
      </c>
      <c r="AP51" s="42" t="n">
        <v>500</v>
      </c>
      <c r="AQ51" s="42" t="n">
        <v>0</v>
      </c>
      <c r="AR51" s="42" t="n">
        <v>0</v>
      </c>
      <c r="AS51" s="42" t="n">
        <v>0</v>
      </c>
      <c r="AT51" s="42" t="n">
        <v>0</v>
      </c>
      <c r="AU51" s="42"/>
      <c r="AV51" s="42" t="n">
        <f aca="false">SUM(N51:AU51)</f>
        <v>19462</v>
      </c>
      <c r="AW51" s="42" t="n">
        <v>2896</v>
      </c>
      <c r="AX51" s="42" t="n">
        <v>0</v>
      </c>
      <c r="AY51" s="42" t="n">
        <f aca="false">+AV51+AW51+AX51</f>
        <v>22358</v>
      </c>
      <c r="AZ51" s="42" t="n">
        <f aca="false">+K51-AY51</f>
        <v>0</v>
      </c>
      <c r="BA51" s="46"/>
    </row>
    <row r="52" customFormat="false" ht="12.75" hidden="false" customHeight="false" outlineLevel="0" collapsed="false">
      <c r="A52" s="37" t="n">
        <v>901</v>
      </c>
      <c r="B52" s="39" t="s">
        <v>179</v>
      </c>
      <c r="C52" s="39" t="s">
        <v>180</v>
      </c>
      <c r="D52" s="40" t="n">
        <v>100064</v>
      </c>
      <c r="E52" s="41" t="n">
        <v>0</v>
      </c>
      <c r="F52" s="42" t="n">
        <v>0</v>
      </c>
      <c r="G52" s="42" t="n">
        <v>0</v>
      </c>
      <c r="H52" s="42" t="n">
        <v>0</v>
      </c>
      <c r="I52" s="42" t="n">
        <v>727</v>
      </c>
      <c r="J52" s="42" t="n">
        <v>0</v>
      </c>
      <c r="K52" s="42" t="n">
        <f aca="false">SUM(E52:J52)</f>
        <v>727</v>
      </c>
      <c r="L52" s="43"/>
      <c r="M52" s="41" t="s">
        <v>108</v>
      </c>
      <c r="N52" s="42" t="n">
        <v>0</v>
      </c>
      <c r="O52" s="42" t="n">
        <v>0</v>
      </c>
      <c r="P52" s="42" t="n">
        <v>0</v>
      </c>
      <c r="Q52" s="42" t="n">
        <v>0</v>
      </c>
      <c r="R52" s="42" t="n">
        <v>0</v>
      </c>
      <c r="S52" s="42" t="n">
        <v>0</v>
      </c>
      <c r="T52" s="42" t="n">
        <v>0</v>
      </c>
      <c r="U52" s="42" t="n">
        <v>0</v>
      </c>
      <c r="V52" s="42" t="n">
        <v>0</v>
      </c>
      <c r="W52" s="42" t="n">
        <v>0</v>
      </c>
      <c r="X52" s="42" t="n">
        <v>0</v>
      </c>
      <c r="Y52" s="42" t="n">
        <v>0</v>
      </c>
      <c r="Z52" s="42" t="n">
        <v>0</v>
      </c>
      <c r="AA52" s="42" t="n">
        <v>0</v>
      </c>
      <c r="AB52" s="42" t="n">
        <v>0</v>
      </c>
      <c r="AC52" s="42" t="n">
        <v>0</v>
      </c>
      <c r="AD52" s="42" t="n">
        <v>0</v>
      </c>
      <c r="AE52" s="42" t="n">
        <v>0</v>
      </c>
      <c r="AF52" s="42" t="n">
        <v>0</v>
      </c>
      <c r="AG52" s="42" t="n">
        <v>0</v>
      </c>
      <c r="AH52" s="42" t="n">
        <v>0</v>
      </c>
      <c r="AI52" s="42" t="n">
        <v>0</v>
      </c>
      <c r="AJ52" s="42" t="n">
        <v>0</v>
      </c>
      <c r="AK52" s="42" t="n">
        <v>0</v>
      </c>
      <c r="AL52" s="42" t="n">
        <v>0</v>
      </c>
      <c r="AM52" s="42" t="n">
        <v>0</v>
      </c>
      <c r="AN52" s="42" t="n">
        <v>0</v>
      </c>
      <c r="AO52" s="42" t="n">
        <v>0</v>
      </c>
      <c r="AP52" s="42" t="n">
        <v>0</v>
      </c>
      <c r="AQ52" s="42" t="n">
        <v>0</v>
      </c>
      <c r="AR52" s="42" t="n">
        <v>0</v>
      </c>
      <c r="AS52" s="42" t="n">
        <v>0</v>
      </c>
      <c r="AT52" s="42" t="n">
        <v>0</v>
      </c>
      <c r="AU52" s="42"/>
      <c r="AV52" s="42" t="n">
        <f aca="false">SUM(N52:AU52)</f>
        <v>0</v>
      </c>
      <c r="AW52" s="42" t="n">
        <v>727</v>
      </c>
      <c r="AX52" s="42" t="n">
        <v>0</v>
      </c>
      <c r="AY52" s="42" t="n">
        <f aca="false">+AV52+AW52+AX52</f>
        <v>727</v>
      </c>
      <c r="AZ52" s="42" t="n">
        <f aca="false">+K52-AY52</f>
        <v>0</v>
      </c>
      <c r="BA52" s="46"/>
    </row>
    <row r="53" customFormat="false" ht="12.75" hidden="false" customHeight="false" outlineLevel="0" collapsed="false">
      <c r="A53" s="37" t="n">
        <v>11</v>
      </c>
      <c r="B53" s="39" t="s">
        <v>181</v>
      </c>
      <c r="C53" s="39" t="s">
        <v>94</v>
      </c>
      <c r="D53" s="40" t="n">
        <v>100065</v>
      </c>
      <c r="E53" s="41" t="n">
        <v>0</v>
      </c>
      <c r="F53" s="42" t="n">
        <v>0</v>
      </c>
      <c r="G53" s="42" t="n">
        <v>0</v>
      </c>
      <c r="H53" s="42" t="n">
        <v>0</v>
      </c>
      <c r="I53" s="42" t="n">
        <v>0</v>
      </c>
      <c r="J53" s="42" t="n">
        <v>0</v>
      </c>
      <c r="K53" s="42" t="n">
        <f aca="false">SUM(E53:J53)</f>
        <v>0</v>
      </c>
      <c r="L53" s="43"/>
      <c r="M53" s="41" t="s">
        <v>108</v>
      </c>
      <c r="N53" s="42" t="n">
        <v>0</v>
      </c>
      <c r="O53" s="42" t="n">
        <v>0</v>
      </c>
      <c r="P53" s="42" t="n">
        <v>0</v>
      </c>
      <c r="Q53" s="42" t="n">
        <v>0</v>
      </c>
      <c r="R53" s="42" t="n">
        <v>0</v>
      </c>
      <c r="S53" s="42" t="n">
        <v>0</v>
      </c>
      <c r="T53" s="42" t="n">
        <v>0</v>
      </c>
      <c r="U53" s="42" t="n">
        <v>0</v>
      </c>
      <c r="V53" s="42" t="n">
        <v>0</v>
      </c>
      <c r="W53" s="42" t="n">
        <v>0</v>
      </c>
      <c r="X53" s="42" t="n">
        <v>0</v>
      </c>
      <c r="Y53" s="42" t="n">
        <v>0</v>
      </c>
      <c r="Z53" s="42" t="n">
        <v>0</v>
      </c>
      <c r="AA53" s="42" t="n">
        <v>0</v>
      </c>
      <c r="AB53" s="42" t="n">
        <v>0</v>
      </c>
      <c r="AC53" s="42" t="n">
        <v>0</v>
      </c>
      <c r="AD53" s="42" t="n">
        <v>0</v>
      </c>
      <c r="AE53" s="42" t="n">
        <v>0</v>
      </c>
      <c r="AF53" s="42" t="n">
        <v>0</v>
      </c>
      <c r="AG53" s="42" t="n">
        <v>0</v>
      </c>
      <c r="AH53" s="42" t="n">
        <v>0</v>
      </c>
      <c r="AI53" s="42" t="n">
        <v>0</v>
      </c>
      <c r="AJ53" s="42" t="n">
        <v>0</v>
      </c>
      <c r="AK53" s="42" t="n">
        <v>0</v>
      </c>
      <c r="AL53" s="42" t="n">
        <v>0</v>
      </c>
      <c r="AM53" s="42" t="n">
        <v>0</v>
      </c>
      <c r="AN53" s="42" t="n">
        <v>0</v>
      </c>
      <c r="AO53" s="42" t="n">
        <v>0</v>
      </c>
      <c r="AP53" s="42" t="n">
        <v>0</v>
      </c>
      <c r="AQ53" s="42" t="n">
        <v>0</v>
      </c>
      <c r="AR53" s="42" t="n">
        <v>0</v>
      </c>
      <c r="AS53" s="42" t="n">
        <v>0</v>
      </c>
      <c r="AT53" s="42" t="n">
        <v>0</v>
      </c>
      <c r="AU53" s="42"/>
      <c r="AV53" s="42" t="n">
        <f aca="false">SUM(N53:AU53)</f>
        <v>0</v>
      </c>
      <c r="AW53" s="42" t="n">
        <v>0</v>
      </c>
      <c r="AX53" s="42" t="n">
        <v>0</v>
      </c>
      <c r="AY53" s="42" t="n">
        <f aca="false">+AV53+AW53+AX53</f>
        <v>0</v>
      </c>
      <c r="AZ53" s="42" t="n">
        <f aca="false">+K53-AY53</f>
        <v>0</v>
      </c>
      <c r="BA53" s="46"/>
    </row>
    <row r="54" customFormat="false" ht="12.75" hidden="false" customHeight="false" outlineLevel="0" collapsed="false">
      <c r="A54" s="37" t="n">
        <v>11</v>
      </c>
      <c r="B54" s="39" t="s">
        <v>182</v>
      </c>
      <c r="C54" s="39" t="s">
        <v>120</v>
      </c>
      <c r="D54" s="40" t="n">
        <v>100066</v>
      </c>
      <c r="E54" s="41" t="n">
        <v>0</v>
      </c>
      <c r="F54" s="42" t="n">
        <v>740</v>
      </c>
      <c r="G54" s="42" t="n">
        <v>0</v>
      </c>
      <c r="H54" s="42" t="n">
        <v>0</v>
      </c>
      <c r="I54" s="42" t="n">
        <v>20</v>
      </c>
      <c r="J54" s="42" t="n">
        <v>0</v>
      </c>
      <c r="K54" s="42" t="n">
        <f aca="false">SUM(E54:J54)</f>
        <v>760</v>
      </c>
      <c r="L54" s="43"/>
      <c r="M54" s="41" t="s">
        <v>183</v>
      </c>
      <c r="N54" s="42" t="n">
        <v>2</v>
      </c>
      <c r="O54" s="42" t="n">
        <v>4</v>
      </c>
      <c r="P54" s="42" t="n">
        <v>30</v>
      </c>
      <c r="Q54" s="42" t="n">
        <v>0</v>
      </c>
      <c r="R54" s="42" t="n">
        <v>4</v>
      </c>
      <c r="S54" s="42" t="n">
        <v>0</v>
      </c>
      <c r="T54" s="42" t="n">
        <v>7</v>
      </c>
      <c r="U54" s="42" t="n">
        <v>7</v>
      </c>
      <c r="V54" s="42" t="n">
        <v>20</v>
      </c>
      <c r="W54" s="42" t="n">
        <v>0</v>
      </c>
      <c r="X54" s="42" t="n">
        <f aca="false">160-13-9</f>
        <v>138</v>
      </c>
      <c r="Y54" s="42" t="n">
        <v>4</v>
      </c>
      <c r="Z54" s="42" t="n">
        <v>1</v>
      </c>
      <c r="AA54" s="42" t="n">
        <v>0</v>
      </c>
      <c r="AB54" s="42" t="n">
        <v>0</v>
      </c>
      <c r="AC54" s="42" t="n">
        <v>13</v>
      </c>
      <c r="AD54" s="42" t="n">
        <v>64</v>
      </c>
      <c r="AE54" s="42" t="n">
        <v>72</v>
      </c>
      <c r="AF54" s="42" t="n">
        <v>5</v>
      </c>
      <c r="AG54" s="42" t="n">
        <v>0</v>
      </c>
      <c r="AH54" s="42" t="n">
        <v>26</v>
      </c>
      <c r="AI54" s="42" t="n">
        <v>35</v>
      </c>
      <c r="AJ54" s="42" t="n">
        <v>13</v>
      </c>
      <c r="AK54" s="42" t="n">
        <v>8</v>
      </c>
      <c r="AL54" s="42" t="n">
        <f aca="false">28-15</f>
        <v>13</v>
      </c>
      <c r="AM54" s="42" t="n">
        <v>23</v>
      </c>
      <c r="AN54" s="42" t="n">
        <v>0</v>
      </c>
      <c r="AO54" s="42" t="n">
        <f aca="false">13+15</f>
        <v>28</v>
      </c>
      <c r="AP54" s="42" t="n">
        <v>9</v>
      </c>
      <c r="AQ54" s="42" t="n">
        <v>0</v>
      </c>
      <c r="AR54" s="42" t="n">
        <v>2</v>
      </c>
      <c r="AS54" s="42" t="n">
        <v>0</v>
      </c>
      <c r="AT54" s="42" t="n">
        <v>0</v>
      </c>
      <c r="AU54" s="42"/>
      <c r="AV54" s="42" t="n">
        <f aca="false">SUM(N54:AU54)</f>
        <v>528</v>
      </c>
      <c r="AW54" s="42" t="n">
        <v>232</v>
      </c>
      <c r="AX54" s="42" t="n">
        <v>0</v>
      </c>
      <c r="AY54" s="42" t="n">
        <f aca="false">+AV54+AW54+AX54</f>
        <v>760</v>
      </c>
      <c r="AZ54" s="42" t="n">
        <f aca="false">+K54-AY54</f>
        <v>0</v>
      </c>
      <c r="BA54" s="46"/>
    </row>
    <row r="55" customFormat="false" ht="12.75" hidden="false" customHeight="false" outlineLevel="0" collapsed="false">
      <c r="A55" s="37" t="s">
        <v>36</v>
      </c>
      <c r="B55" s="38" t="s">
        <v>184</v>
      </c>
      <c r="C55" s="39" t="s">
        <v>167</v>
      </c>
      <c r="D55" s="40" t="n">
        <v>100068</v>
      </c>
      <c r="E55" s="41" t="n">
        <f aca="false">3404+343+478</f>
        <v>4225</v>
      </c>
      <c r="F55" s="42" t="n">
        <v>950</v>
      </c>
      <c r="G55" s="42" t="n">
        <v>27</v>
      </c>
      <c r="H55" s="42" t="n">
        <f aca="false">750+10+111</f>
        <v>871</v>
      </c>
      <c r="I55" s="42" t="n">
        <f aca="false">105+320</f>
        <v>425</v>
      </c>
      <c r="J55" s="42" t="n">
        <v>471</v>
      </c>
      <c r="K55" s="42" t="n">
        <f aca="false">SUM(E55:J55)</f>
        <v>6969</v>
      </c>
      <c r="L55" s="43"/>
      <c r="M55" s="41" t="s">
        <v>185</v>
      </c>
      <c r="N55" s="41" t="n">
        <v>0</v>
      </c>
      <c r="O55" s="41" t="n">
        <v>0</v>
      </c>
      <c r="P55" s="41" t="n">
        <v>0</v>
      </c>
      <c r="Q55" s="41" t="n">
        <v>0</v>
      </c>
      <c r="R55" s="41" t="n">
        <v>0</v>
      </c>
      <c r="S55" s="41" t="n">
        <v>35</v>
      </c>
      <c r="T55" s="41" t="n">
        <v>0</v>
      </c>
      <c r="U55" s="41" t="n">
        <v>0</v>
      </c>
      <c r="V55" s="41" t="n">
        <v>0</v>
      </c>
      <c r="W55" s="42" t="n">
        <v>0</v>
      </c>
      <c r="X55" s="41" t="n">
        <f aca="false">4132-548-73</f>
        <v>3511</v>
      </c>
      <c r="Y55" s="41" t="n">
        <v>0</v>
      </c>
      <c r="Z55" s="41" t="n">
        <v>0</v>
      </c>
      <c r="AA55" s="41" t="n">
        <v>573</v>
      </c>
      <c r="AB55" s="41" t="n">
        <v>1000</v>
      </c>
      <c r="AC55" s="41" t="n">
        <v>0</v>
      </c>
      <c r="AD55" s="41" t="n">
        <v>803</v>
      </c>
      <c r="AE55" s="41" t="n">
        <v>133</v>
      </c>
      <c r="AF55" s="41" t="n">
        <v>0</v>
      </c>
      <c r="AG55" s="41" t="n">
        <v>15</v>
      </c>
      <c r="AH55" s="41" t="n">
        <v>0</v>
      </c>
      <c r="AI55" s="41" t="n">
        <v>278</v>
      </c>
      <c r="AJ55" s="41" t="n">
        <v>0</v>
      </c>
      <c r="AK55" s="41" t="n">
        <v>0</v>
      </c>
      <c r="AL55" s="41" t="n">
        <v>0</v>
      </c>
      <c r="AM55" s="42" t="n">
        <v>0</v>
      </c>
      <c r="AN55" s="42" t="n">
        <v>0</v>
      </c>
      <c r="AO55" s="42" t="n">
        <f aca="false">548</f>
        <v>548</v>
      </c>
      <c r="AP55" s="42" t="n">
        <v>73</v>
      </c>
      <c r="AQ55" s="42" t="n">
        <v>0</v>
      </c>
      <c r="AR55" s="42" t="n">
        <v>0</v>
      </c>
      <c r="AS55" s="42" t="n">
        <v>0</v>
      </c>
      <c r="AT55" s="42" t="n">
        <v>0</v>
      </c>
      <c r="AU55" s="42"/>
      <c r="AV55" s="45" t="n">
        <f aca="false">SUM(N55:AU55)</f>
        <v>6969</v>
      </c>
      <c r="AW55" s="42" t="n">
        <v>0</v>
      </c>
      <c r="AX55" s="42" t="n">
        <v>0</v>
      </c>
      <c r="AY55" s="42" t="n">
        <f aca="false">+AV55+AW55+AX55</f>
        <v>6969</v>
      </c>
      <c r="AZ55" s="42" t="n">
        <f aca="false">+K55-AY55</f>
        <v>0</v>
      </c>
      <c r="BA55" s="46"/>
    </row>
    <row r="56" customFormat="false" ht="12.75" hidden="false" customHeight="false" outlineLevel="0" collapsed="false">
      <c r="A56" s="47" t="n">
        <v>11</v>
      </c>
      <c r="B56" s="48" t="s">
        <v>186</v>
      </c>
      <c r="C56" s="48" t="s">
        <v>118</v>
      </c>
      <c r="D56" s="49" t="n">
        <v>100069</v>
      </c>
      <c r="E56" s="50" t="n">
        <v>0</v>
      </c>
      <c r="F56" s="45" t="n">
        <v>0</v>
      </c>
      <c r="G56" s="45" t="n">
        <v>0</v>
      </c>
      <c r="H56" s="45" t="n">
        <v>0</v>
      </c>
      <c r="I56" s="45" t="n">
        <v>0</v>
      </c>
      <c r="J56" s="45" t="n">
        <v>3000</v>
      </c>
      <c r="K56" s="42" t="n">
        <f aca="false">SUM(E56:J56)</f>
        <v>3000</v>
      </c>
      <c r="L56" s="51"/>
      <c r="M56" s="50" t="s">
        <v>187</v>
      </c>
      <c r="N56" s="45" t="n">
        <v>48</v>
      </c>
      <c r="O56" s="45" t="n">
        <v>90</v>
      </c>
      <c r="P56" s="45" t="n">
        <v>96</v>
      </c>
      <c r="Q56" s="45" t="n">
        <v>102</v>
      </c>
      <c r="R56" s="45" t="n">
        <v>9</v>
      </c>
      <c r="S56" s="45" t="n">
        <v>0</v>
      </c>
      <c r="T56" s="45" t="n">
        <v>54</v>
      </c>
      <c r="U56" s="45" t="n">
        <v>350</v>
      </c>
      <c r="V56" s="45" t="n">
        <v>68</v>
      </c>
      <c r="W56" s="42" t="n">
        <v>27</v>
      </c>
      <c r="X56" s="45" t="n">
        <v>488</v>
      </c>
      <c r="Y56" s="45" t="n">
        <v>4</v>
      </c>
      <c r="Z56" s="45" t="n">
        <v>54</v>
      </c>
      <c r="AA56" s="45" t="n">
        <v>11</v>
      </c>
      <c r="AB56" s="45" t="n">
        <v>3</v>
      </c>
      <c r="AC56" s="45" t="n">
        <v>22</v>
      </c>
      <c r="AD56" s="45" t="n">
        <v>434</v>
      </c>
      <c r="AE56" s="45" t="n">
        <v>347</v>
      </c>
      <c r="AF56" s="45" t="n">
        <v>5</v>
      </c>
      <c r="AG56" s="45" t="n">
        <v>0</v>
      </c>
      <c r="AH56" s="45" t="n">
        <v>24</v>
      </c>
      <c r="AI56" s="45" t="n">
        <v>23</v>
      </c>
      <c r="AJ56" s="45" t="n">
        <v>11</v>
      </c>
      <c r="AK56" s="45" t="n">
        <v>28</v>
      </c>
      <c r="AL56" s="45" t="n">
        <v>10</v>
      </c>
      <c r="AM56" s="45" t="n">
        <v>223</v>
      </c>
      <c r="AN56" s="45" t="n">
        <v>0</v>
      </c>
      <c r="AO56" s="45" t="n">
        <v>130</v>
      </c>
      <c r="AP56" s="45" t="n">
        <v>35</v>
      </c>
      <c r="AQ56" s="42" t="n">
        <v>0</v>
      </c>
      <c r="AR56" s="42" t="n">
        <v>0</v>
      </c>
      <c r="AS56" s="42" t="n">
        <v>0</v>
      </c>
      <c r="AT56" s="42" t="n">
        <v>0</v>
      </c>
      <c r="AU56" s="45"/>
      <c r="AV56" s="45" t="n">
        <f aca="false">SUM(N56:AU56)</f>
        <v>2696</v>
      </c>
      <c r="AW56" s="45" t="n">
        <v>304</v>
      </c>
      <c r="AX56" s="42" t="n">
        <v>0</v>
      </c>
      <c r="AY56" s="42" t="n">
        <f aca="false">+AV56+AW56+AX56</f>
        <v>3000</v>
      </c>
      <c r="AZ56" s="45" t="n">
        <f aca="false">+K56-AY56</f>
        <v>0</v>
      </c>
      <c r="BA56" s="52"/>
    </row>
    <row r="57" customFormat="false" ht="12.75" hidden="false" customHeight="false" outlineLevel="0" collapsed="false">
      <c r="A57" s="47" t="n">
        <v>11</v>
      </c>
      <c r="B57" s="48" t="s">
        <v>188</v>
      </c>
      <c r="C57" s="48" t="s">
        <v>118</v>
      </c>
      <c r="D57" s="49" t="n">
        <v>100070</v>
      </c>
      <c r="E57" s="50" t="n">
        <v>0</v>
      </c>
      <c r="F57" s="45" t="n">
        <v>0</v>
      </c>
      <c r="G57" s="45" t="n">
        <v>0</v>
      </c>
      <c r="H57" s="45" t="n">
        <v>0</v>
      </c>
      <c r="I57" s="45" t="n">
        <v>0</v>
      </c>
      <c r="J57" s="45" t="n">
        <v>486</v>
      </c>
      <c r="K57" s="42" t="n">
        <f aca="false">SUM(E57:J57)</f>
        <v>486</v>
      </c>
      <c r="L57" s="51"/>
      <c r="M57" s="50" t="s">
        <v>147</v>
      </c>
      <c r="N57" s="45" t="n">
        <v>0</v>
      </c>
      <c r="O57" s="45" t="n">
        <v>0</v>
      </c>
      <c r="P57" s="45" t="n">
        <v>0</v>
      </c>
      <c r="Q57" s="45" t="n">
        <v>0</v>
      </c>
      <c r="R57" s="45" t="n">
        <v>0</v>
      </c>
      <c r="S57" s="45" t="n">
        <v>0</v>
      </c>
      <c r="T57" s="45" t="n">
        <v>0</v>
      </c>
      <c r="U57" s="45" t="n">
        <v>0</v>
      </c>
      <c r="V57" s="45" t="n">
        <v>0</v>
      </c>
      <c r="W57" s="42" t="n">
        <v>0</v>
      </c>
      <c r="X57" s="45" t="n">
        <v>0</v>
      </c>
      <c r="Y57" s="45" t="n">
        <v>0</v>
      </c>
      <c r="Z57" s="45" t="n">
        <v>0</v>
      </c>
      <c r="AA57" s="45" t="n">
        <v>0</v>
      </c>
      <c r="AB57" s="45" t="n">
        <v>0</v>
      </c>
      <c r="AC57" s="45" t="n">
        <v>0</v>
      </c>
      <c r="AD57" s="45" t="n">
        <v>0</v>
      </c>
      <c r="AE57" s="45" t="n">
        <v>0</v>
      </c>
      <c r="AF57" s="45" t="n">
        <v>0</v>
      </c>
      <c r="AG57" s="45" t="n">
        <v>0</v>
      </c>
      <c r="AH57" s="45" t="n">
        <v>0</v>
      </c>
      <c r="AI57" s="45" t="n">
        <v>0</v>
      </c>
      <c r="AJ57" s="45" t="n">
        <v>0</v>
      </c>
      <c r="AK57" s="45" t="n">
        <v>0</v>
      </c>
      <c r="AL57" s="45" t="n">
        <v>0</v>
      </c>
      <c r="AM57" s="45" t="n">
        <v>0</v>
      </c>
      <c r="AN57" s="45" t="n">
        <v>0</v>
      </c>
      <c r="AO57" s="45" t="n">
        <v>0</v>
      </c>
      <c r="AP57" s="45" t="n">
        <v>0</v>
      </c>
      <c r="AQ57" s="42" t="n">
        <v>0</v>
      </c>
      <c r="AR57" s="42" t="n">
        <v>0</v>
      </c>
      <c r="AS57" s="42" t="n">
        <v>0</v>
      </c>
      <c r="AT57" s="42" t="n">
        <v>0</v>
      </c>
      <c r="AU57" s="45"/>
      <c r="AV57" s="45" t="n">
        <f aca="false">SUM(N57:AU57)</f>
        <v>0</v>
      </c>
      <c r="AW57" s="45" t="n">
        <v>486</v>
      </c>
      <c r="AX57" s="42" t="n">
        <v>0</v>
      </c>
      <c r="AY57" s="42" t="n">
        <f aca="false">+AV57+AW57+AX57</f>
        <v>486</v>
      </c>
      <c r="AZ57" s="45" t="n">
        <f aca="false">+K57-AY57</f>
        <v>0</v>
      </c>
      <c r="BA57" s="52"/>
    </row>
    <row r="58" customFormat="false" ht="12.75" hidden="false" customHeight="false" outlineLevel="0" collapsed="false">
      <c r="A58" s="37" t="s">
        <v>36</v>
      </c>
      <c r="B58" s="39" t="s">
        <v>189</v>
      </c>
      <c r="C58" s="39" t="s">
        <v>178</v>
      </c>
      <c r="D58" s="40" t="n">
        <v>100072</v>
      </c>
      <c r="E58" s="41" t="n">
        <v>0</v>
      </c>
      <c r="F58" s="42" t="n">
        <v>300</v>
      </c>
      <c r="G58" s="42" t="n">
        <v>46</v>
      </c>
      <c r="H58" s="42" t="n">
        <f aca="false">27+10</f>
        <v>37</v>
      </c>
      <c r="I58" s="42" t="n">
        <v>0</v>
      </c>
      <c r="J58" s="42" t="n">
        <v>0</v>
      </c>
      <c r="K58" s="42" t="n">
        <f aca="false">SUM(E58:J58)</f>
        <v>383</v>
      </c>
      <c r="L58" s="43"/>
      <c r="M58" s="41" t="s">
        <v>156</v>
      </c>
      <c r="N58" s="42" t="n">
        <v>0</v>
      </c>
      <c r="O58" s="42" t="n">
        <v>0</v>
      </c>
      <c r="P58" s="42" t="n">
        <v>0</v>
      </c>
      <c r="Q58" s="42" t="n">
        <v>0</v>
      </c>
      <c r="R58" s="42" t="n">
        <v>0</v>
      </c>
      <c r="S58" s="42" t="n">
        <v>0</v>
      </c>
      <c r="T58" s="42" t="n">
        <v>0</v>
      </c>
      <c r="U58" s="42" t="n">
        <v>0</v>
      </c>
      <c r="V58" s="42" t="n">
        <v>0</v>
      </c>
      <c r="W58" s="42" t="n">
        <v>0</v>
      </c>
      <c r="X58" s="42" t="n">
        <v>215</v>
      </c>
      <c r="Y58" s="42" t="n">
        <v>0</v>
      </c>
      <c r="Z58" s="42" t="n">
        <v>0</v>
      </c>
      <c r="AA58" s="42" t="n">
        <v>0</v>
      </c>
      <c r="AB58" s="42" t="n">
        <v>0</v>
      </c>
      <c r="AC58" s="42" t="n">
        <v>0</v>
      </c>
      <c r="AD58" s="42" t="n">
        <v>122</v>
      </c>
      <c r="AE58" s="42" t="n">
        <v>46</v>
      </c>
      <c r="AF58" s="42" t="n">
        <v>0</v>
      </c>
      <c r="AG58" s="42" t="n">
        <v>0</v>
      </c>
      <c r="AH58" s="42" t="n">
        <v>0</v>
      </c>
      <c r="AI58" s="42" t="n">
        <v>0</v>
      </c>
      <c r="AJ58" s="42" t="n">
        <v>0</v>
      </c>
      <c r="AK58" s="42" t="n">
        <v>0</v>
      </c>
      <c r="AL58" s="42" t="n">
        <v>0</v>
      </c>
      <c r="AM58" s="42" t="n">
        <v>0</v>
      </c>
      <c r="AN58" s="42" t="n">
        <v>0</v>
      </c>
      <c r="AO58" s="42" t="n">
        <v>0</v>
      </c>
      <c r="AP58" s="42" t="n">
        <v>0</v>
      </c>
      <c r="AQ58" s="42" t="n">
        <v>0</v>
      </c>
      <c r="AR58" s="42" t="n">
        <v>0</v>
      </c>
      <c r="AS58" s="42" t="n">
        <v>0</v>
      </c>
      <c r="AT58" s="42" t="n">
        <v>0</v>
      </c>
      <c r="AU58" s="42"/>
      <c r="AV58" s="42" t="n">
        <f aca="false">SUM(N58:AU58)</f>
        <v>383</v>
      </c>
      <c r="AW58" s="42" t="n">
        <v>0</v>
      </c>
      <c r="AX58" s="42" t="n">
        <v>0</v>
      </c>
      <c r="AY58" s="42" t="n">
        <f aca="false">+AV58+AW58+AX58</f>
        <v>383</v>
      </c>
      <c r="AZ58" s="42" t="n">
        <f aca="false">+K58-AY58</f>
        <v>0</v>
      </c>
      <c r="BA58" s="46"/>
    </row>
    <row r="59" customFormat="false" ht="12.75" hidden="false" customHeight="false" outlineLevel="0" collapsed="false">
      <c r="A59" s="37" t="s">
        <v>36</v>
      </c>
      <c r="B59" s="39" t="s">
        <v>190</v>
      </c>
      <c r="C59" s="39" t="s">
        <v>165</v>
      </c>
      <c r="D59" s="40" t="n">
        <v>100073</v>
      </c>
      <c r="E59" s="41" t="n">
        <v>0</v>
      </c>
      <c r="F59" s="42" t="n">
        <v>0</v>
      </c>
      <c r="G59" s="42" t="n">
        <v>0</v>
      </c>
      <c r="H59" s="42" t="n">
        <v>3416</v>
      </c>
      <c r="I59" s="42" t="n">
        <v>0</v>
      </c>
      <c r="J59" s="42" t="n">
        <v>0</v>
      </c>
      <c r="K59" s="42" t="n">
        <f aca="false">SUM(E59:J59)</f>
        <v>3416</v>
      </c>
      <c r="L59" s="43"/>
      <c r="M59" s="41" t="s">
        <v>191</v>
      </c>
      <c r="N59" s="42" t="n">
        <v>0</v>
      </c>
      <c r="O59" s="42" t="n">
        <v>0</v>
      </c>
      <c r="P59" s="42" t="n">
        <v>0</v>
      </c>
      <c r="Q59" s="42" t="n">
        <v>0</v>
      </c>
      <c r="R59" s="42" t="n">
        <v>0</v>
      </c>
      <c r="S59" s="42" t="n">
        <v>0</v>
      </c>
      <c r="T59" s="42" t="n">
        <v>0</v>
      </c>
      <c r="U59" s="42" t="n">
        <v>0</v>
      </c>
      <c r="V59" s="42" t="n">
        <v>187</v>
      </c>
      <c r="W59" s="42" t="n">
        <v>0</v>
      </c>
      <c r="X59" s="42" t="n">
        <f aca="false">187-15-10</f>
        <v>162</v>
      </c>
      <c r="Y59" s="42" t="n">
        <v>0</v>
      </c>
      <c r="Z59" s="42" t="n">
        <v>0</v>
      </c>
      <c r="AA59" s="42" t="n">
        <v>0</v>
      </c>
      <c r="AB59" s="42" t="n">
        <v>187</v>
      </c>
      <c r="AC59" s="42" t="n">
        <v>0</v>
      </c>
      <c r="AD59" s="42" t="n">
        <v>1902</v>
      </c>
      <c r="AE59" s="42" t="n">
        <v>0</v>
      </c>
      <c r="AF59" s="42" t="n">
        <v>0</v>
      </c>
      <c r="AG59" s="42" t="n">
        <v>0</v>
      </c>
      <c r="AH59" s="42" t="n">
        <v>47</v>
      </c>
      <c r="AI59" s="42" t="n">
        <v>47</v>
      </c>
      <c r="AJ59" s="42" t="n">
        <v>47</v>
      </c>
      <c r="AK59" s="42" t="n">
        <v>0</v>
      </c>
      <c r="AL59" s="42" t="n">
        <f aca="false">47-26</f>
        <v>21</v>
      </c>
      <c r="AM59" s="42" t="n">
        <v>0</v>
      </c>
      <c r="AN59" s="42" t="n">
        <v>0</v>
      </c>
      <c r="AO59" s="42" t="n">
        <f aca="false">15+26</f>
        <v>41</v>
      </c>
      <c r="AP59" s="42" t="n">
        <v>10</v>
      </c>
      <c r="AQ59" s="42" t="n">
        <v>0</v>
      </c>
      <c r="AR59" s="42" t="n">
        <v>0</v>
      </c>
      <c r="AS59" s="42" t="n">
        <v>0</v>
      </c>
      <c r="AT59" s="42" t="n">
        <v>0</v>
      </c>
      <c r="AU59" s="42"/>
      <c r="AV59" s="42" t="n">
        <f aca="false">SUM(N59:AU59)</f>
        <v>2651</v>
      </c>
      <c r="AW59" s="42" t="n">
        <v>765</v>
      </c>
      <c r="AX59" s="42" t="n">
        <v>0</v>
      </c>
      <c r="AY59" s="42" t="n">
        <f aca="false">+AV59+AW59+AX59</f>
        <v>3416</v>
      </c>
      <c r="AZ59" s="42" t="n">
        <f aca="false">+K59-AY59</f>
        <v>0</v>
      </c>
      <c r="BA59" s="46"/>
    </row>
    <row r="60" customFormat="false" ht="12.75" hidden="false" customHeight="false" outlineLevel="0" collapsed="false">
      <c r="A60" s="37" t="s">
        <v>36</v>
      </c>
      <c r="B60" s="38" t="s">
        <v>192</v>
      </c>
      <c r="C60" s="39" t="s">
        <v>91</v>
      </c>
      <c r="D60" s="40" t="n">
        <v>100075</v>
      </c>
      <c r="E60" s="41" t="n">
        <v>0</v>
      </c>
      <c r="F60" s="42" t="n">
        <v>0</v>
      </c>
      <c r="G60" s="42" t="n">
        <v>0</v>
      </c>
      <c r="H60" s="42" t="n">
        <v>0</v>
      </c>
      <c r="I60" s="42" t="n">
        <v>0</v>
      </c>
      <c r="J60" s="42" t="n">
        <v>0</v>
      </c>
      <c r="K60" s="42" t="n">
        <f aca="false">SUM(E60:J60)</f>
        <v>0</v>
      </c>
      <c r="L60" s="43"/>
      <c r="M60" s="41" t="s">
        <v>193</v>
      </c>
      <c r="N60" s="42" t="n">
        <v>0</v>
      </c>
      <c r="O60" s="42" t="n">
        <v>0</v>
      </c>
      <c r="P60" s="42" t="n">
        <v>0</v>
      </c>
      <c r="Q60" s="42" t="n">
        <v>0</v>
      </c>
      <c r="R60" s="42" t="n">
        <v>0</v>
      </c>
      <c r="S60" s="42" t="n">
        <v>0</v>
      </c>
      <c r="T60" s="42" t="n">
        <v>0</v>
      </c>
      <c r="U60" s="42" t="n">
        <v>0</v>
      </c>
      <c r="V60" s="42" t="n">
        <v>0</v>
      </c>
      <c r="W60" s="42" t="n">
        <v>0</v>
      </c>
      <c r="X60" s="42" t="n">
        <v>0</v>
      </c>
      <c r="Y60" s="42" t="n">
        <v>0</v>
      </c>
      <c r="Z60" s="42" t="n">
        <v>0</v>
      </c>
      <c r="AA60" s="42" t="n">
        <v>0</v>
      </c>
      <c r="AB60" s="42" t="n">
        <v>0</v>
      </c>
      <c r="AC60" s="42" t="n">
        <v>0</v>
      </c>
      <c r="AD60" s="42" t="n">
        <v>0</v>
      </c>
      <c r="AE60" s="42" t="n">
        <v>0</v>
      </c>
      <c r="AF60" s="42" t="n">
        <v>0</v>
      </c>
      <c r="AG60" s="42" t="n">
        <v>0</v>
      </c>
      <c r="AH60" s="42" t="n">
        <v>0</v>
      </c>
      <c r="AI60" s="42" t="n">
        <v>0</v>
      </c>
      <c r="AJ60" s="42" t="n">
        <v>0</v>
      </c>
      <c r="AK60" s="42" t="n">
        <v>0</v>
      </c>
      <c r="AL60" s="42" t="n">
        <v>0</v>
      </c>
      <c r="AM60" s="42" t="n">
        <v>0</v>
      </c>
      <c r="AN60" s="42" t="n">
        <v>0</v>
      </c>
      <c r="AO60" s="42" t="n">
        <v>0</v>
      </c>
      <c r="AP60" s="42" t="n">
        <v>0</v>
      </c>
      <c r="AQ60" s="42" t="n">
        <v>0</v>
      </c>
      <c r="AR60" s="42" t="n">
        <v>0</v>
      </c>
      <c r="AS60" s="42" t="n">
        <v>0</v>
      </c>
      <c r="AT60" s="42" t="n">
        <v>0</v>
      </c>
      <c r="AU60" s="42"/>
      <c r="AV60" s="42" t="n">
        <f aca="false">SUM(N60:AU60)</f>
        <v>0</v>
      </c>
      <c r="AW60" s="42" t="n">
        <v>0</v>
      </c>
      <c r="AX60" s="42" t="n">
        <v>0</v>
      </c>
      <c r="AY60" s="42" t="n">
        <f aca="false">+AV60+AW60+AX60</f>
        <v>0</v>
      </c>
      <c r="AZ60" s="42" t="n">
        <f aca="false">+K60-AY60</f>
        <v>0</v>
      </c>
      <c r="BA60" s="46"/>
    </row>
    <row r="61" customFormat="false" ht="12.75" hidden="false" customHeight="false" outlineLevel="0" collapsed="false">
      <c r="A61" s="37" t="n">
        <v>11</v>
      </c>
      <c r="B61" s="39" t="s">
        <v>194</v>
      </c>
      <c r="C61" s="39" t="s">
        <v>94</v>
      </c>
      <c r="D61" s="40" t="n">
        <v>100076</v>
      </c>
      <c r="E61" s="41" t="n">
        <v>0</v>
      </c>
      <c r="F61" s="42" t="n">
        <v>0</v>
      </c>
      <c r="G61" s="42" t="n">
        <v>0</v>
      </c>
      <c r="H61" s="42" t="n">
        <v>0</v>
      </c>
      <c r="I61" s="42" t="n">
        <v>0</v>
      </c>
      <c r="J61" s="42" t="n">
        <v>0</v>
      </c>
      <c r="K61" s="42" t="n">
        <f aca="false">SUM(E61:J61)</f>
        <v>0</v>
      </c>
      <c r="L61" s="43"/>
      <c r="M61" s="41" t="s">
        <v>108</v>
      </c>
      <c r="N61" s="42" t="n">
        <v>0</v>
      </c>
      <c r="O61" s="42" t="n">
        <v>0</v>
      </c>
      <c r="P61" s="42" t="n">
        <v>0</v>
      </c>
      <c r="Q61" s="42" t="n">
        <v>0</v>
      </c>
      <c r="R61" s="42" t="n">
        <v>0</v>
      </c>
      <c r="S61" s="42" t="n">
        <v>0</v>
      </c>
      <c r="T61" s="42" t="n">
        <v>0</v>
      </c>
      <c r="U61" s="42" t="n">
        <v>0</v>
      </c>
      <c r="V61" s="42" t="n">
        <v>0</v>
      </c>
      <c r="W61" s="42" t="n">
        <v>0</v>
      </c>
      <c r="X61" s="42" t="n">
        <v>0</v>
      </c>
      <c r="Y61" s="42" t="n">
        <v>0</v>
      </c>
      <c r="Z61" s="42" t="n">
        <v>0</v>
      </c>
      <c r="AA61" s="42" t="n">
        <v>0</v>
      </c>
      <c r="AB61" s="42" t="n">
        <v>0</v>
      </c>
      <c r="AC61" s="42" t="n">
        <v>0</v>
      </c>
      <c r="AD61" s="42" t="n">
        <v>0</v>
      </c>
      <c r="AE61" s="42" t="n">
        <v>0</v>
      </c>
      <c r="AF61" s="42" t="n">
        <v>0</v>
      </c>
      <c r="AG61" s="42" t="n">
        <v>0</v>
      </c>
      <c r="AH61" s="42" t="n">
        <v>0</v>
      </c>
      <c r="AI61" s="42" t="n">
        <v>0</v>
      </c>
      <c r="AJ61" s="42" t="n">
        <v>0</v>
      </c>
      <c r="AK61" s="42" t="n">
        <v>0</v>
      </c>
      <c r="AL61" s="42" t="n">
        <v>0</v>
      </c>
      <c r="AM61" s="42" t="n">
        <v>0</v>
      </c>
      <c r="AN61" s="42" t="n">
        <v>0</v>
      </c>
      <c r="AO61" s="42" t="n">
        <v>0</v>
      </c>
      <c r="AP61" s="42" t="n">
        <v>0</v>
      </c>
      <c r="AQ61" s="42" t="n">
        <v>0</v>
      </c>
      <c r="AR61" s="42" t="n">
        <v>0</v>
      </c>
      <c r="AS61" s="42" t="n">
        <v>0</v>
      </c>
      <c r="AT61" s="42" t="n">
        <v>0</v>
      </c>
      <c r="AU61" s="42"/>
      <c r="AV61" s="42" t="n">
        <f aca="false">SUM(N61:AU61)</f>
        <v>0</v>
      </c>
      <c r="AW61" s="42" t="n">
        <v>0</v>
      </c>
      <c r="AX61" s="42" t="n">
        <v>0</v>
      </c>
      <c r="AY61" s="42" t="n">
        <f aca="false">+AV61+AW61+AX61</f>
        <v>0</v>
      </c>
      <c r="AZ61" s="42" t="n">
        <f aca="false">+K61-AY61</f>
        <v>0</v>
      </c>
      <c r="BA61" s="46"/>
    </row>
    <row r="62" customFormat="false" ht="12.75" hidden="false" customHeight="false" outlineLevel="0" collapsed="false">
      <c r="A62" s="37" t="s">
        <v>36</v>
      </c>
      <c r="B62" s="38" t="s">
        <v>195</v>
      </c>
      <c r="C62" s="39" t="s">
        <v>97</v>
      </c>
      <c r="D62" s="40" t="n">
        <v>100083</v>
      </c>
      <c r="E62" s="41" t="n">
        <v>18052</v>
      </c>
      <c r="F62" s="42" t="n">
        <v>0</v>
      </c>
      <c r="G62" s="42" t="n">
        <v>0</v>
      </c>
      <c r="H62" s="42" t="n">
        <v>0</v>
      </c>
      <c r="I62" s="42" t="n">
        <v>0</v>
      </c>
      <c r="J62" s="42" t="n">
        <v>0</v>
      </c>
      <c r="K62" s="42" t="n">
        <f aca="false">SUM(E62:J62)</f>
        <v>18052</v>
      </c>
      <c r="L62" s="43"/>
      <c r="M62" s="41" t="s">
        <v>196</v>
      </c>
      <c r="N62" s="42" t="n">
        <v>280</v>
      </c>
      <c r="O62" s="42" t="n">
        <v>476</v>
      </c>
      <c r="P62" s="42" t="n">
        <v>1302</v>
      </c>
      <c r="Q62" s="42" t="n">
        <v>0</v>
      </c>
      <c r="R62" s="42" t="n">
        <v>64</v>
      </c>
      <c r="S62" s="42" t="n">
        <v>909</v>
      </c>
      <c r="T62" s="42" t="n">
        <v>320</v>
      </c>
      <c r="U62" s="42" t="n">
        <v>1317</v>
      </c>
      <c r="V62" s="42" t="n">
        <v>598</v>
      </c>
      <c r="W62" s="42" t="n">
        <v>0</v>
      </c>
      <c r="X62" s="42" t="n">
        <v>3261</v>
      </c>
      <c r="Y62" s="42" t="n">
        <v>41</v>
      </c>
      <c r="Z62" s="42" t="n">
        <v>286</v>
      </c>
      <c r="AA62" s="42" t="n">
        <v>75</v>
      </c>
      <c r="AB62" s="42" t="n">
        <v>73</v>
      </c>
      <c r="AC62" s="42" t="n">
        <v>110</v>
      </c>
      <c r="AD62" s="42" t="n">
        <v>1963</v>
      </c>
      <c r="AE62" s="42" t="n">
        <v>2489</v>
      </c>
      <c r="AF62" s="42" t="n">
        <v>0</v>
      </c>
      <c r="AG62" s="42" t="n">
        <v>192</v>
      </c>
      <c r="AH62" s="42" t="n">
        <v>252</v>
      </c>
      <c r="AI62" s="42" t="n">
        <v>179</v>
      </c>
      <c r="AJ62" s="42" t="n">
        <v>143</v>
      </c>
      <c r="AK62" s="42" t="n">
        <v>241</v>
      </c>
      <c r="AL62" s="42" t="n">
        <v>465</v>
      </c>
      <c r="AM62" s="42" t="n">
        <v>1525</v>
      </c>
      <c r="AN62" s="42" t="n">
        <v>0</v>
      </c>
      <c r="AO62" s="42" t="n">
        <v>0</v>
      </c>
      <c r="AP62" s="42" t="n">
        <v>0</v>
      </c>
      <c r="AQ62" s="42" t="n">
        <v>0</v>
      </c>
      <c r="AR62" s="42" t="n">
        <v>0</v>
      </c>
      <c r="AS62" s="42" t="n">
        <v>0</v>
      </c>
      <c r="AT62" s="42" t="n">
        <v>0</v>
      </c>
      <c r="AU62" s="42"/>
      <c r="AV62" s="42" t="n">
        <f aca="false">SUM(N62:AU62)</f>
        <v>16561</v>
      </c>
      <c r="AW62" s="42" t="n">
        <v>1491</v>
      </c>
      <c r="AX62" s="42" t="n">
        <v>0</v>
      </c>
      <c r="AY62" s="42" t="n">
        <f aca="false">+AV62+AW62+AX62</f>
        <v>18052</v>
      </c>
      <c r="AZ62" s="42" t="n">
        <f aca="false">+K62-AY62</f>
        <v>0</v>
      </c>
      <c r="BA62" s="46"/>
    </row>
    <row r="63" customFormat="false" ht="12.75" hidden="false" customHeight="false" outlineLevel="0" collapsed="false">
      <c r="A63" s="37" t="s">
        <v>36</v>
      </c>
      <c r="B63" s="39" t="s">
        <v>197</v>
      </c>
      <c r="C63" s="39" t="s">
        <v>178</v>
      </c>
      <c r="D63" s="40" t="n">
        <v>100085</v>
      </c>
      <c r="E63" s="41" t="n">
        <v>0</v>
      </c>
      <c r="F63" s="42" t="n">
        <v>395</v>
      </c>
      <c r="G63" s="42" t="n">
        <v>95</v>
      </c>
      <c r="H63" s="42" t="n">
        <f aca="false">265+12</f>
        <v>277</v>
      </c>
      <c r="I63" s="42" t="n">
        <v>0</v>
      </c>
      <c r="J63" s="42" t="n">
        <v>0</v>
      </c>
      <c r="K63" s="42" t="n">
        <f aca="false">SUM(E63:J63)</f>
        <v>767</v>
      </c>
      <c r="L63" s="43"/>
      <c r="M63" s="41" t="s">
        <v>156</v>
      </c>
      <c r="N63" s="42" t="n">
        <v>0</v>
      </c>
      <c r="O63" s="42" t="n">
        <v>0</v>
      </c>
      <c r="P63" s="42" t="n">
        <v>0</v>
      </c>
      <c r="Q63" s="42" t="n">
        <v>0</v>
      </c>
      <c r="R63" s="42" t="n">
        <v>0</v>
      </c>
      <c r="S63" s="42" t="n">
        <v>0</v>
      </c>
      <c r="T63" s="42" t="n">
        <v>0</v>
      </c>
      <c r="U63" s="42" t="n">
        <v>0</v>
      </c>
      <c r="V63" s="42" t="n">
        <v>0</v>
      </c>
      <c r="W63" s="42" t="n">
        <v>0</v>
      </c>
      <c r="X63" s="42" t="n">
        <v>430</v>
      </c>
      <c r="Y63" s="42" t="n">
        <v>0</v>
      </c>
      <c r="Z63" s="42" t="n">
        <v>0</v>
      </c>
      <c r="AA63" s="42" t="n">
        <v>0</v>
      </c>
      <c r="AB63" s="42" t="n">
        <v>0</v>
      </c>
      <c r="AC63" s="42" t="n">
        <v>0</v>
      </c>
      <c r="AD63" s="42" t="n">
        <v>245</v>
      </c>
      <c r="AE63" s="42" t="n">
        <v>92</v>
      </c>
      <c r="AF63" s="42" t="n">
        <v>0</v>
      </c>
      <c r="AG63" s="42" t="n">
        <v>0</v>
      </c>
      <c r="AH63" s="42" t="n">
        <v>0</v>
      </c>
      <c r="AI63" s="42" t="n">
        <v>0</v>
      </c>
      <c r="AJ63" s="42" t="n">
        <v>0</v>
      </c>
      <c r="AK63" s="42" t="n">
        <v>0</v>
      </c>
      <c r="AL63" s="42" t="n">
        <v>0</v>
      </c>
      <c r="AM63" s="42" t="n">
        <v>0</v>
      </c>
      <c r="AN63" s="42" t="n">
        <v>0</v>
      </c>
      <c r="AO63" s="42" t="n">
        <v>0</v>
      </c>
      <c r="AP63" s="42" t="n">
        <v>0</v>
      </c>
      <c r="AQ63" s="42" t="n">
        <v>0</v>
      </c>
      <c r="AR63" s="42" t="n">
        <v>0</v>
      </c>
      <c r="AS63" s="42" t="n">
        <v>0</v>
      </c>
      <c r="AT63" s="42" t="n">
        <v>0</v>
      </c>
      <c r="AU63" s="42"/>
      <c r="AV63" s="45" t="n">
        <f aca="false">SUM(N63:AU63)</f>
        <v>767</v>
      </c>
      <c r="AW63" s="42" t="n">
        <v>0</v>
      </c>
      <c r="AX63" s="42" t="n">
        <v>0</v>
      </c>
      <c r="AY63" s="42" t="n">
        <f aca="false">+AV63+AW63+AX63</f>
        <v>767</v>
      </c>
      <c r="AZ63" s="42" t="n">
        <f aca="false">+K63-AY63</f>
        <v>0</v>
      </c>
      <c r="BA63" s="46"/>
    </row>
    <row r="64" customFormat="false" ht="12.75" hidden="false" customHeight="false" outlineLevel="0" collapsed="false">
      <c r="A64" s="37" t="s">
        <v>36</v>
      </c>
      <c r="B64" s="39" t="s">
        <v>198</v>
      </c>
      <c r="C64" s="39" t="s">
        <v>178</v>
      </c>
      <c r="D64" s="40" t="n">
        <v>100086</v>
      </c>
      <c r="E64" s="41" t="n">
        <f aca="false">349+23+50</f>
        <v>422</v>
      </c>
      <c r="F64" s="42" t="n">
        <v>86</v>
      </c>
      <c r="G64" s="42" t="n">
        <v>34</v>
      </c>
      <c r="H64" s="42" t="n">
        <f aca="false">180+60+8</f>
        <v>248</v>
      </c>
      <c r="I64" s="42" t="n">
        <v>0</v>
      </c>
      <c r="J64" s="42" t="n">
        <v>27</v>
      </c>
      <c r="K64" s="42" t="n">
        <f aca="false">SUM(E64:J64)</f>
        <v>817</v>
      </c>
      <c r="L64" s="43"/>
      <c r="M64" s="41" t="s">
        <v>156</v>
      </c>
      <c r="N64" s="42" t="n">
        <v>0</v>
      </c>
      <c r="O64" s="42" t="n">
        <v>0</v>
      </c>
      <c r="P64" s="42" t="n">
        <v>0</v>
      </c>
      <c r="Q64" s="42" t="n">
        <v>0</v>
      </c>
      <c r="R64" s="42" t="n">
        <v>0</v>
      </c>
      <c r="S64" s="42" t="n">
        <v>0</v>
      </c>
      <c r="T64" s="42" t="n">
        <v>0</v>
      </c>
      <c r="U64" s="42" t="n">
        <v>0</v>
      </c>
      <c r="V64" s="42" t="n">
        <v>0</v>
      </c>
      <c r="W64" s="42" t="n">
        <v>0</v>
      </c>
      <c r="X64" s="42" t="n">
        <v>817</v>
      </c>
      <c r="Y64" s="42" t="n">
        <v>0</v>
      </c>
      <c r="Z64" s="42" t="n">
        <v>0</v>
      </c>
      <c r="AA64" s="42" t="n">
        <v>0</v>
      </c>
      <c r="AB64" s="42" t="n">
        <v>0</v>
      </c>
      <c r="AC64" s="42" t="n">
        <v>0</v>
      </c>
      <c r="AD64" s="42" t="n">
        <v>0</v>
      </c>
      <c r="AE64" s="42" t="n">
        <v>0</v>
      </c>
      <c r="AF64" s="42" t="n">
        <v>0</v>
      </c>
      <c r="AG64" s="42" t="n">
        <v>0</v>
      </c>
      <c r="AH64" s="42" t="n">
        <v>0</v>
      </c>
      <c r="AI64" s="42" t="n">
        <v>0</v>
      </c>
      <c r="AJ64" s="42" t="n">
        <v>0</v>
      </c>
      <c r="AK64" s="42" t="n">
        <v>0</v>
      </c>
      <c r="AL64" s="42" t="n">
        <v>0</v>
      </c>
      <c r="AM64" s="42" t="n">
        <v>0</v>
      </c>
      <c r="AN64" s="42" t="n">
        <v>0</v>
      </c>
      <c r="AO64" s="42" t="n">
        <v>0</v>
      </c>
      <c r="AP64" s="42" t="n">
        <v>0</v>
      </c>
      <c r="AQ64" s="42" t="n">
        <v>0</v>
      </c>
      <c r="AR64" s="42" t="n">
        <v>0</v>
      </c>
      <c r="AS64" s="42" t="n">
        <v>0</v>
      </c>
      <c r="AT64" s="42" t="n">
        <v>0</v>
      </c>
      <c r="AU64" s="42"/>
      <c r="AV64" s="45" t="n">
        <f aca="false">SUM(N64:AU64)</f>
        <v>817</v>
      </c>
      <c r="AW64" s="42" t="n">
        <v>0</v>
      </c>
      <c r="AX64" s="42" t="n">
        <v>0</v>
      </c>
      <c r="AY64" s="42" t="n">
        <f aca="false">+AV64+AW64+AX64</f>
        <v>817</v>
      </c>
      <c r="AZ64" s="42" t="n">
        <f aca="false">+K64-AY64</f>
        <v>0</v>
      </c>
      <c r="BA64" s="46"/>
    </row>
    <row r="65" customFormat="false" ht="12.75" hidden="false" customHeight="false" outlineLevel="0" collapsed="false">
      <c r="A65" s="37" t="s">
        <v>36</v>
      </c>
      <c r="B65" s="39" t="s">
        <v>199</v>
      </c>
      <c r="C65" s="39" t="s">
        <v>178</v>
      </c>
      <c r="D65" s="40" t="n">
        <v>100087</v>
      </c>
      <c r="E65" s="41" t="n">
        <v>0</v>
      </c>
      <c r="F65" s="42" t="n">
        <v>400</v>
      </c>
      <c r="G65" s="42" t="n">
        <v>250</v>
      </c>
      <c r="H65" s="42" t="n">
        <f aca="false">90+20</f>
        <v>110</v>
      </c>
      <c r="I65" s="42" t="n">
        <v>0</v>
      </c>
      <c r="J65" s="42" t="n">
        <v>0</v>
      </c>
      <c r="K65" s="42" t="n">
        <f aca="false">SUM(E65:J65)</f>
        <v>760</v>
      </c>
      <c r="L65" s="43"/>
      <c r="M65" s="41" t="s">
        <v>156</v>
      </c>
      <c r="N65" s="42" t="n">
        <v>0</v>
      </c>
      <c r="O65" s="42" t="n">
        <v>0</v>
      </c>
      <c r="P65" s="42" t="n">
        <v>0</v>
      </c>
      <c r="Q65" s="42" t="n">
        <v>0</v>
      </c>
      <c r="R65" s="42" t="n">
        <v>0</v>
      </c>
      <c r="S65" s="42" t="n">
        <v>0</v>
      </c>
      <c r="T65" s="42" t="n">
        <v>0</v>
      </c>
      <c r="U65" s="42" t="n">
        <v>0</v>
      </c>
      <c r="V65" s="42" t="n">
        <v>0</v>
      </c>
      <c r="W65" s="42" t="n">
        <v>0</v>
      </c>
      <c r="X65" s="42" t="n">
        <v>426</v>
      </c>
      <c r="Y65" s="42" t="n">
        <v>0</v>
      </c>
      <c r="Z65" s="42" t="n">
        <v>0</v>
      </c>
      <c r="AA65" s="42" t="n">
        <v>0</v>
      </c>
      <c r="AB65" s="42" t="n">
        <v>0</v>
      </c>
      <c r="AC65" s="42" t="n">
        <v>0</v>
      </c>
      <c r="AD65" s="42" t="n">
        <v>243</v>
      </c>
      <c r="AE65" s="42" t="n">
        <v>91</v>
      </c>
      <c r="AF65" s="42" t="n">
        <v>0</v>
      </c>
      <c r="AG65" s="42" t="n">
        <v>0</v>
      </c>
      <c r="AH65" s="42" t="n">
        <v>0</v>
      </c>
      <c r="AI65" s="42" t="n">
        <v>0</v>
      </c>
      <c r="AJ65" s="42" t="n">
        <v>0</v>
      </c>
      <c r="AK65" s="42" t="n">
        <v>0</v>
      </c>
      <c r="AL65" s="42" t="n">
        <v>0</v>
      </c>
      <c r="AM65" s="42" t="n">
        <v>0</v>
      </c>
      <c r="AN65" s="42" t="n">
        <v>0</v>
      </c>
      <c r="AO65" s="42" t="n">
        <v>0</v>
      </c>
      <c r="AP65" s="42" t="n">
        <v>0</v>
      </c>
      <c r="AQ65" s="42" t="n">
        <v>0</v>
      </c>
      <c r="AR65" s="42" t="n">
        <v>0</v>
      </c>
      <c r="AS65" s="42" t="n">
        <v>0</v>
      </c>
      <c r="AT65" s="42" t="n">
        <v>0</v>
      </c>
      <c r="AU65" s="42"/>
      <c r="AV65" s="42" t="n">
        <f aca="false">SUM(N65:AU65)</f>
        <v>760</v>
      </c>
      <c r="AW65" s="42" t="n">
        <v>0</v>
      </c>
      <c r="AX65" s="42" t="n">
        <v>0</v>
      </c>
      <c r="AY65" s="42" t="n">
        <f aca="false">+AV65+AW65+AX65</f>
        <v>760</v>
      </c>
      <c r="AZ65" s="42" t="n">
        <f aca="false">+K65-AY65</f>
        <v>0</v>
      </c>
      <c r="BA65" s="46"/>
    </row>
    <row r="66" customFormat="false" ht="12.75" hidden="false" customHeight="false" outlineLevel="0" collapsed="false">
      <c r="A66" s="37" t="s">
        <v>36</v>
      </c>
      <c r="B66" s="39" t="s">
        <v>200</v>
      </c>
      <c r="C66" s="39" t="s">
        <v>178</v>
      </c>
      <c r="D66" s="40" t="n">
        <v>100088</v>
      </c>
      <c r="E66" s="41" t="n">
        <v>0</v>
      </c>
      <c r="F66" s="42" t="n">
        <v>480</v>
      </c>
      <c r="G66" s="42" t="n">
        <v>15</v>
      </c>
      <c r="H66" s="42" t="n">
        <f aca="false">130+10</f>
        <v>140</v>
      </c>
      <c r="I66" s="42" t="n">
        <v>0</v>
      </c>
      <c r="J66" s="42" t="n">
        <v>0</v>
      </c>
      <c r="K66" s="42" t="n">
        <f aca="false">SUM(E66:J66)</f>
        <v>635</v>
      </c>
      <c r="L66" s="43"/>
      <c r="M66" s="41" t="s">
        <v>156</v>
      </c>
      <c r="N66" s="42" t="n">
        <v>0</v>
      </c>
      <c r="O66" s="42" t="n">
        <v>0</v>
      </c>
      <c r="P66" s="42" t="n">
        <v>0</v>
      </c>
      <c r="Q66" s="42" t="n">
        <v>0</v>
      </c>
      <c r="R66" s="42" t="n">
        <v>0</v>
      </c>
      <c r="S66" s="42" t="n">
        <v>0</v>
      </c>
      <c r="T66" s="42" t="n">
        <v>0</v>
      </c>
      <c r="U66" s="42" t="n">
        <v>0</v>
      </c>
      <c r="V66" s="42" t="n">
        <v>0</v>
      </c>
      <c r="W66" s="42" t="n">
        <v>0</v>
      </c>
      <c r="X66" s="42" t="n">
        <v>356</v>
      </c>
      <c r="Y66" s="42" t="n">
        <v>0</v>
      </c>
      <c r="Z66" s="42" t="n">
        <v>0</v>
      </c>
      <c r="AA66" s="42" t="n">
        <v>0</v>
      </c>
      <c r="AB66" s="42" t="n">
        <v>0</v>
      </c>
      <c r="AC66" s="42" t="n">
        <v>0</v>
      </c>
      <c r="AD66" s="42" t="n">
        <v>203</v>
      </c>
      <c r="AE66" s="42" t="n">
        <v>76</v>
      </c>
      <c r="AF66" s="42" t="n">
        <v>0</v>
      </c>
      <c r="AG66" s="42" t="n">
        <v>0</v>
      </c>
      <c r="AH66" s="42" t="n">
        <v>0</v>
      </c>
      <c r="AI66" s="42" t="n">
        <v>0</v>
      </c>
      <c r="AJ66" s="42" t="n">
        <v>0</v>
      </c>
      <c r="AK66" s="42" t="n">
        <v>0</v>
      </c>
      <c r="AL66" s="42" t="n">
        <v>0</v>
      </c>
      <c r="AM66" s="42" t="n">
        <v>0</v>
      </c>
      <c r="AN66" s="42" t="n">
        <v>0</v>
      </c>
      <c r="AO66" s="42" t="n">
        <v>0</v>
      </c>
      <c r="AP66" s="42" t="n">
        <v>0</v>
      </c>
      <c r="AQ66" s="42" t="n">
        <v>0</v>
      </c>
      <c r="AR66" s="42" t="n">
        <v>0</v>
      </c>
      <c r="AS66" s="42" t="n">
        <v>0</v>
      </c>
      <c r="AT66" s="42" t="n">
        <v>0</v>
      </c>
      <c r="AU66" s="42"/>
      <c r="AV66" s="42" t="n">
        <f aca="false">SUM(N66:AU66)</f>
        <v>635</v>
      </c>
      <c r="AW66" s="42" t="n">
        <v>0</v>
      </c>
      <c r="AX66" s="42" t="n">
        <v>0</v>
      </c>
      <c r="AY66" s="42" t="n">
        <f aca="false">+AV66+AW66+AX66</f>
        <v>635</v>
      </c>
      <c r="AZ66" s="42" t="n">
        <f aca="false">+K66-AY66</f>
        <v>0</v>
      </c>
      <c r="BA66" s="46"/>
    </row>
    <row r="67" customFormat="false" ht="12.75" hidden="false" customHeight="false" outlineLevel="0" collapsed="false">
      <c r="A67" s="37" t="s">
        <v>36</v>
      </c>
      <c r="B67" s="39" t="s">
        <v>201</v>
      </c>
      <c r="C67" s="39" t="s">
        <v>202</v>
      </c>
      <c r="D67" s="40" t="n">
        <v>100092</v>
      </c>
      <c r="E67" s="41" t="n">
        <f aca="false">94+12+13</f>
        <v>119</v>
      </c>
      <c r="F67" s="42" t="n">
        <v>43</v>
      </c>
      <c r="G67" s="42" t="n">
        <v>3</v>
      </c>
      <c r="H67" s="42" t="n">
        <v>11</v>
      </c>
      <c r="I67" s="42" t="n">
        <f aca="false">3+18</f>
        <v>21</v>
      </c>
      <c r="J67" s="42" t="n">
        <v>8</v>
      </c>
      <c r="K67" s="42" t="n">
        <f aca="false">SUM(E67:J67)</f>
        <v>205</v>
      </c>
      <c r="L67" s="43"/>
      <c r="M67" s="41" t="s">
        <v>111</v>
      </c>
      <c r="N67" s="42" t="n">
        <v>3</v>
      </c>
      <c r="O67" s="42" t="n">
        <v>6</v>
      </c>
      <c r="P67" s="42" t="n">
        <v>7</v>
      </c>
      <c r="Q67" s="42" t="n">
        <v>7</v>
      </c>
      <c r="R67" s="42" t="n">
        <v>1</v>
      </c>
      <c r="S67" s="42" t="n">
        <v>0</v>
      </c>
      <c r="T67" s="42" t="n">
        <v>4</v>
      </c>
      <c r="U67" s="42" t="n">
        <v>24</v>
      </c>
      <c r="V67" s="42" t="n">
        <v>5</v>
      </c>
      <c r="W67" s="42" t="n">
        <v>0</v>
      </c>
      <c r="X67" s="42" t="n">
        <v>34</v>
      </c>
      <c r="Y67" s="42" t="n">
        <v>0</v>
      </c>
      <c r="Z67" s="42" t="n">
        <v>4</v>
      </c>
      <c r="AA67" s="42" t="n">
        <v>1</v>
      </c>
      <c r="AB67" s="42" t="n">
        <v>0</v>
      </c>
      <c r="AC67" s="42" t="n">
        <v>1</v>
      </c>
      <c r="AD67" s="42" t="n">
        <v>29</v>
      </c>
      <c r="AE67" s="42" t="n">
        <v>24</v>
      </c>
      <c r="AF67" s="42" t="n">
        <v>0</v>
      </c>
      <c r="AG67" s="42" t="n">
        <v>0</v>
      </c>
      <c r="AH67" s="42" t="n">
        <v>2</v>
      </c>
      <c r="AI67" s="42" t="n">
        <v>2</v>
      </c>
      <c r="AJ67" s="42" t="n">
        <v>1</v>
      </c>
      <c r="AK67" s="42" t="n">
        <v>2</v>
      </c>
      <c r="AL67" s="42" t="n">
        <v>1</v>
      </c>
      <c r="AM67" s="42" t="n">
        <v>15</v>
      </c>
      <c r="AN67" s="42" t="n">
        <v>0</v>
      </c>
      <c r="AO67" s="42" t="n">
        <v>9</v>
      </c>
      <c r="AP67" s="42" t="n">
        <v>2</v>
      </c>
      <c r="AQ67" s="42" t="n">
        <v>0</v>
      </c>
      <c r="AR67" s="42" t="n">
        <v>0</v>
      </c>
      <c r="AS67" s="42" t="n">
        <v>0</v>
      </c>
      <c r="AT67" s="42" t="n">
        <v>0</v>
      </c>
      <c r="AU67" s="42"/>
      <c r="AV67" s="45" t="n">
        <f aca="false">SUM(N67:AU67)</f>
        <v>184</v>
      </c>
      <c r="AW67" s="42" t="n">
        <v>21</v>
      </c>
      <c r="AX67" s="42" t="n">
        <v>0</v>
      </c>
      <c r="AY67" s="42" t="n">
        <f aca="false">+AV67+AW67+AX67</f>
        <v>205</v>
      </c>
      <c r="AZ67" s="42" t="n">
        <f aca="false">+K67-AY67</f>
        <v>0</v>
      </c>
      <c r="BA67" s="46"/>
    </row>
    <row r="68" customFormat="false" ht="12.75" hidden="false" customHeight="false" outlineLevel="0" collapsed="false">
      <c r="A68" s="37" t="n">
        <v>11</v>
      </c>
      <c r="B68" s="39" t="s">
        <v>203</v>
      </c>
      <c r="C68" s="39" t="s">
        <v>165</v>
      </c>
      <c r="D68" s="40" t="n">
        <v>100100</v>
      </c>
      <c r="E68" s="41" t="n">
        <f aca="false">193+17+28</f>
        <v>238</v>
      </c>
      <c r="F68" s="42" t="n">
        <v>70</v>
      </c>
      <c r="G68" s="42" t="n">
        <v>6</v>
      </c>
      <c r="H68" s="42" t="n">
        <f aca="false">135+30+4</f>
        <v>169</v>
      </c>
      <c r="I68" s="42" t="n">
        <v>0</v>
      </c>
      <c r="J68" s="42" t="n">
        <v>24</v>
      </c>
      <c r="K68" s="42" t="n">
        <f aca="false">SUM(E68:J68)</f>
        <v>507</v>
      </c>
      <c r="L68" s="43"/>
      <c r="M68" s="41" t="s">
        <v>156</v>
      </c>
      <c r="N68" s="42" t="n">
        <v>0</v>
      </c>
      <c r="O68" s="42" t="n">
        <v>0</v>
      </c>
      <c r="P68" s="42" t="n">
        <v>0</v>
      </c>
      <c r="Q68" s="42" t="n">
        <v>0</v>
      </c>
      <c r="R68" s="42" t="n">
        <v>0</v>
      </c>
      <c r="S68" s="42" t="n">
        <v>0</v>
      </c>
      <c r="T68" s="42" t="n">
        <v>0</v>
      </c>
      <c r="U68" s="42" t="n">
        <v>0</v>
      </c>
      <c r="V68" s="42" t="n">
        <v>0</v>
      </c>
      <c r="W68" s="42" t="n">
        <v>0</v>
      </c>
      <c r="X68" s="42" t="n">
        <v>507</v>
      </c>
      <c r="Y68" s="42" t="n">
        <v>0</v>
      </c>
      <c r="Z68" s="42" t="n">
        <v>0</v>
      </c>
      <c r="AA68" s="42" t="n">
        <v>0</v>
      </c>
      <c r="AB68" s="42" t="n">
        <v>0</v>
      </c>
      <c r="AC68" s="42" t="n">
        <v>0</v>
      </c>
      <c r="AD68" s="42" t="n">
        <v>0</v>
      </c>
      <c r="AE68" s="42" t="n">
        <v>0</v>
      </c>
      <c r="AF68" s="42" t="n">
        <v>0</v>
      </c>
      <c r="AG68" s="42" t="n">
        <v>0</v>
      </c>
      <c r="AH68" s="42" t="n">
        <v>0</v>
      </c>
      <c r="AI68" s="42" t="n">
        <v>0</v>
      </c>
      <c r="AJ68" s="42" t="n">
        <v>0</v>
      </c>
      <c r="AK68" s="42" t="n">
        <v>0</v>
      </c>
      <c r="AL68" s="42" t="n">
        <v>0</v>
      </c>
      <c r="AM68" s="42" t="n">
        <v>0</v>
      </c>
      <c r="AN68" s="42" t="n">
        <v>0</v>
      </c>
      <c r="AO68" s="42" t="n">
        <v>0</v>
      </c>
      <c r="AP68" s="42" t="n">
        <v>0</v>
      </c>
      <c r="AQ68" s="42" t="n">
        <v>0</v>
      </c>
      <c r="AR68" s="42" t="n">
        <v>0</v>
      </c>
      <c r="AS68" s="42" t="n">
        <v>0</v>
      </c>
      <c r="AT68" s="42" t="n">
        <v>0</v>
      </c>
      <c r="AU68" s="42"/>
      <c r="AV68" s="45" t="n">
        <f aca="false">SUM(N68:AU68)</f>
        <v>507</v>
      </c>
      <c r="AW68" s="42" t="n">
        <v>0</v>
      </c>
      <c r="AX68" s="42" t="n">
        <v>0</v>
      </c>
      <c r="AY68" s="42" t="n">
        <f aca="false">+AV68+AW68+AX68</f>
        <v>507</v>
      </c>
      <c r="AZ68" s="42" t="n">
        <f aca="false">+K68-AY68</f>
        <v>0</v>
      </c>
      <c r="BA68" s="46"/>
    </row>
    <row r="69" customFormat="false" ht="12.75" hidden="false" customHeight="false" outlineLevel="0" collapsed="false">
      <c r="A69" s="37" t="n">
        <v>11</v>
      </c>
      <c r="B69" s="39" t="s">
        <v>204</v>
      </c>
      <c r="C69" s="39" t="s">
        <v>165</v>
      </c>
      <c r="D69" s="40" t="n">
        <v>100102</v>
      </c>
      <c r="E69" s="41" t="n">
        <f aca="false">643+65+100</f>
        <v>808</v>
      </c>
      <c r="F69" s="42" t="n">
        <v>187</v>
      </c>
      <c r="G69" s="42" t="n">
        <v>17</v>
      </c>
      <c r="H69" s="42" t="n">
        <f aca="false">600+95</f>
        <v>695</v>
      </c>
      <c r="I69" s="42" t="n">
        <v>0</v>
      </c>
      <c r="J69" s="42" t="n">
        <v>31</v>
      </c>
      <c r="K69" s="42" t="n">
        <f aca="false">SUM(E69:J69)</f>
        <v>1738</v>
      </c>
      <c r="L69" s="43"/>
      <c r="M69" s="41" t="s">
        <v>108</v>
      </c>
      <c r="N69" s="42" t="n">
        <v>0</v>
      </c>
      <c r="O69" s="42" t="n">
        <v>0</v>
      </c>
      <c r="P69" s="42" t="n">
        <v>0</v>
      </c>
      <c r="Q69" s="42" t="n">
        <v>0</v>
      </c>
      <c r="R69" s="42" t="n">
        <v>0</v>
      </c>
      <c r="S69" s="42" t="n">
        <v>0</v>
      </c>
      <c r="T69" s="42" t="n">
        <v>0</v>
      </c>
      <c r="U69" s="42" t="n">
        <v>0</v>
      </c>
      <c r="V69" s="42" t="n">
        <v>0</v>
      </c>
      <c r="W69" s="42" t="n">
        <v>0</v>
      </c>
      <c r="X69" s="42" t="n">
        <v>0</v>
      </c>
      <c r="Y69" s="42" t="n">
        <v>0</v>
      </c>
      <c r="Z69" s="42" t="n">
        <v>0</v>
      </c>
      <c r="AA69" s="42" t="n">
        <v>0</v>
      </c>
      <c r="AB69" s="42" t="n">
        <v>0</v>
      </c>
      <c r="AC69" s="42" t="n">
        <v>0</v>
      </c>
      <c r="AD69" s="42" t="n">
        <v>0</v>
      </c>
      <c r="AE69" s="42" t="n">
        <v>0</v>
      </c>
      <c r="AF69" s="42" t="n">
        <v>0</v>
      </c>
      <c r="AG69" s="42" t="n">
        <v>0</v>
      </c>
      <c r="AH69" s="42" t="n">
        <v>0</v>
      </c>
      <c r="AI69" s="42" t="n">
        <v>0</v>
      </c>
      <c r="AJ69" s="42" t="n">
        <v>0</v>
      </c>
      <c r="AK69" s="42" t="n">
        <v>0</v>
      </c>
      <c r="AL69" s="42" t="n">
        <v>0</v>
      </c>
      <c r="AM69" s="42" t="n">
        <v>0</v>
      </c>
      <c r="AN69" s="42" t="n">
        <v>0</v>
      </c>
      <c r="AO69" s="42" t="n">
        <v>0</v>
      </c>
      <c r="AP69" s="42" t="n">
        <v>0</v>
      </c>
      <c r="AQ69" s="42" t="n">
        <v>0</v>
      </c>
      <c r="AR69" s="42" t="n">
        <v>0</v>
      </c>
      <c r="AS69" s="42" t="n">
        <v>0</v>
      </c>
      <c r="AT69" s="42" t="n">
        <v>0</v>
      </c>
      <c r="AU69" s="42"/>
      <c r="AV69" s="42" t="n">
        <f aca="false">SUM(N69:AU69)</f>
        <v>0</v>
      </c>
      <c r="AW69" s="42" t="n">
        <v>1738</v>
      </c>
      <c r="AX69" s="42" t="n">
        <v>0</v>
      </c>
      <c r="AY69" s="42" t="n">
        <f aca="false">+AV69+AW69+AX69</f>
        <v>1738</v>
      </c>
      <c r="AZ69" s="42" t="n">
        <f aca="false">+K69-AY69</f>
        <v>0</v>
      </c>
      <c r="BA69" s="46"/>
    </row>
    <row r="70" customFormat="false" ht="12.75" hidden="false" customHeight="false" outlineLevel="0" collapsed="false">
      <c r="A70" s="47" t="n">
        <v>11</v>
      </c>
      <c r="B70" s="48" t="s">
        <v>205</v>
      </c>
      <c r="C70" s="48" t="s">
        <v>165</v>
      </c>
      <c r="D70" s="49" t="n">
        <v>100105</v>
      </c>
      <c r="E70" s="50" t="n">
        <v>0</v>
      </c>
      <c r="F70" s="45" t="n">
        <v>0</v>
      </c>
      <c r="G70" s="45" t="n">
        <v>0</v>
      </c>
      <c r="H70" s="45" t="n">
        <v>0</v>
      </c>
      <c r="I70" s="45" t="n">
        <v>0</v>
      </c>
      <c r="J70" s="45" t="n">
        <v>0</v>
      </c>
      <c r="K70" s="42" t="n">
        <f aca="false">SUM(E70:J70)</f>
        <v>0</v>
      </c>
      <c r="L70" s="51"/>
      <c r="M70" s="50" t="s">
        <v>98</v>
      </c>
      <c r="N70" s="45" t="n">
        <v>0</v>
      </c>
      <c r="O70" s="45" t="n">
        <v>0</v>
      </c>
      <c r="P70" s="45" t="n">
        <v>0</v>
      </c>
      <c r="Q70" s="45" t="n">
        <v>0</v>
      </c>
      <c r="R70" s="45" t="n">
        <v>0</v>
      </c>
      <c r="S70" s="45" t="n">
        <v>0</v>
      </c>
      <c r="T70" s="45" t="n">
        <v>0</v>
      </c>
      <c r="U70" s="45" t="n">
        <v>0</v>
      </c>
      <c r="V70" s="45" t="n">
        <v>0</v>
      </c>
      <c r="W70" s="42" t="n">
        <v>0</v>
      </c>
      <c r="X70" s="45" t="n">
        <v>0</v>
      </c>
      <c r="Y70" s="45" t="n">
        <v>0</v>
      </c>
      <c r="Z70" s="45" t="n">
        <v>0</v>
      </c>
      <c r="AA70" s="45" t="n">
        <v>0</v>
      </c>
      <c r="AB70" s="45" t="n">
        <v>0</v>
      </c>
      <c r="AC70" s="45" t="n">
        <v>0</v>
      </c>
      <c r="AD70" s="45" t="n">
        <v>0</v>
      </c>
      <c r="AE70" s="45" t="n">
        <v>0</v>
      </c>
      <c r="AF70" s="45" t="n">
        <v>0</v>
      </c>
      <c r="AG70" s="45" t="n">
        <v>0</v>
      </c>
      <c r="AH70" s="45" t="n">
        <v>0</v>
      </c>
      <c r="AI70" s="45" t="n">
        <v>0</v>
      </c>
      <c r="AJ70" s="45" t="n">
        <v>0</v>
      </c>
      <c r="AK70" s="45" t="n">
        <v>0</v>
      </c>
      <c r="AL70" s="45" t="n">
        <v>0</v>
      </c>
      <c r="AM70" s="42" t="n">
        <v>0</v>
      </c>
      <c r="AN70" s="42" t="n">
        <v>0</v>
      </c>
      <c r="AO70" s="42" t="n">
        <v>0</v>
      </c>
      <c r="AP70" s="42" t="n">
        <v>0</v>
      </c>
      <c r="AQ70" s="42" t="n">
        <v>0</v>
      </c>
      <c r="AR70" s="42" t="n">
        <v>0</v>
      </c>
      <c r="AS70" s="42" t="n">
        <v>0</v>
      </c>
      <c r="AT70" s="42" t="n">
        <v>0</v>
      </c>
      <c r="AU70" s="45"/>
      <c r="AV70" s="45" t="n">
        <f aca="false">SUM(N70:AU70)</f>
        <v>0</v>
      </c>
      <c r="AW70" s="45" t="n">
        <v>0</v>
      </c>
      <c r="AX70" s="42" t="n">
        <v>0</v>
      </c>
      <c r="AY70" s="42" t="n">
        <f aca="false">+AV70+AW70+AX70</f>
        <v>0</v>
      </c>
      <c r="AZ70" s="45" t="n">
        <f aca="false">+K70-AY70</f>
        <v>0</v>
      </c>
      <c r="BA70" s="52"/>
    </row>
    <row r="71" customFormat="false" ht="12.75" hidden="false" customHeight="false" outlineLevel="0" collapsed="false">
      <c r="A71" s="37" t="n">
        <v>11</v>
      </c>
      <c r="B71" s="39" t="s">
        <v>206</v>
      </c>
      <c r="C71" s="39" t="s">
        <v>207</v>
      </c>
      <c r="D71" s="40" t="n">
        <v>100108</v>
      </c>
      <c r="E71" s="41" t="n">
        <v>0</v>
      </c>
      <c r="F71" s="42" t="n">
        <v>311</v>
      </c>
      <c r="G71" s="42" t="n">
        <v>5</v>
      </c>
      <c r="H71" s="42" t="n">
        <f aca="false">5+9</f>
        <v>14</v>
      </c>
      <c r="I71" s="42" t="n">
        <v>0</v>
      </c>
      <c r="J71" s="42" t="n">
        <v>0</v>
      </c>
      <c r="K71" s="42" t="n">
        <f aca="false">SUM(E71:J71)</f>
        <v>330</v>
      </c>
      <c r="L71" s="43"/>
      <c r="M71" s="41" t="s">
        <v>156</v>
      </c>
      <c r="N71" s="42" t="n">
        <v>0</v>
      </c>
      <c r="O71" s="42" t="n">
        <v>0</v>
      </c>
      <c r="P71" s="42" t="n">
        <v>0</v>
      </c>
      <c r="Q71" s="42" t="n">
        <v>0</v>
      </c>
      <c r="R71" s="42" t="n">
        <v>0</v>
      </c>
      <c r="S71" s="42" t="n">
        <v>0</v>
      </c>
      <c r="T71" s="42" t="n">
        <v>0</v>
      </c>
      <c r="U71" s="42" t="n">
        <v>0</v>
      </c>
      <c r="V71" s="42" t="n">
        <v>0</v>
      </c>
      <c r="W71" s="42" t="n">
        <v>0</v>
      </c>
      <c r="X71" s="42" t="n">
        <v>185</v>
      </c>
      <c r="Y71" s="42" t="n">
        <v>0</v>
      </c>
      <c r="Z71" s="42" t="n">
        <v>0</v>
      </c>
      <c r="AA71" s="42" t="n">
        <v>0</v>
      </c>
      <c r="AB71" s="42" t="n">
        <v>0</v>
      </c>
      <c r="AC71" s="42" t="n">
        <v>0</v>
      </c>
      <c r="AD71" s="42" t="n">
        <v>105</v>
      </c>
      <c r="AE71" s="42" t="n">
        <v>40</v>
      </c>
      <c r="AF71" s="42" t="n">
        <v>0</v>
      </c>
      <c r="AG71" s="42" t="n">
        <v>0</v>
      </c>
      <c r="AH71" s="42" t="n">
        <v>0</v>
      </c>
      <c r="AI71" s="42" t="n">
        <v>0</v>
      </c>
      <c r="AJ71" s="42" t="n">
        <v>0</v>
      </c>
      <c r="AK71" s="42" t="n">
        <v>0</v>
      </c>
      <c r="AL71" s="42" t="n">
        <v>0</v>
      </c>
      <c r="AM71" s="42" t="n">
        <v>0</v>
      </c>
      <c r="AN71" s="42" t="n">
        <v>0</v>
      </c>
      <c r="AO71" s="42" t="n">
        <v>0</v>
      </c>
      <c r="AP71" s="42" t="n">
        <v>0</v>
      </c>
      <c r="AQ71" s="42" t="n">
        <v>0</v>
      </c>
      <c r="AR71" s="42" t="n">
        <v>0</v>
      </c>
      <c r="AS71" s="42" t="n">
        <v>0</v>
      </c>
      <c r="AT71" s="42" t="n">
        <v>0</v>
      </c>
      <c r="AU71" s="42"/>
      <c r="AV71" s="42" t="n">
        <f aca="false">SUM(N71:AU71)</f>
        <v>330</v>
      </c>
      <c r="AW71" s="42" t="n">
        <v>0</v>
      </c>
      <c r="AX71" s="42" t="n">
        <v>0</v>
      </c>
      <c r="AY71" s="42" t="n">
        <f aca="false">+AV71+AW71+AX71</f>
        <v>330</v>
      </c>
      <c r="AZ71" s="42" t="n">
        <f aca="false">+K71-AY71</f>
        <v>0</v>
      </c>
      <c r="BA71" s="46"/>
    </row>
    <row r="72" customFormat="false" ht="12.75" hidden="false" customHeight="false" outlineLevel="0" collapsed="false">
      <c r="A72" s="37" t="n">
        <v>11</v>
      </c>
      <c r="B72" s="39" t="s">
        <v>208</v>
      </c>
      <c r="C72" s="39" t="s">
        <v>94</v>
      </c>
      <c r="D72" s="40" t="n">
        <v>100109</v>
      </c>
      <c r="E72" s="41" t="n">
        <v>0</v>
      </c>
      <c r="F72" s="42" t="n">
        <v>0</v>
      </c>
      <c r="G72" s="42" t="n">
        <v>0</v>
      </c>
      <c r="H72" s="42" t="n">
        <v>0</v>
      </c>
      <c r="I72" s="42" t="n">
        <v>0</v>
      </c>
      <c r="J72" s="42" t="n">
        <v>0</v>
      </c>
      <c r="K72" s="42" t="n">
        <f aca="false">SUM(E72:J72)</f>
        <v>0</v>
      </c>
      <c r="L72" s="43"/>
      <c r="M72" s="41" t="s">
        <v>98</v>
      </c>
      <c r="N72" s="42" t="n">
        <v>0</v>
      </c>
      <c r="O72" s="42" t="n">
        <v>0</v>
      </c>
      <c r="P72" s="42" t="n">
        <v>0</v>
      </c>
      <c r="Q72" s="42" t="n">
        <v>0</v>
      </c>
      <c r="R72" s="42" t="n">
        <v>0</v>
      </c>
      <c r="S72" s="42" t="n">
        <v>0</v>
      </c>
      <c r="T72" s="42" t="n">
        <v>0</v>
      </c>
      <c r="U72" s="42" t="n">
        <v>0</v>
      </c>
      <c r="V72" s="42" t="n">
        <v>0</v>
      </c>
      <c r="W72" s="42" t="n">
        <v>0</v>
      </c>
      <c r="X72" s="42" t="n">
        <v>0</v>
      </c>
      <c r="Y72" s="42" t="n">
        <v>0</v>
      </c>
      <c r="Z72" s="42" t="n">
        <v>0</v>
      </c>
      <c r="AA72" s="42" t="n">
        <v>0</v>
      </c>
      <c r="AB72" s="42" t="n">
        <v>0</v>
      </c>
      <c r="AC72" s="42" t="n">
        <v>0</v>
      </c>
      <c r="AD72" s="42" t="n">
        <v>0</v>
      </c>
      <c r="AE72" s="42" t="n">
        <v>0</v>
      </c>
      <c r="AF72" s="42" t="n">
        <v>0</v>
      </c>
      <c r="AG72" s="42" t="n">
        <v>0</v>
      </c>
      <c r="AH72" s="42" t="n">
        <v>0</v>
      </c>
      <c r="AI72" s="42" t="n">
        <v>0</v>
      </c>
      <c r="AJ72" s="42" t="n">
        <v>0</v>
      </c>
      <c r="AK72" s="42" t="n">
        <v>0</v>
      </c>
      <c r="AL72" s="42" t="n">
        <v>0</v>
      </c>
      <c r="AM72" s="42" t="n">
        <v>0</v>
      </c>
      <c r="AN72" s="42" t="n">
        <v>0</v>
      </c>
      <c r="AO72" s="42" t="n">
        <v>0</v>
      </c>
      <c r="AP72" s="42" t="n">
        <v>0</v>
      </c>
      <c r="AQ72" s="42" t="n">
        <v>0</v>
      </c>
      <c r="AR72" s="42" t="n">
        <v>0</v>
      </c>
      <c r="AS72" s="42" t="n">
        <v>0</v>
      </c>
      <c r="AT72" s="42" t="n">
        <v>0</v>
      </c>
      <c r="AU72" s="42"/>
      <c r="AV72" s="42" t="n">
        <f aca="false">SUM(N72:AU72)</f>
        <v>0</v>
      </c>
      <c r="AW72" s="42" t="n">
        <v>0</v>
      </c>
      <c r="AX72" s="42" t="n">
        <v>0</v>
      </c>
      <c r="AY72" s="42" t="n">
        <f aca="false">+AV72+AW72+AX72</f>
        <v>0</v>
      </c>
      <c r="AZ72" s="42" t="n">
        <f aca="false">+K72-AY72</f>
        <v>0</v>
      </c>
      <c r="BA72" s="46"/>
    </row>
    <row r="73" customFormat="false" ht="12.75" hidden="false" customHeight="false" outlineLevel="0" collapsed="false">
      <c r="A73" s="37" t="s">
        <v>36</v>
      </c>
      <c r="B73" s="38" t="s">
        <v>209</v>
      </c>
      <c r="C73" s="39" t="s">
        <v>210</v>
      </c>
      <c r="D73" s="40" t="n">
        <v>100110</v>
      </c>
      <c r="E73" s="41" t="n">
        <f aca="false">164+20+25</f>
        <v>209</v>
      </c>
      <c r="F73" s="42" t="n">
        <v>62</v>
      </c>
      <c r="G73" s="42" t="n">
        <v>2</v>
      </c>
      <c r="H73" s="42" t="n">
        <f aca="false">28+20</f>
        <v>48</v>
      </c>
      <c r="I73" s="42" t="n">
        <f aca="false">6+36</f>
        <v>42</v>
      </c>
      <c r="J73" s="42" t="n">
        <v>8</v>
      </c>
      <c r="K73" s="42" t="n">
        <f aca="false">SUM(E73:J73)</f>
        <v>371</v>
      </c>
      <c r="L73" s="43"/>
      <c r="M73" s="41" t="s">
        <v>111</v>
      </c>
      <c r="N73" s="42" t="n">
        <v>6</v>
      </c>
      <c r="O73" s="42" t="n">
        <v>11</v>
      </c>
      <c r="P73" s="42" t="n">
        <v>12</v>
      </c>
      <c r="Q73" s="42" t="n">
        <v>13</v>
      </c>
      <c r="R73" s="42" t="n">
        <v>1</v>
      </c>
      <c r="S73" s="42" t="n">
        <v>0</v>
      </c>
      <c r="T73" s="42" t="n">
        <v>7</v>
      </c>
      <c r="U73" s="42" t="n">
        <v>43</v>
      </c>
      <c r="V73" s="42" t="n">
        <v>10</v>
      </c>
      <c r="W73" s="42" t="n">
        <v>0</v>
      </c>
      <c r="X73" s="42" t="n">
        <v>63</v>
      </c>
      <c r="Y73" s="42" t="n">
        <v>1</v>
      </c>
      <c r="Z73" s="42" t="n">
        <v>7</v>
      </c>
      <c r="AA73" s="42" t="n">
        <v>1</v>
      </c>
      <c r="AB73" s="42" t="n">
        <v>0</v>
      </c>
      <c r="AC73" s="42" t="n">
        <v>3</v>
      </c>
      <c r="AD73" s="42" t="n">
        <v>53</v>
      </c>
      <c r="AE73" s="42" t="n">
        <v>43</v>
      </c>
      <c r="AF73" s="42" t="n">
        <v>1</v>
      </c>
      <c r="AG73" s="42" t="n">
        <v>0</v>
      </c>
      <c r="AH73" s="42" t="n">
        <v>3</v>
      </c>
      <c r="AI73" s="42" t="n">
        <v>3</v>
      </c>
      <c r="AJ73" s="42" t="n">
        <v>1</v>
      </c>
      <c r="AK73" s="42" t="n">
        <v>4</v>
      </c>
      <c r="AL73" s="42" t="n">
        <v>1</v>
      </c>
      <c r="AM73" s="42" t="n">
        <v>26</v>
      </c>
      <c r="AN73" s="42" t="n">
        <v>0</v>
      </c>
      <c r="AO73" s="42" t="n">
        <v>16</v>
      </c>
      <c r="AP73" s="42" t="n">
        <v>4</v>
      </c>
      <c r="AQ73" s="42" t="n">
        <v>0</v>
      </c>
      <c r="AR73" s="42" t="n">
        <v>0</v>
      </c>
      <c r="AS73" s="42" t="n">
        <v>0</v>
      </c>
      <c r="AT73" s="42" t="n">
        <v>0</v>
      </c>
      <c r="AU73" s="42"/>
      <c r="AV73" s="45" t="n">
        <f aca="false">SUM(N73:AU73)</f>
        <v>333</v>
      </c>
      <c r="AW73" s="42" t="n">
        <v>38</v>
      </c>
      <c r="AX73" s="42" t="n">
        <v>0</v>
      </c>
      <c r="AY73" s="42" t="n">
        <f aca="false">+AV73+AW73+AX73</f>
        <v>371</v>
      </c>
      <c r="AZ73" s="42" t="n">
        <f aca="false">+K73-AY73</f>
        <v>0</v>
      </c>
      <c r="BA73" s="46"/>
    </row>
    <row r="74" customFormat="false" ht="12.75" hidden="false" customHeight="false" outlineLevel="0" collapsed="false">
      <c r="A74" s="37" t="n">
        <v>11</v>
      </c>
      <c r="B74" s="39" t="s">
        <v>211</v>
      </c>
      <c r="C74" s="39" t="s">
        <v>97</v>
      </c>
      <c r="D74" s="40" t="n">
        <v>100111</v>
      </c>
      <c r="E74" s="41" t="n">
        <v>0</v>
      </c>
      <c r="F74" s="42" t="n">
        <v>0</v>
      </c>
      <c r="G74" s="42" t="n">
        <v>0</v>
      </c>
      <c r="H74" s="42" t="n">
        <v>0</v>
      </c>
      <c r="I74" s="42" t="n">
        <v>0</v>
      </c>
      <c r="J74" s="42" t="n">
        <v>110</v>
      </c>
      <c r="K74" s="42" t="n">
        <f aca="false">SUM(E74:J74)</f>
        <v>110</v>
      </c>
      <c r="L74" s="43"/>
      <c r="M74" s="41" t="s">
        <v>98</v>
      </c>
      <c r="N74" s="42" t="n">
        <v>0</v>
      </c>
      <c r="O74" s="42" t="n">
        <v>0</v>
      </c>
      <c r="P74" s="42" t="n">
        <v>0</v>
      </c>
      <c r="Q74" s="42" t="n">
        <v>0</v>
      </c>
      <c r="R74" s="42" t="n">
        <v>0</v>
      </c>
      <c r="S74" s="42" t="n">
        <v>0</v>
      </c>
      <c r="T74" s="42" t="n">
        <v>0</v>
      </c>
      <c r="U74" s="42" t="n">
        <v>0</v>
      </c>
      <c r="V74" s="42" t="n">
        <v>0</v>
      </c>
      <c r="W74" s="42" t="n">
        <v>0</v>
      </c>
      <c r="X74" s="42" t="n">
        <v>0</v>
      </c>
      <c r="Y74" s="42" t="n">
        <v>0</v>
      </c>
      <c r="Z74" s="42" t="n">
        <v>0</v>
      </c>
      <c r="AA74" s="42" t="n">
        <v>0</v>
      </c>
      <c r="AB74" s="42" t="n">
        <v>0</v>
      </c>
      <c r="AC74" s="42" t="n">
        <v>0</v>
      </c>
      <c r="AD74" s="42" t="n">
        <v>0</v>
      </c>
      <c r="AE74" s="42" t="n">
        <v>0</v>
      </c>
      <c r="AF74" s="42" t="n">
        <v>0</v>
      </c>
      <c r="AG74" s="42" t="n">
        <v>0</v>
      </c>
      <c r="AH74" s="42" t="n">
        <v>0</v>
      </c>
      <c r="AI74" s="42" t="n">
        <v>0</v>
      </c>
      <c r="AJ74" s="42" t="n">
        <v>0</v>
      </c>
      <c r="AK74" s="42" t="n">
        <v>0</v>
      </c>
      <c r="AL74" s="42" t="n">
        <v>0</v>
      </c>
      <c r="AM74" s="42" t="n">
        <v>0</v>
      </c>
      <c r="AN74" s="42" t="n">
        <v>0</v>
      </c>
      <c r="AO74" s="42" t="n">
        <v>0</v>
      </c>
      <c r="AP74" s="42" t="n">
        <v>0</v>
      </c>
      <c r="AQ74" s="42" t="n">
        <v>0</v>
      </c>
      <c r="AR74" s="42" t="n">
        <v>0</v>
      </c>
      <c r="AS74" s="42" t="n">
        <v>0</v>
      </c>
      <c r="AT74" s="42" t="n">
        <v>0</v>
      </c>
      <c r="AU74" s="42"/>
      <c r="AV74" s="42" t="n">
        <f aca="false">SUM(N74:AU74)</f>
        <v>0</v>
      </c>
      <c r="AW74" s="42" t="n">
        <v>110</v>
      </c>
      <c r="AX74" s="42" t="n">
        <v>0</v>
      </c>
      <c r="AY74" s="42" t="n">
        <f aca="false">+AV74+AW74+AX74</f>
        <v>110</v>
      </c>
      <c r="AZ74" s="42" t="n">
        <f aca="false">+K74-AY74</f>
        <v>0</v>
      </c>
      <c r="BA74" s="46"/>
    </row>
    <row r="75" customFormat="false" ht="12.75" hidden="false" customHeight="false" outlineLevel="0" collapsed="false">
      <c r="A75" s="37" t="s">
        <v>36</v>
      </c>
      <c r="B75" s="38" t="s">
        <v>212</v>
      </c>
      <c r="C75" s="39" t="s">
        <v>91</v>
      </c>
      <c r="D75" s="40" t="n">
        <v>100112</v>
      </c>
      <c r="E75" s="41" t="n">
        <v>0</v>
      </c>
      <c r="F75" s="42" t="n">
        <v>0</v>
      </c>
      <c r="G75" s="42" t="n">
        <v>0</v>
      </c>
      <c r="H75" s="42" t="n">
        <v>0</v>
      </c>
      <c r="I75" s="42" t="n">
        <v>0</v>
      </c>
      <c r="J75" s="42" t="n">
        <v>78748</v>
      </c>
      <c r="K75" s="42" t="n">
        <f aca="false">SUM(E75:J75)</f>
        <v>78748</v>
      </c>
      <c r="L75" s="43"/>
      <c r="M75" s="41" t="s">
        <v>100</v>
      </c>
      <c r="N75" s="42" t="n">
        <v>65</v>
      </c>
      <c r="O75" s="42" t="n">
        <v>168</v>
      </c>
      <c r="P75" s="42" t="n">
        <v>955</v>
      </c>
      <c r="Q75" s="42" t="n">
        <v>0</v>
      </c>
      <c r="R75" s="42" t="n">
        <v>110</v>
      </c>
      <c r="S75" s="42" t="n">
        <v>0</v>
      </c>
      <c r="T75" s="42" t="n">
        <v>367</v>
      </c>
      <c r="U75" s="42" t="n">
        <v>472</v>
      </c>
      <c r="V75" s="42" t="n">
        <f aca="false">1309+49+20+10</f>
        <v>1388</v>
      </c>
      <c r="W75" s="42" t="n">
        <v>4</v>
      </c>
      <c r="X75" s="42" t="n">
        <f aca="false">12844-1518-1067</f>
        <v>10259</v>
      </c>
      <c r="Y75" s="42" t="n">
        <v>0</v>
      </c>
      <c r="Z75" s="42" t="n">
        <v>85</v>
      </c>
      <c r="AA75" s="42" t="n">
        <v>0</v>
      </c>
      <c r="AB75" s="42" t="n">
        <v>8564</v>
      </c>
      <c r="AC75" s="42" t="n">
        <v>985</v>
      </c>
      <c r="AD75" s="42" t="n">
        <v>10441</v>
      </c>
      <c r="AE75" s="42" t="n">
        <v>16751</v>
      </c>
      <c r="AF75" s="42" t="n">
        <v>134</v>
      </c>
      <c r="AG75" s="42" t="n">
        <v>296</v>
      </c>
      <c r="AH75" s="42" t="n">
        <f aca="false">1336-225</f>
        <v>1111</v>
      </c>
      <c r="AI75" s="42" t="n">
        <v>2097</v>
      </c>
      <c r="AJ75" s="42" t="n">
        <v>825</v>
      </c>
      <c r="AK75" s="42" t="n">
        <v>375</v>
      </c>
      <c r="AL75" s="42" t="n">
        <f aca="false">1350-743-63</f>
        <v>544</v>
      </c>
      <c r="AM75" s="42" t="n">
        <v>1573</v>
      </c>
      <c r="AN75" s="42" t="n">
        <v>0</v>
      </c>
      <c r="AO75" s="42" t="n">
        <f aca="false">1518+743</f>
        <v>2261</v>
      </c>
      <c r="AP75" s="42" t="n">
        <v>1067</v>
      </c>
      <c r="AQ75" s="42" t="n">
        <v>0</v>
      </c>
      <c r="AR75" s="42" t="n">
        <v>0</v>
      </c>
      <c r="AS75" s="42" t="n">
        <v>0</v>
      </c>
      <c r="AT75" s="42" t="n">
        <v>0</v>
      </c>
      <c r="AU75" s="42"/>
      <c r="AV75" s="42" t="n">
        <f aca="false">SUM(N75:AU75)</f>
        <v>60897</v>
      </c>
      <c r="AW75" s="42" t="n">
        <f aca="false">17563+225+63</f>
        <v>17851</v>
      </c>
      <c r="AX75" s="42" t="n">
        <v>0</v>
      </c>
      <c r="AY75" s="42" t="n">
        <f aca="false">+AV75+AW75+AX75</f>
        <v>78748</v>
      </c>
      <c r="AZ75" s="42" t="n">
        <f aca="false">+K75-AY75</f>
        <v>0</v>
      </c>
      <c r="BA75" s="46"/>
    </row>
    <row r="76" customFormat="false" ht="12.75" hidden="false" customHeight="false" outlineLevel="0" collapsed="false">
      <c r="A76" s="37" t="n">
        <v>11</v>
      </c>
      <c r="B76" s="39" t="s">
        <v>213</v>
      </c>
      <c r="C76" s="39" t="s">
        <v>91</v>
      </c>
      <c r="D76" s="40" t="n">
        <v>100113</v>
      </c>
      <c r="E76" s="41" t="n">
        <v>0</v>
      </c>
      <c r="F76" s="42" t="n">
        <v>0</v>
      </c>
      <c r="G76" s="42" t="n">
        <v>0</v>
      </c>
      <c r="H76" s="42" t="n">
        <v>0</v>
      </c>
      <c r="I76" s="42" t="n">
        <v>0</v>
      </c>
      <c r="J76" s="42" t="n">
        <v>106857</v>
      </c>
      <c r="K76" s="42" t="n">
        <f aca="false">SUM(E76:J76)</f>
        <v>106857</v>
      </c>
      <c r="L76" s="43"/>
      <c r="M76" s="41" t="s">
        <v>214</v>
      </c>
      <c r="N76" s="42" t="n">
        <v>165</v>
      </c>
      <c r="O76" s="42" t="n">
        <v>427</v>
      </c>
      <c r="P76" s="42" t="n">
        <v>2069</v>
      </c>
      <c r="Q76" s="42" t="n">
        <v>0</v>
      </c>
      <c r="R76" s="42" t="n">
        <v>165</v>
      </c>
      <c r="S76" s="42" t="n">
        <v>99</v>
      </c>
      <c r="T76" s="42" t="n">
        <v>471</v>
      </c>
      <c r="U76" s="42" t="n">
        <v>778</v>
      </c>
      <c r="V76" s="42" t="n">
        <f aca="false">1661</f>
        <v>1661</v>
      </c>
      <c r="W76" s="42" t="n">
        <v>78</v>
      </c>
      <c r="X76" s="42" t="n">
        <f aca="false">18261-2158-1517</f>
        <v>14586</v>
      </c>
      <c r="Y76" s="42" t="n">
        <v>0</v>
      </c>
      <c r="Z76" s="42" t="n">
        <f aca="false">21+115</f>
        <v>136</v>
      </c>
      <c r="AA76" s="42" t="n">
        <v>0</v>
      </c>
      <c r="AB76" s="42" t="n">
        <v>6622</v>
      </c>
      <c r="AC76" s="42" t="n">
        <v>1706</v>
      </c>
      <c r="AD76" s="42" t="n">
        <v>11615</v>
      </c>
      <c r="AE76" s="42" t="n">
        <v>17944</v>
      </c>
      <c r="AF76" s="42" t="n">
        <v>937</v>
      </c>
      <c r="AG76" s="42" t="n">
        <v>145</v>
      </c>
      <c r="AH76" s="42" t="n">
        <f aca="false">2160-526</f>
        <v>1634</v>
      </c>
      <c r="AI76" s="42" t="n">
        <v>4992</v>
      </c>
      <c r="AJ76" s="42" t="n">
        <v>2280</v>
      </c>
      <c r="AK76" s="42" t="n">
        <v>1183</v>
      </c>
      <c r="AL76" s="42" t="n">
        <f aca="false">2776-1527-466</f>
        <v>783</v>
      </c>
      <c r="AM76" s="42" t="n">
        <v>0</v>
      </c>
      <c r="AN76" s="42" t="n">
        <v>0</v>
      </c>
      <c r="AO76" s="42" t="n">
        <f aca="false">2158+1527</f>
        <v>3685</v>
      </c>
      <c r="AP76" s="42" t="n">
        <v>1517</v>
      </c>
      <c r="AQ76" s="42" t="n">
        <v>0</v>
      </c>
      <c r="AR76" s="42" t="n">
        <v>0</v>
      </c>
      <c r="AS76" s="42" t="n">
        <v>0</v>
      </c>
      <c r="AT76" s="42" t="n">
        <v>0</v>
      </c>
      <c r="AU76" s="42"/>
      <c r="AV76" s="42" t="n">
        <f aca="false">SUM(N76:AU76)</f>
        <v>75678</v>
      </c>
      <c r="AW76" s="42" t="n">
        <f aca="false">30187+466+526</f>
        <v>31179</v>
      </c>
      <c r="AX76" s="42" t="n">
        <v>0</v>
      </c>
      <c r="AY76" s="42" t="n">
        <f aca="false">+AV76+AW76+AX76</f>
        <v>106857</v>
      </c>
      <c r="AZ76" s="42" t="n">
        <f aca="false">+K76-AY76</f>
        <v>0</v>
      </c>
      <c r="BA76" s="54"/>
    </row>
    <row r="77" customFormat="false" ht="12.75" hidden="false" customHeight="false" outlineLevel="0" collapsed="false">
      <c r="A77" s="37" t="n">
        <v>11</v>
      </c>
      <c r="B77" s="39" t="s">
        <v>215</v>
      </c>
      <c r="C77" s="39" t="s">
        <v>91</v>
      </c>
      <c r="D77" s="40" t="n">
        <v>100115</v>
      </c>
      <c r="E77" s="41" t="n">
        <v>0</v>
      </c>
      <c r="F77" s="42" t="n">
        <v>0</v>
      </c>
      <c r="G77" s="42" t="n">
        <v>0</v>
      </c>
      <c r="H77" s="42" t="n">
        <v>0</v>
      </c>
      <c r="I77" s="42" t="n">
        <v>0</v>
      </c>
      <c r="J77" s="42" t="n">
        <v>210</v>
      </c>
      <c r="K77" s="42" t="n">
        <f aca="false">SUM(E77:J77)</f>
        <v>210</v>
      </c>
      <c r="L77" s="43"/>
      <c r="M77" s="41" t="s">
        <v>108</v>
      </c>
      <c r="N77" s="42" t="n">
        <v>0</v>
      </c>
      <c r="O77" s="42" t="n">
        <v>0</v>
      </c>
      <c r="P77" s="42" t="n">
        <v>0</v>
      </c>
      <c r="Q77" s="42" t="n">
        <v>0</v>
      </c>
      <c r="R77" s="42" t="n">
        <v>0</v>
      </c>
      <c r="S77" s="42" t="n">
        <v>0</v>
      </c>
      <c r="T77" s="42" t="n">
        <v>0</v>
      </c>
      <c r="U77" s="42" t="n">
        <v>0</v>
      </c>
      <c r="V77" s="42" t="n">
        <v>0</v>
      </c>
      <c r="W77" s="42" t="n">
        <v>0</v>
      </c>
      <c r="X77" s="42" t="n">
        <v>0</v>
      </c>
      <c r="Y77" s="42" t="n">
        <v>0</v>
      </c>
      <c r="Z77" s="42" t="n">
        <v>0</v>
      </c>
      <c r="AA77" s="42" t="n">
        <v>0</v>
      </c>
      <c r="AB77" s="42" t="n">
        <v>0</v>
      </c>
      <c r="AC77" s="42" t="n">
        <v>0</v>
      </c>
      <c r="AD77" s="42" t="n">
        <v>0</v>
      </c>
      <c r="AE77" s="42" t="n">
        <v>0</v>
      </c>
      <c r="AF77" s="42" t="n">
        <v>0</v>
      </c>
      <c r="AG77" s="42" t="n">
        <v>0</v>
      </c>
      <c r="AH77" s="42" t="n">
        <v>0</v>
      </c>
      <c r="AI77" s="42" t="n">
        <v>0</v>
      </c>
      <c r="AJ77" s="42" t="n">
        <v>0</v>
      </c>
      <c r="AK77" s="42" t="n">
        <v>0</v>
      </c>
      <c r="AL77" s="42" t="n">
        <v>0</v>
      </c>
      <c r="AM77" s="42" t="n">
        <v>0</v>
      </c>
      <c r="AN77" s="42" t="n">
        <v>0</v>
      </c>
      <c r="AO77" s="42" t="n">
        <v>0</v>
      </c>
      <c r="AP77" s="42" t="n">
        <v>0</v>
      </c>
      <c r="AQ77" s="42" t="n">
        <v>0</v>
      </c>
      <c r="AR77" s="42" t="n">
        <v>0</v>
      </c>
      <c r="AS77" s="42" t="n">
        <v>0</v>
      </c>
      <c r="AT77" s="42" t="n">
        <v>0</v>
      </c>
      <c r="AU77" s="42"/>
      <c r="AV77" s="42" t="n">
        <f aca="false">SUM(N77:AU77)</f>
        <v>0</v>
      </c>
      <c r="AW77" s="42" t="n">
        <v>210</v>
      </c>
      <c r="AX77" s="42" t="n">
        <v>0</v>
      </c>
      <c r="AY77" s="42" t="n">
        <f aca="false">+AV77+AW77+AX77</f>
        <v>210</v>
      </c>
      <c r="AZ77" s="42" t="n">
        <f aca="false">+K77-AY77</f>
        <v>0</v>
      </c>
      <c r="BA77" s="46"/>
    </row>
    <row r="78" customFormat="false" ht="12.75" hidden="false" customHeight="false" outlineLevel="0" collapsed="false">
      <c r="A78" s="37" t="n">
        <v>11</v>
      </c>
      <c r="B78" s="39" t="s">
        <v>216</v>
      </c>
      <c r="C78" s="39" t="s">
        <v>91</v>
      </c>
      <c r="D78" s="40" t="n">
        <v>100116</v>
      </c>
      <c r="E78" s="41" t="n">
        <v>0</v>
      </c>
      <c r="F78" s="42" t="n">
        <v>0</v>
      </c>
      <c r="G78" s="42" t="n">
        <v>0</v>
      </c>
      <c r="H78" s="42" t="n">
        <v>0</v>
      </c>
      <c r="I78" s="42" t="n">
        <v>0</v>
      </c>
      <c r="J78" s="42" t="n">
        <v>215</v>
      </c>
      <c r="K78" s="42" t="n">
        <f aca="false">SUM(E78:J78)</f>
        <v>215</v>
      </c>
      <c r="L78" s="43"/>
      <c r="M78" s="41" t="s">
        <v>108</v>
      </c>
      <c r="N78" s="42" t="n">
        <v>0</v>
      </c>
      <c r="O78" s="42" t="n">
        <v>0</v>
      </c>
      <c r="P78" s="42" t="n">
        <v>0</v>
      </c>
      <c r="Q78" s="42" t="n">
        <v>0</v>
      </c>
      <c r="R78" s="42" t="n">
        <v>0</v>
      </c>
      <c r="S78" s="42" t="n">
        <v>0</v>
      </c>
      <c r="T78" s="42" t="n">
        <v>0</v>
      </c>
      <c r="U78" s="42" t="n">
        <v>0</v>
      </c>
      <c r="V78" s="42" t="n">
        <v>0</v>
      </c>
      <c r="W78" s="42" t="n">
        <v>0</v>
      </c>
      <c r="X78" s="42" t="n">
        <v>0</v>
      </c>
      <c r="Y78" s="42" t="n">
        <v>0</v>
      </c>
      <c r="Z78" s="42" t="n">
        <v>0</v>
      </c>
      <c r="AA78" s="42" t="n">
        <v>0</v>
      </c>
      <c r="AB78" s="42" t="n">
        <v>0</v>
      </c>
      <c r="AC78" s="42" t="n">
        <v>0</v>
      </c>
      <c r="AD78" s="42" t="n">
        <v>0</v>
      </c>
      <c r="AE78" s="42" t="n">
        <v>0</v>
      </c>
      <c r="AF78" s="42" t="n">
        <v>0</v>
      </c>
      <c r="AG78" s="42" t="n">
        <v>0</v>
      </c>
      <c r="AH78" s="42" t="n">
        <v>0</v>
      </c>
      <c r="AI78" s="42" t="n">
        <v>0</v>
      </c>
      <c r="AJ78" s="42" t="n">
        <v>0</v>
      </c>
      <c r="AK78" s="42" t="n">
        <v>0</v>
      </c>
      <c r="AL78" s="42" t="n">
        <v>0</v>
      </c>
      <c r="AM78" s="42" t="n">
        <v>0</v>
      </c>
      <c r="AN78" s="42" t="n">
        <v>0</v>
      </c>
      <c r="AO78" s="42" t="n">
        <v>0</v>
      </c>
      <c r="AP78" s="42" t="n">
        <v>0</v>
      </c>
      <c r="AQ78" s="42" t="n">
        <v>0</v>
      </c>
      <c r="AR78" s="42" t="n">
        <v>0</v>
      </c>
      <c r="AS78" s="42" t="n">
        <v>0</v>
      </c>
      <c r="AT78" s="42" t="n">
        <v>0</v>
      </c>
      <c r="AU78" s="42"/>
      <c r="AV78" s="42" t="n">
        <f aca="false">SUM(N78:AU78)</f>
        <v>0</v>
      </c>
      <c r="AW78" s="42" t="n">
        <v>215</v>
      </c>
      <c r="AX78" s="42" t="n">
        <v>0</v>
      </c>
      <c r="AY78" s="42" t="n">
        <f aca="false">+AV78+AW78+AX78</f>
        <v>215</v>
      </c>
      <c r="AZ78" s="42" t="n">
        <f aca="false">+K78-AY78</f>
        <v>0</v>
      </c>
      <c r="BA78" s="46"/>
    </row>
    <row r="79" customFormat="false" ht="12.75" hidden="false" customHeight="false" outlineLevel="0" collapsed="false">
      <c r="A79" s="37" t="n">
        <v>11</v>
      </c>
      <c r="B79" s="39" t="s">
        <v>217</v>
      </c>
      <c r="C79" s="39" t="s">
        <v>91</v>
      </c>
      <c r="D79" s="40" t="n">
        <v>100117</v>
      </c>
      <c r="E79" s="41" t="n">
        <v>0</v>
      </c>
      <c r="F79" s="42" t="n">
        <v>0</v>
      </c>
      <c r="G79" s="42" t="n">
        <v>0</v>
      </c>
      <c r="H79" s="42" t="n">
        <v>0</v>
      </c>
      <c r="I79" s="42" t="n">
        <v>0</v>
      </c>
      <c r="J79" s="42" t="n">
        <v>5000</v>
      </c>
      <c r="K79" s="42" t="n">
        <f aca="false">SUM(E79:J79)</f>
        <v>5000</v>
      </c>
      <c r="L79" s="43"/>
      <c r="M79" s="41" t="s">
        <v>98</v>
      </c>
      <c r="N79" s="42" t="n">
        <v>0</v>
      </c>
      <c r="O79" s="42" t="n">
        <v>0</v>
      </c>
      <c r="P79" s="42" t="n">
        <v>0</v>
      </c>
      <c r="Q79" s="42" t="n">
        <v>0</v>
      </c>
      <c r="R79" s="42" t="n">
        <v>0</v>
      </c>
      <c r="S79" s="42" t="n">
        <v>0</v>
      </c>
      <c r="T79" s="42" t="n">
        <v>0</v>
      </c>
      <c r="U79" s="42" t="n">
        <v>0</v>
      </c>
      <c r="V79" s="42" t="n">
        <v>0</v>
      </c>
      <c r="W79" s="42" t="n">
        <v>0</v>
      </c>
      <c r="X79" s="42" t="n">
        <v>0</v>
      </c>
      <c r="Y79" s="42" t="n">
        <v>0</v>
      </c>
      <c r="Z79" s="42" t="n">
        <v>0</v>
      </c>
      <c r="AA79" s="42" t="n">
        <v>0</v>
      </c>
      <c r="AB79" s="42" t="n">
        <v>0</v>
      </c>
      <c r="AC79" s="42" t="n">
        <v>0</v>
      </c>
      <c r="AD79" s="42" t="n">
        <v>0</v>
      </c>
      <c r="AE79" s="42" t="n">
        <v>0</v>
      </c>
      <c r="AF79" s="42" t="n">
        <v>0</v>
      </c>
      <c r="AG79" s="42" t="n">
        <v>0</v>
      </c>
      <c r="AH79" s="42" t="n">
        <v>0</v>
      </c>
      <c r="AI79" s="42" t="n">
        <v>0</v>
      </c>
      <c r="AJ79" s="42" t="n">
        <v>0</v>
      </c>
      <c r="AK79" s="42" t="n">
        <v>0</v>
      </c>
      <c r="AL79" s="42" t="n">
        <v>0</v>
      </c>
      <c r="AM79" s="42" t="n">
        <v>0</v>
      </c>
      <c r="AN79" s="42" t="n">
        <v>0</v>
      </c>
      <c r="AO79" s="42" t="n">
        <v>0</v>
      </c>
      <c r="AP79" s="42" t="n">
        <v>0</v>
      </c>
      <c r="AQ79" s="42" t="n">
        <v>0</v>
      </c>
      <c r="AR79" s="42" t="n">
        <v>0</v>
      </c>
      <c r="AS79" s="42" t="n">
        <v>0</v>
      </c>
      <c r="AT79" s="42" t="n">
        <v>0</v>
      </c>
      <c r="AU79" s="42"/>
      <c r="AV79" s="42" t="n">
        <f aca="false">SUM(N79:AU79)</f>
        <v>0</v>
      </c>
      <c r="AW79" s="42" t="n">
        <v>5000</v>
      </c>
      <c r="AX79" s="42" t="n">
        <v>0</v>
      </c>
      <c r="AY79" s="42" t="n">
        <f aca="false">+AV79+AW79+AX79</f>
        <v>5000</v>
      </c>
      <c r="AZ79" s="42" t="n">
        <f aca="false">+K79-AY79</f>
        <v>0</v>
      </c>
      <c r="BA79" s="46"/>
    </row>
    <row r="80" customFormat="false" ht="12.75" hidden="false" customHeight="false" outlineLevel="0" collapsed="false">
      <c r="A80" s="37" t="s">
        <v>36</v>
      </c>
      <c r="B80" s="38" t="s">
        <v>218</v>
      </c>
      <c r="C80" s="39" t="s">
        <v>91</v>
      </c>
      <c r="D80" s="40" t="n">
        <v>100118</v>
      </c>
      <c r="E80" s="41" t="n">
        <v>36258</v>
      </c>
      <c r="F80" s="42" t="n">
        <v>0</v>
      </c>
      <c r="G80" s="42" t="n">
        <v>0</v>
      </c>
      <c r="H80" s="42" t="n">
        <v>0</v>
      </c>
      <c r="I80" s="42" t="n">
        <v>0</v>
      </c>
      <c r="J80" s="42" t="n">
        <v>0</v>
      </c>
      <c r="K80" s="42" t="n">
        <f aca="false">SUM(E80:J80)</f>
        <v>36258</v>
      </c>
      <c r="L80" s="43"/>
      <c r="M80" s="41" t="s">
        <v>219</v>
      </c>
      <c r="N80" s="42" t="n">
        <v>583</v>
      </c>
      <c r="O80" s="42" t="n">
        <v>992</v>
      </c>
      <c r="P80" s="42" t="n">
        <v>2714</v>
      </c>
      <c r="Q80" s="42" t="n">
        <v>0</v>
      </c>
      <c r="R80" s="42" t="n">
        <v>133</v>
      </c>
      <c r="S80" s="42" t="n">
        <v>0</v>
      </c>
      <c r="T80" s="42" t="n">
        <v>668</v>
      </c>
      <c r="U80" s="42" t="n">
        <v>2744</v>
      </c>
      <c r="V80" s="42" t="n">
        <f aca="false">1245-485</f>
        <v>760</v>
      </c>
      <c r="W80" s="42" t="n">
        <v>485</v>
      </c>
      <c r="X80" s="42" t="n">
        <f aca="false">6794-680-367</f>
        <v>5747</v>
      </c>
      <c r="Y80" s="42" t="n">
        <v>85</v>
      </c>
      <c r="Z80" s="42" t="n">
        <v>596</v>
      </c>
      <c r="AA80" s="42" t="n">
        <v>156</v>
      </c>
      <c r="AB80" s="42" t="n">
        <v>1094</v>
      </c>
      <c r="AC80" s="42" t="n">
        <v>229</v>
      </c>
      <c r="AD80" s="42" t="n">
        <v>4089</v>
      </c>
      <c r="AE80" s="42" t="n">
        <v>5186</v>
      </c>
      <c r="AF80" s="42" t="n">
        <v>0</v>
      </c>
      <c r="AG80" s="42" t="n">
        <v>0</v>
      </c>
      <c r="AH80" s="42" t="n">
        <v>524</v>
      </c>
      <c r="AI80" s="42" t="n">
        <v>374</v>
      </c>
      <c r="AJ80" s="42" t="n">
        <v>298</v>
      </c>
      <c r="AK80" s="42" t="n">
        <v>502</v>
      </c>
      <c r="AL80" s="42" t="n">
        <v>969</v>
      </c>
      <c r="AM80" s="42" t="n">
        <v>3177</v>
      </c>
      <c r="AN80" s="42" t="n">
        <v>0</v>
      </c>
      <c r="AO80" s="42" t="n">
        <f aca="false">680</f>
        <v>680</v>
      </c>
      <c r="AP80" s="42" t="n">
        <v>367</v>
      </c>
      <c r="AQ80" s="42" t="n">
        <v>0</v>
      </c>
      <c r="AR80" s="42" t="n">
        <v>0</v>
      </c>
      <c r="AS80" s="42" t="n">
        <v>0</v>
      </c>
      <c r="AT80" s="42" t="n">
        <v>0</v>
      </c>
      <c r="AU80" s="42"/>
      <c r="AV80" s="42" t="n">
        <f aca="false">SUM(N80:AU80)</f>
        <v>33152</v>
      </c>
      <c r="AW80" s="42" t="n">
        <v>3106</v>
      </c>
      <c r="AX80" s="42" t="n">
        <v>0</v>
      </c>
      <c r="AY80" s="42" t="n">
        <f aca="false">+AV80+AW80+AX80</f>
        <v>36258</v>
      </c>
      <c r="AZ80" s="42" t="n">
        <f aca="false">+K80-AY80</f>
        <v>0</v>
      </c>
      <c r="BA80" s="46"/>
    </row>
    <row r="81" customFormat="false" ht="12.75" hidden="false" customHeight="false" outlineLevel="0" collapsed="false">
      <c r="A81" s="37" t="s">
        <v>36</v>
      </c>
      <c r="B81" s="38" t="s">
        <v>220</v>
      </c>
      <c r="C81" s="39" t="s">
        <v>91</v>
      </c>
      <c r="D81" s="40" t="n">
        <v>100119</v>
      </c>
      <c r="E81" s="41" t="n">
        <v>22850</v>
      </c>
      <c r="F81" s="42" t="n">
        <v>0</v>
      </c>
      <c r="G81" s="42" t="n">
        <v>0</v>
      </c>
      <c r="H81" s="42" t="n">
        <v>0</v>
      </c>
      <c r="I81" s="42" t="n">
        <v>0</v>
      </c>
      <c r="J81" s="42" t="n">
        <v>0</v>
      </c>
      <c r="K81" s="42" t="n">
        <f aca="false">SUM(E81:J81)</f>
        <v>22850</v>
      </c>
      <c r="L81" s="43"/>
      <c r="M81" s="41" t="s">
        <v>196</v>
      </c>
      <c r="N81" s="42" t="n">
        <v>-117</v>
      </c>
      <c r="O81" s="42" t="n">
        <v>615</v>
      </c>
      <c r="P81" s="42" t="n">
        <v>1764</v>
      </c>
      <c r="Q81" s="42" t="n">
        <v>0</v>
      </c>
      <c r="R81" s="42" t="n">
        <v>79</v>
      </c>
      <c r="S81" s="42" t="n">
        <v>1326</v>
      </c>
      <c r="T81" s="42" t="n">
        <v>374</v>
      </c>
      <c r="U81" s="42" t="n">
        <v>4007</v>
      </c>
      <c r="V81" s="42" t="n">
        <v>-245</v>
      </c>
      <c r="W81" s="42" t="n">
        <v>0</v>
      </c>
      <c r="X81" s="42" t="n">
        <v>4428</v>
      </c>
      <c r="Y81" s="42" t="n">
        <v>56</v>
      </c>
      <c r="Z81" s="42" t="n">
        <v>388</v>
      </c>
      <c r="AA81" s="42" t="n">
        <v>101</v>
      </c>
      <c r="AB81" s="42" t="n">
        <v>99</v>
      </c>
      <c r="AC81" s="42" t="n">
        <v>149</v>
      </c>
      <c r="AD81" s="42" t="n">
        <v>2657</v>
      </c>
      <c r="AE81" s="42" t="n">
        <v>3370</v>
      </c>
      <c r="AF81" s="42" t="n">
        <v>0</v>
      </c>
      <c r="AG81" s="42" t="n">
        <v>0</v>
      </c>
      <c r="AH81" s="42" t="n">
        <v>341</v>
      </c>
      <c r="AI81" s="42" t="n">
        <v>243</v>
      </c>
      <c r="AJ81" s="42" t="n">
        <v>194</v>
      </c>
      <c r="AK81" s="42" t="n">
        <v>326</v>
      </c>
      <c r="AL81" s="42" t="n">
        <v>630</v>
      </c>
      <c r="AM81" s="42" t="n">
        <v>2065</v>
      </c>
      <c r="AN81" s="42" t="n">
        <v>0</v>
      </c>
      <c r="AO81" s="42" t="n">
        <v>0</v>
      </c>
      <c r="AP81" s="42" t="n">
        <v>0</v>
      </c>
      <c r="AQ81" s="42" t="n">
        <v>0</v>
      </c>
      <c r="AR81" s="42" t="n">
        <v>0</v>
      </c>
      <c r="AS81" s="42" t="n">
        <v>0</v>
      </c>
      <c r="AT81" s="42" t="n">
        <v>0</v>
      </c>
      <c r="AU81" s="42"/>
      <c r="AV81" s="42" t="n">
        <f aca="false">SUM(N81:AU81)</f>
        <v>22850</v>
      </c>
      <c r="AW81" s="42" t="n">
        <v>0</v>
      </c>
      <c r="AX81" s="42" t="n">
        <v>0</v>
      </c>
      <c r="AY81" s="42" t="n">
        <f aca="false">+AV81+AW81+AX81</f>
        <v>22850</v>
      </c>
      <c r="AZ81" s="42" t="n">
        <f aca="false">+K81-AY81</f>
        <v>0</v>
      </c>
      <c r="BA81" s="46"/>
    </row>
    <row r="82" customFormat="false" ht="12.75" hidden="false" customHeight="false" outlineLevel="0" collapsed="false">
      <c r="A82" s="37" t="s">
        <v>36</v>
      </c>
      <c r="B82" s="38" t="s">
        <v>221</v>
      </c>
      <c r="C82" s="39" t="s">
        <v>91</v>
      </c>
      <c r="D82" s="40" t="n">
        <v>100120</v>
      </c>
      <c r="E82" s="41" t="n">
        <v>3839</v>
      </c>
      <c r="F82" s="42" t="n">
        <v>0</v>
      </c>
      <c r="G82" s="42" t="n">
        <v>0</v>
      </c>
      <c r="H82" s="42" t="n">
        <v>0</v>
      </c>
      <c r="I82" s="42" t="n">
        <v>0</v>
      </c>
      <c r="J82" s="42" t="n">
        <v>0</v>
      </c>
      <c r="K82" s="42" t="n">
        <f aca="false">SUM(E82:J82)</f>
        <v>3839</v>
      </c>
      <c r="L82" s="43"/>
      <c r="M82" s="41" t="s">
        <v>196</v>
      </c>
      <c r="N82" s="42" t="n">
        <v>71</v>
      </c>
      <c r="O82" s="42" t="n">
        <v>136</v>
      </c>
      <c r="P82" s="42" t="n">
        <v>297</v>
      </c>
      <c r="Q82" s="42" t="n">
        <v>0</v>
      </c>
      <c r="R82" s="42" t="n">
        <v>14</v>
      </c>
      <c r="S82" s="42" t="n">
        <v>0</v>
      </c>
      <c r="T82" s="42" t="n">
        <v>81</v>
      </c>
      <c r="U82" s="42" t="n">
        <v>382</v>
      </c>
      <c r="V82" s="42" t="n">
        <v>142</v>
      </c>
      <c r="W82" s="42" t="n">
        <v>0</v>
      </c>
      <c r="X82" s="42" t="n">
        <v>620</v>
      </c>
      <c r="Y82" s="42" t="n">
        <v>7</v>
      </c>
      <c r="Z82" s="42" t="n">
        <v>82</v>
      </c>
      <c r="AA82" s="42" t="n">
        <v>17</v>
      </c>
      <c r="AB82" s="42" t="n">
        <v>16</v>
      </c>
      <c r="AC82" s="42" t="n">
        <v>33</v>
      </c>
      <c r="AD82" s="42" t="n">
        <v>401</v>
      </c>
      <c r="AE82" s="42" t="n">
        <v>518</v>
      </c>
      <c r="AF82" s="42" t="n">
        <v>0</v>
      </c>
      <c r="AG82" s="42" t="n">
        <v>27</v>
      </c>
      <c r="AH82" s="42" t="n">
        <v>36</v>
      </c>
      <c r="AI82" s="42" t="n">
        <v>25</v>
      </c>
      <c r="AJ82" s="42" t="n">
        <v>21</v>
      </c>
      <c r="AK82" s="42" t="n">
        <v>43</v>
      </c>
      <c r="AL82" s="42" t="n">
        <v>81</v>
      </c>
      <c r="AM82" s="42" t="n">
        <v>335</v>
      </c>
      <c r="AN82" s="42" t="n">
        <v>0</v>
      </c>
      <c r="AO82" s="42" t="n">
        <v>0</v>
      </c>
      <c r="AP82" s="42" t="n">
        <v>0</v>
      </c>
      <c r="AQ82" s="42" t="n">
        <v>0</v>
      </c>
      <c r="AR82" s="42" t="n">
        <v>0</v>
      </c>
      <c r="AS82" s="42" t="n">
        <v>0</v>
      </c>
      <c r="AT82" s="42" t="n">
        <v>0</v>
      </c>
      <c r="AU82" s="42"/>
      <c r="AV82" s="45" t="n">
        <f aca="false">SUM(N82:AU82)</f>
        <v>3385</v>
      </c>
      <c r="AW82" s="42" t="n">
        <v>454</v>
      </c>
      <c r="AX82" s="42" t="n">
        <v>0</v>
      </c>
      <c r="AY82" s="42" t="n">
        <f aca="false">+AV82+AW82+AX82</f>
        <v>3839</v>
      </c>
      <c r="AZ82" s="42" t="n">
        <f aca="false">+K82-AY82</f>
        <v>0</v>
      </c>
      <c r="BA82" s="46"/>
    </row>
    <row r="83" customFormat="false" ht="12.75" hidden="false" customHeight="false" outlineLevel="0" collapsed="false">
      <c r="A83" s="37" t="s">
        <v>36</v>
      </c>
      <c r="B83" s="38" t="s">
        <v>222</v>
      </c>
      <c r="C83" s="39" t="s">
        <v>91</v>
      </c>
      <c r="D83" s="40" t="n">
        <v>100121</v>
      </c>
      <c r="E83" s="41" t="n">
        <v>2400</v>
      </c>
      <c r="F83" s="42" t="n">
        <v>0</v>
      </c>
      <c r="G83" s="42" t="n">
        <v>0</v>
      </c>
      <c r="H83" s="42" t="n">
        <v>0</v>
      </c>
      <c r="I83" s="42" t="n">
        <v>0</v>
      </c>
      <c r="J83" s="42" t="n">
        <v>0</v>
      </c>
      <c r="K83" s="42" t="n">
        <f aca="false">SUM(E83:J83)</f>
        <v>2400</v>
      </c>
      <c r="L83" s="43"/>
      <c r="M83" s="41" t="s">
        <v>196</v>
      </c>
      <c r="N83" s="42" t="n">
        <v>45</v>
      </c>
      <c r="O83" s="42" t="n">
        <v>85</v>
      </c>
      <c r="P83" s="42" t="n">
        <v>186</v>
      </c>
      <c r="Q83" s="42" t="n">
        <v>0</v>
      </c>
      <c r="R83" s="42" t="n">
        <v>9</v>
      </c>
      <c r="S83" s="42" t="n">
        <v>0</v>
      </c>
      <c r="T83" s="42" t="n">
        <v>51</v>
      </c>
      <c r="U83" s="42" t="n">
        <v>239</v>
      </c>
      <c r="V83" s="42" t="n">
        <v>89</v>
      </c>
      <c r="W83" s="42" t="n">
        <v>0</v>
      </c>
      <c r="X83" s="42" t="n">
        <v>387</v>
      </c>
      <c r="Y83" s="42" t="n">
        <v>4</v>
      </c>
      <c r="Z83" s="42" t="n">
        <v>51</v>
      </c>
      <c r="AA83" s="42" t="n">
        <v>10</v>
      </c>
      <c r="AB83" s="42" t="n">
        <v>10</v>
      </c>
      <c r="AC83" s="42" t="n">
        <v>21</v>
      </c>
      <c r="AD83" s="42" t="n">
        <v>249</v>
      </c>
      <c r="AE83" s="42" t="n">
        <v>323</v>
      </c>
      <c r="AF83" s="42" t="n">
        <v>0</v>
      </c>
      <c r="AG83" s="42" t="n">
        <v>17</v>
      </c>
      <c r="AH83" s="42" t="n">
        <v>23</v>
      </c>
      <c r="AI83" s="42" t="n">
        <v>16</v>
      </c>
      <c r="AJ83" s="42" t="n">
        <v>13</v>
      </c>
      <c r="AK83" s="42" t="n">
        <v>27</v>
      </c>
      <c r="AL83" s="42" t="n">
        <v>51</v>
      </c>
      <c r="AM83" s="42" t="n">
        <v>210</v>
      </c>
      <c r="AN83" s="42" t="n">
        <v>0</v>
      </c>
      <c r="AO83" s="42" t="n">
        <v>0</v>
      </c>
      <c r="AP83" s="42" t="n">
        <v>0</v>
      </c>
      <c r="AQ83" s="42" t="n">
        <v>0</v>
      </c>
      <c r="AR83" s="42" t="n">
        <v>0</v>
      </c>
      <c r="AS83" s="42" t="n">
        <v>0</v>
      </c>
      <c r="AT83" s="42" t="n">
        <v>0</v>
      </c>
      <c r="AU83" s="42"/>
      <c r="AV83" s="42" t="n">
        <f aca="false">SUM(N83:AU83)</f>
        <v>2116</v>
      </c>
      <c r="AW83" s="42" t="n">
        <v>284</v>
      </c>
      <c r="AX83" s="42" t="n">
        <v>0</v>
      </c>
      <c r="AY83" s="42" t="n">
        <f aca="false">+AV83+AW83+AX83</f>
        <v>2400</v>
      </c>
      <c r="AZ83" s="42" t="n">
        <f aca="false">+K83-AY83</f>
        <v>0</v>
      </c>
      <c r="BA83" s="46"/>
    </row>
    <row r="84" customFormat="false" ht="12.75" hidden="false" customHeight="false" outlineLevel="0" collapsed="false">
      <c r="A84" s="37" t="s">
        <v>36</v>
      </c>
      <c r="B84" s="38" t="s">
        <v>223</v>
      </c>
      <c r="C84" s="39" t="s">
        <v>91</v>
      </c>
      <c r="D84" s="40" t="n">
        <v>100122</v>
      </c>
      <c r="E84" s="41" t="n">
        <v>235</v>
      </c>
      <c r="F84" s="42" t="n">
        <v>0</v>
      </c>
      <c r="G84" s="42" t="n">
        <v>0</v>
      </c>
      <c r="H84" s="42" t="n">
        <v>0</v>
      </c>
      <c r="I84" s="42" t="n">
        <v>0</v>
      </c>
      <c r="J84" s="42" t="n">
        <v>0</v>
      </c>
      <c r="K84" s="42" t="n">
        <f aca="false">SUM(E84:J84)</f>
        <v>235</v>
      </c>
      <c r="L84" s="43"/>
      <c r="M84" s="41" t="s">
        <v>196</v>
      </c>
      <c r="N84" s="42" t="n">
        <v>4</v>
      </c>
      <c r="O84" s="42" t="n">
        <v>7</v>
      </c>
      <c r="P84" s="42" t="n">
        <v>16</v>
      </c>
      <c r="Q84" s="42" t="n">
        <v>0</v>
      </c>
      <c r="R84" s="42" t="n">
        <v>1</v>
      </c>
      <c r="S84" s="42" t="n">
        <v>25</v>
      </c>
      <c r="T84" s="42" t="n">
        <v>4</v>
      </c>
      <c r="U84" s="42" t="n">
        <v>20</v>
      </c>
      <c r="V84" s="42" t="n">
        <v>8</v>
      </c>
      <c r="W84" s="42" t="n">
        <v>0</v>
      </c>
      <c r="X84" s="42" t="n">
        <f aca="false">40-2</f>
        <v>38</v>
      </c>
      <c r="Y84" s="42" t="n">
        <v>0</v>
      </c>
      <c r="Z84" s="42" t="n">
        <v>4</v>
      </c>
      <c r="AA84" s="42" t="n">
        <v>1</v>
      </c>
      <c r="AB84" s="42" t="n">
        <v>1</v>
      </c>
      <c r="AC84" s="42" t="n">
        <v>2</v>
      </c>
      <c r="AD84" s="42" t="n">
        <v>22</v>
      </c>
      <c r="AE84" s="42" t="n">
        <v>29</v>
      </c>
      <c r="AF84" s="42" t="n">
        <v>0</v>
      </c>
      <c r="AG84" s="42" t="n">
        <v>1</v>
      </c>
      <c r="AH84" s="42" t="n">
        <v>2</v>
      </c>
      <c r="AI84" s="42" t="n">
        <v>1</v>
      </c>
      <c r="AJ84" s="42" t="n">
        <v>1</v>
      </c>
      <c r="AK84" s="42" t="n">
        <v>2</v>
      </c>
      <c r="AL84" s="42" t="n">
        <v>4</v>
      </c>
      <c r="AM84" s="42" t="n">
        <v>18</v>
      </c>
      <c r="AN84" s="42" t="n">
        <v>0</v>
      </c>
      <c r="AO84" s="42" t="n">
        <v>0</v>
      </c>
      <c r="AP84" s="42" t="n">
        <v>0</v>
      </c>
      <c r="AQ84" s="42" t="n">
        <v>0</v>
      </c>
      <c r="AR84" s="42" t="n">
        <v>0</v>
      </c>
      <c r="AS84" s="42" t="n">
        <v>0</v>
      </c>
      <c r="AT84" s="42" t="n">
        <v>0</v>
      </c>
      <c r="AU84" s="42"/>
      <c r="AV84" s="42" t="n">
        <f aca="false">SUM(N84:AU84)</f>
        <v>211</v>
      </c>
      <c r="AW84" s="42" t="n">
        <v>24</v>
      </c>
      <c r="AX84" s="42" t="n">
        <v>0</v>
      </c>
      <c r="AY84" s="42" t="n">
        <f aca="false">+AV84+AW84+AX84</f>
        <v>235</v>
      </c>
      <c r="AZ84" s="42" t="n">
        <f aca="false">+K84-AY84</f>
        <v>0</v>
      </c>
      <c r="BA84" s="46"/>
    </row>
    <row r="85" customFormat="false" ht="12.75" hidden="false" customHeight="false" outlineLevel="0" collapsed="false">
      <c r="A85" s="37" t="s">
        <v>36</v>
      </c>
      <c r="B85" s="38" t="s">
        <v>224</v>
      </c>
      <c r="C85" s="39" t="s">
        <v>91</v>
      </c>
      <c r="D85" s="40" t="n">
        <v>100123</v>
      </c>
      <c r="E85" s="41" t="n">
        <v>14086</v>
      </c>
      <c r="F85" s="42" t="n">
        <v>0</v>
      </c>
      <c r="G85" s="42" t="n">
        <v>0</v>
      </c>
      <c r="H85" s="42" t="n">
        <v>0</v>
      </c>
      <c r="I85" s="42" t="n">
        <v>0</v>
      </c>
      <c r="J85" s="42" t="n">
        <v>0</v>
      </c>
      <c r="K85" s="42" t="n">
        <f aca="false">SUM(E85:J85)</f>
        <v>14086</v>
      </c>
      <c r="L85" s="43"/>
      <c r="M85" s="41" t="s">
        <v>196</v>
      </c>
      <c r="N85" s="42" t="n">
        <v>525</v>
      </c>
      <c r="O85" s="42" t="n">
        <v>1191</v>
      </c>
      <c r="P85" s="42" t="n">
        <v>678</v>
      </c>
      <c r="Q85" s="42" t="n">
        <v>0</v>
      </c>
      <c r="R85" s="42" t="n">
        <v>26</v>
      </c>
      <c r="S85" s="42" t="n">
        <v>0</v>
      </c>
      <c r="T85" s="42" t="n">
        <v>267</v>
      </c>
      <c r="U85" s="42" t="n">
        <v>4391</v>
      </c>
      <c r="V85" s="42" t="n">
        <v>344</v>
      </c>
      <c r="W85" s="42" t="n">
        <v>0</v>
      </c>
      <c r="X85" s="42" t="n">
        <v>1699</v>
      </c>
      <c r="Y85" s="42" t="n">
        <v>21</v>
      </c>
      <c r="Z85" s="42" t="n">
        <v>149</v>
      </c>
      <c r="AA85" s="42" t="n">
        <v>39</v>
      </c>
      <c r="AB85" s="42" t="n">
        <v>38</v>
      </c>
      <c r="AC85" s="42" t="n">
        <v>57</v>
      </c>
      <c r="AD85" s="42" t="n">
        <v>1023</v>
      </c>
      <c r="AE85" s="42" t="n">
        <v>1298</v>
      </c>
      <c r="AF85" s="42" t="n">
        <v>0</v>
      </c>
      <c r="AG85" s="42" t="n">
        <v>100</v>
      </c>
      <c r="AH85" s="42" t="n">
        <v>131</v>
      </c>
      <c r="AI85" s="42" t="n">
        <v>93</v>
      </c>
      <c r="AJ85" s="42" t="n">
        <v>74</v>
      </c>
      <c r="AK85" s="42" t="n">
        <v>125</v>
      </c>
      <c r="AL85" s="42" t="n">
        <v>242</v>
      </c>
      <c r="AM85" s="42" t="n">
        <v>794</v>
      </c>
      <c r="AN85" s="42" t="n">
        <v>0</v>
      </c>
      <c r="AO85" s="42" t="n">
        <v>0</v>
      </c>
      <c r="AP85" s="42" t="n">
        <v>0</v>
      </c>
      <c r="AQ85" s="42" t="n">
        <v>0</v>
      </c>
      <c r="AR85" s="42" t="n">
        <v>0</v>
      </c>
      <c r="AS85" s="42" t="n">
        <v>0</v>
      </c>
      <c r="AT85" s="42" t="n">
        <v>0</v>
      </c>
      <c r="AU85" s="42"/>
      <c r="AV85" s="42" t="n">
        <f aca="false">SUM(N85:AU85)</f>
        <v>13305</v>
      </c>
      <c r="AW85" s="42" t="n">
        <v>781</v>
      </c>
      <c r="AX85" s="42" t="n">
        <v>0</v>
      </c>
      <c r="AY85" s="42" t="n">
        <f aca="false">+AV85+AW85+AX85</f>
        <v>14086</v>
      </c>
      <c r="AZ85" s="42" t="n">
        <f aca="false">+K85-AY85</f>
        <v>0</v>
      </c>
      <c r="BA85" s="46"/>
    </row>
    <row r="86" customFormat="false" ht="12.75" hidden="false" customHeight="false" outlineLevel="0" collapsed="false">
      <c r="A86" s="37" t="s">
        <v>36</v>
      </c>
      <c r="B86" s="38" t="s">
        <v>225</v>
      </c>
      <c r="C86" s="39" t="s">
        <v>91</v>
      </c>
      <c r="D86" s="40" t="n">
        <v>100124</v>
      </c>
      <c r="E86" s="41" t="n">
        <v>41752</v>
      </c>
      <c r="F86" s="42" t="n">
        <v>0</v>
      </c>
      <c r="G86" s="42" t="n">
        <v>0</v>
      </c>
      <c r="H86" s="42" t="n">
        <v>0</v>
      </c>
      <c r="I86" s="42" t="n">
        <v>0</v>
      </c>
      <c r="J86" s="42" t="n">
        <v>0</v>
      </c>
      <c r="K86" s="42" t="n">
        <f aca="false">SUM(E86:J86)</f>
        <v>41752</v>
      </c>
      <c r="L86" s="43"/>
      <c r="M86" s="41" t="s">
        <v>196</v>
      </c>
      <c r="N86" s="42" t="n">
        <v>777</v>
      </c>
      <c r="O86" s="42" t="n">
        <v>1474</v>
      </c>
      <c r="P86" s="42" t="n">
        <v>3232</v>
      </c>
      <c r="Q86" s="42" t="n">
        <v>0</v>
      </c>
      <c r="R86" s="42" t="n">
        <v>150</v>
      </c>
      <c r="S86" s="42" t="n">
        <v>0</v>
      </c>
      <c r="T86" s="42" t="n">
        <v>885</v>
      </c>
      <c r="U86" s="42" t="n">
        <v>4151</v>
      </c>
      <c r="V86" s="42" t="n">
        <v>1545</v>
      </c>
      <c r="W86" s="42" t="n">
        <v>0</v>
      </c>
      <c r="X86" s="42" t="n">
        <v>6745</v>
      </c>
      <c r="Y86" s="42" t="n">
        <v>71</v>
      </c>
      <c r="Z86" s="42" t="n">
        <v>889</v>
      </c>
      <c r="AA86" s="42" t="n">
        <v>180</v>
      </c>
      <c r="AB86" s="42" t="n">
        <v>175</v>
      </c>
      <c r="AC86" s="42" t="n">
        <v>359</v>
      </c>
      <c r="AD86" s="42" t="n">
        <v>4356</v>
      </c>
      <c r="AE86" s="42" t="n">
        <v>5638</v>
      </c>
      <c r="AF86" s="42" t="n">
        <v>0</v>
      </c>
      <c r="AG86" s="42" t="n">
        <v>292</v>
      </c>
      <c r="AH86" s="42" t="n">
        <v>393</v>
      </c>
      <c r="AI86" s="42" t="n">
        <v>271</v>
      </c>
      <c r="AJ86" s="42" t="n">
        <v>230</v>
      </c>
      <c r="AK86" s="42" t="n">
        <v>472</v>
      </c>
      <c r="AL86" s="42" t="n">
        <v>881</v>
      </c>
      <c r="AM86" s="42" t="n">
        <v>3646</v>
      </c>
      <c r="AN86" s="42" t="n">
        <v>0</v>
      </c>
      <c r="AO86" s="42" t="n">
        <v>0</v>
      </c>
      <c r="AP86" s="42" t="n">
        <v>0</v>
      </c>
      <c r="AQ86" s="42" t="n">
        <v>0</v>
      </c>
      <c r="AR86" s="42" t="n">
        <v>0</v>
      </c>
      <c r="AS86" s="42" t="n">
        <v>0</v>
      </c>
      <c r="AT86" s="42" t="n">
        <v>0</v>
      </c>
      <c r="AU86" s="42"/>
      <c r="AV86" s="45" t="n">
        <f aca="false">SUM(N86:AU86)</f>
        <v>36812</v>
      </c>
      <c r="AW86" s="42" t="n">
        <v>4940</v>
      </c>
      <c r="AX86" s="42" t="n">
        <v>0</v>
      </c>
      <c r="AY86" s="42" t="n">
        <f aca="false">+AV86+AW86+AX86</f>
        <v>41752</v>
      </c>
      <c r="AZ86" s="42" t="n">
        <f aca="false">+K86-AY86</f>
        <v>0</v>
      </c>
      <c r="BA86" s="46"/>
    </row>
    <row r="87" customFormat="false" ht="12.75" hidden="false" customHeight="false" outlineLevel="0" collapsed="false">
      <c r="A87" s="37" t="s">
        <v>36</v>
      </c>
      <c r="B87" s="38" t="s">
        <v>226</v>
      </c>
      <c r="C87" s="39" t="s">
        <v>91</v>
      </c>
      <c r="D87" s="40" t="n">
        <v>100125</v>
      </c>
      <c r="E87" s="41" t="n">
        <v>4107</v>
      </c>
      <c r="F87" s="42" t="n">
        <v>0</v>
      </c>
      <c r="G87" s="42" t="n">
        <v>0</v>
      </c>
      <c r="H87" s="42" t="n">
        <v>0</v>
      </c>
      <c r="I87" s="42" t="n">
        <v>0</v>
      </c>
      <c r="J87" s="42" t="n">
        <v>0</v>
      </c>
      <c r="K87" s="42" t="n">
        <f aca="false">SUM(E87:J87)</f>
        <v>4107</v>
      </c>
      <c r="L87" s="43"/>
      <c r="M87" s="41" t="s">
        <v>196</v>
      </c>
      <c r="N87" s="42" t="n">
        <v>75</v>
      </c>
      <c r="O87" s="42" t="n">
        <v>142</v>
      </c>
      <c r="P87" s="42" t="n">
        <v>311</v>
      </c>
      <c r="Q87" s="42" t="n">
        <v>0</v>
      </c>
      <c r="R87" s="42" t="n">
        <v>14</v>
      </c>
      <c r="S87" s="42" t="n">
        <v>0</v>
      </c>
      <c r="T87" s="42" t="n">
        <v>85</v>
      </c>
      <c r="U87" s="42" t="n">
        <v>400</v>
      </c>
      <c r="V87" s="42" t="n">
        <v>149</v>
      </c>
      <c r="W87" s="42" t="n">
        <v>0</v>
      </c>
      <c r="X87" s="42" t="n">
        <v>736</v>
      </c>
      <c r="Y87" s="42" t="n">
        <v>7</v>
      </c>
      <c r="Z87" s="42" t="n">
        <v>86</v>
      </c>
      <c r="AA87" s="42" t="n">
        <v>17</v>
      </c>
      <c r="AB87" s="42" t="n">
        <v>17</v>
      </c>
      <c r="AC87" s="42" t="n">
        <v>35</v>
      </c>
      <c r="AD87" s="42" t="n">
        <v>419</v>
      </c>
      <c r="AE87" s="42" t="n">
        <v>543</v>
      </c>
      <c r="AF87" s="42" t="n">
        <v>0</v>
      </c>
      <c r="AG87" s="42" t="n">
        <v>14</v>
      </c>
      <c r="AH87" s="42" t="n">
        <v>38</v>
      </c>
      <c r="AI87" s="42" t="n">
        <v>26</v>
      </c>
      <c r="AJ87" s="42" t="n">
        <v>22</v>
      </c>
      <c r="AK87" s="42" t="n">
        <v>45</v>
      </c>
      <c r="AL87" s="42" t="n">
        <v>85</v>
      </c>
      <c r="AM87" s="42" t="n">
        <v>351</v>
      </c>
      <c r="AN87" s="42" t="n">
        <v>0</v>
      </c>
      <c r="AO87" s="42" t="n">
        <v>0</v>
      </c>
      <c r="AP87" s="42" t="n">
        <v>0</v>
      </c>
      <c r="AQ87" s="42" t="n">
        <v>0</v>
      </c>
      <c r="AR87" s="42" t="n">
        <v>0</v>
      </c>
      <c r="AS87" s="42" t="n">
        <v>0</v>
      </c>
      <c r="AT87" s="42" t="n">
        <v>0</v>
      </c>
      <c r="AU87" s="42"/>
      <c r="AV87" s="42" t="n">
        <f aca="false">SUM(N87:AU87)</f>
        <v>3617</v>
      </c>
      <c r="AW87" s="42" t="n">
        <v>490</v>
      </c>
      <c r="AX87" s="42" t="n">
        <v>0</v>
      </c>
      <c r="AY87" s="42" t="n">
        <f aca="false">+AV87+AW87+AX87</f>
        <v>4107</v>
      </c>
      <c r="AZ87" s="42" t="n">
        <f aca="false">+K87-AY87</f>
        <v>0</v>
      </c>
      <c r="BA87" s="46"/>
    </row>
    <row r="88" customFormat="false" ht="12.75" hidden="false" customHeight="false" outlineLevel="0" collapsed="false">
      <c r="A88" s="37" t="n">
        <v>11</v>
      </c>
      <c r="B88" s="39" t="s">
        <v>227</v>
      </c>
      <c r="C88" s="39" t="s">
        <v>91</v>
      </c>
      <c r="D88" s="40" t="n">
        <v>100126</v>
      </c>
      <c r="E88" s="41" t="n">
        <v>0</v>
      </c>
      <c r="F88" s="42" t="n">
        <v>0</v>
      </c>
      <c r="G88" s="42" t="n">
        <v>0</v>
      </c>
      <c r="H88" s="42" t="n">
        <v>0</v>
      </c>
      <c r="I88" s="42" t="n">
        <v>0</v>
      </c>
      <c r="J88" s="42" t="n">
        <v>0</v>
      </c>
      <c r="K88" s="42" t="n">
        <f aca="false">SUM(E88:J88)</f>
        <v>0</v>
      </c>
      <c r="L88" s="43"/>
      <c r="M88" s="41" t="s">
        <v>98</v>
      </c>
      <c r="N88" s="42" t="n">
        <v>0</v>
      </c>
      <c r="O88" s="42" t="n">
        <v>0</v>
      </c>
      <c r="P88" s="42" t="n">
        <v>0</v>
      </c>
      <c r="Q88" s="42" t="n">
        <v>0</v>
      </c>
      <c r="R88" s="42" t="n">
        <v>0</v>
      </c>
      <c r="S88" s="42" t="n">
        <v>0</v>
      </c>
      <c r="T88" s="42" t="n">
        <v>0</v>
      </c>
      <c r="U88" s="42" t="n">
        <v>0</v>
      </c>
      <c r="V88" s="42" t="n">
        <v>0</v>
      </c>
      <c r="W88" s="42" t="n">
        <v>0</v>
      </c>
      <c r="X88" s="42" t="n">
        <v>0</v>
      </c>
      <c r="Y88" s="42" t="n">
        <v>0</v>
      </c>
      <c r="Z88" s="42" t="n">
        <v>0</v>
      </c>
      <c r="AA88" s="42" t="n">
        <v>0</v>
      </c>
      <c r="AB88" s="42" t="n">
        <v>0</v>
      </c>
      <c r="AC88" s="42" t="n">
        <v>0</v>
      </c>
      <c r="AD88" s="42" t="n">
        <v>0</v>
      </c>
      <c r="AE88" s="42" t="n">
        <v>0</v>
      </c>
      <c r="AF88" s="42" t="n">
        <v>0</v>
      </c>
      <c r="AG88" s="42" t="n">
        <v>0</v>
      </c>
      <c r="AH88" s="42" t="n">
        <v>0</v>
      </c>
      <c r="AI88" s="42" t="n">
        <v>0</v>
      </c>
      <c r="AJ88" s="42" t="n">
        <v>0</v>
      </c>
      <c r="AK88" s="42" t="n">
        <v>0</v>
      </c>
      <c r="AL88" s="42" t="n">
        <v>0</v>
      </c>
      <c r="AM88" s="42" t="n">
        <v>0</v>
      </c>
      <c r="AN88" s="42" t="n">
        <v>0</v>
      </c>
      <c r="AO88" s="42" t="n">
        <v>0</v>
      </c>
      <c r="AP88" s="42" t="n">
        <v>0</v>
      </c>
      <c r="AQ88" s="42" t="n">
        <v>0</v>
      </c>
      <c r="AR88" s="42" t="n">
        <v>0</v>
      </c>
      <c r="AS88" s="42" t="n">
        <v>0</v>
      </c>
      <c r="AT88" s="42" t="n">
        <v>0</v>
      </c>
      <c r="AU88" s="42"/>
      <c r="AV88" s="42" t="n">
        <f aca="false">SUM(N88:AU88)</f>
        <v>0</v>
      </c>
      <c r="AW88" s="42" t="n">
        <v>0</v>
      </c>
      <c r="AX88" s="42" t="n">
        <v>0</v>
      </c>
      <c r="AY88" s="42" t="n">
        <f aca="false">+AV88+AW88+AX88</f>
        <v>0</v>
      </c>
      <c r="AZ88" s="42" t="n">
        <f aca="false">+K88-AY88</f>
        <v>0</v>
      </c>
      <c r="BA88" s="46"/>
    </row>
    <row r="89" customFormat="false" ht="12.75" hidden="false" customHeight="false" outlineLevel="0" collapsed="false">
      <c r="A89" s="37" t="s">
        <v>36</v>
      </c>
      <c r="B89" s="38" t="s">
        <v>228</v>
      </c>
      <c r="C89" s="39" t="s">
        <v>107</v>
      </c>
      <c r="D89" s="40" t="n">
        <v>100127</v>
      </c>
      <c r="E89" s="41" t="n">
        <f aca="false">720+59+102</f>
        <v>881</v>
      </c>
      <c r="F89" s="42" t="n">
        <v>81</v>
      </c>
      <c r="G89" s="42" t="n">
        <v>2</v>
      </c>
      <c r="H89" s="42" t="n">
        <f aca="false">11574+360+30</f>
        <v>11964</v>
      </c>
      <c r="I89" s="42" t="n">
        <f aca="false">12+120</f>
        <v>132</v>
      </c>
      <c r="J89" s="42" t="n">
        <v>3</v>
      </c>
      <c r="K89" s="42" t="n">
        <f aca="false">SUM(E89:J89)</f>
        <v>13063</v>
      </c>
      <c r="L89" s="43"/>
      <c r="M89" s="41" t="s">
        <v>229</v>
      </c>
      <c r="N89" s="42" t="n">
        <v>0</v>
      </c>
      <c r="O89" s="42" t="n">
        <v>0</v>
      </c>
      <c r="P89" s="42" t="n">
        <v>97</v>
      </c>
      <c r="Q89" s="42" t="n">
        <v>103</v>
      </c>
      <c r="R89" s="42" t="n">
        <v>0</v>
      </c>
      <c r="S89" s="42" t="n">
        <v>0</v>
      </c>
      <c r="T89" s="42" t="n">
        <v>0</v>
      </c>
      <c r="U89" s="42" t="n">
        <v>785</v>
      </c>
      <c r="V89" s="42" t="n">
        <v>0</v>
      </c>
      <c r="W89" s="42" t="n">
        <v>0</v>
      </c>
      <c r="X89" s="42" t="n">
        <v>3000</v>
      </c>
      <c r="Y89" s="42" t="n">
        <v>0</v>
      </c>
      <c r="Z89" s="42" t="n">
        <v>42</v>
      </c>
      <c r="AA89" s="42" t="n">
        <v>0</v>
      </c>
      <c r="AB89" s="42" t="n">
        <v>0</v>
      </c>
      <c r="AC89" s="42" t="n">
        <v>215</v>
      </c>
      <c r="AD89" s="42" t="n">
        <v>1300</v>
      </c>
      <c r="AE89" s="42" t="n">
        <v>1000</v>
      </c>
      <c r="AF89" s="42" t="n">
        <v>0</v>
      </c>
      <c r="AG89" s="42" t="n">
        <v>0</v>
      </c>
      <c r="AH89" s="42" t="n">
        <v>150</v>
      </c>
      <c r="AI89" s="42" t="n">
        <v>275</v>
      </c>
      <c r="AJ89" s="42" t="n">
        <v>200</v>
      </c>
      <c r="AK89" s="42" t="n">
        <v>60</v>
      </c>
      <c r="AL89" s="42" t="n">
        <v>0</v>
      </c>
      <c r="AM89" s="42" t="n">
        <v>49</v>
      </c>
      <c r="AN89" s="42" t="n">
        <v>0</v>
      </c>
      <c r="AO89" s="42" t="n">
        <f aca="false">1500</f>
        <v>1500</v>
      </c>
      <c r="AP89" s="42" t="n">
        <v>318</v>
      </c>
      <c r="AQ89" s="42" t="n">
        <v>0</v>
      </c>
      <c r="AR89" s="42" t="n">
        <v>0</v>
      </c>
      <c r="AS89" s="42" t="n">
        <v>0</v>
      </c>
      <c r="AT89" s="42" t="n">
        <v>0</v>
      </c>
      <c r="AU89" s="42"/>
      <c r="AV89" s="42" t="n">
        <f aca="false">SUM(N89:AU89)</f>
        <v>9094</v>
      </c>
      <c r="AW89" s="42" t="n">
        <v>3969</v>
      </c>
      <c r="AX89" s="42" t="n">
        <v>0</v>
      </c>
      <c r="AY89" s="42" t="n">
        <f aca="false">+AV89+AW89+AX89</f>
        <v>13063</v>
      </c>
      <c r="AZ89" s="42" t="n">
        <f aca="false">+K89-AY89</f>
        <v>0</v>
      </c>
      <c r="BA89" s="46"/>
    </row>
    <row r="90" customFormat="false" ht="12.75" hidden="false" customHeight="false" outlineLevel="0" collapsed="false">
      <c r="A90" s="37" t="s">
        <v>36</v>
      </c>
      <c r="B90" s="38" t="s">
        <v>230</v>
      </c>
      <c r="C90" s="39" t="s">
        <v>97</v>
      </c>
      <c r="D90" s="40" t="n">
        <v>100128</v>
      </c>
      <c r="E90" s="41" t="n">
        <v>4715</v>
      </c>
      <c r="F90" s="42" t="n">
        <v>0</v>
      </c>
      <c r="G90" s="42" t="n">
        <v>0</v>
      </c>
      <c r="H90" s="42" t="n">
        <v>0</v>
      </c>
      <c r="I90" s="42" t="n">
        <v>0</v>
      </c>
      <c r="J90" s="42" t="n">
        <v>0</v>
      </c>
      <c r="K90" s="42" t="n">
        <f aca="false">SUM(E90:J90)</f>
        <v>4715</v>
      </c>
      <c r="L90" s="43"/>
      <c r="M90" s="41" t="s">
        <v>196</v>
      </c>
      <c r="N90" s="42" t="n">
        <v>86</v>
      </c>
      <c r="O90" s="42" t="n">
        <v>163</v>
      </c>
      <c r="P90" s="42" t="n">
        <v>357</v>
      </c>
      <c r="Q90" s="42" t="n">
        <v>0</v>
      </c>
      <c r="R90" s="42" t="n">
        <v>17</v>
      </c>
      <c r="S90" s="42" t="n">
        <v>0</v>
      </c>
      <c r="T90" s="42" t="n">
        <v>98</v>
      </c>
      <c r="U90" s="42" t="n">
        <v>459</v>
      </c>
      <c r="V90" s="42" t="n">
        <v>171</v>
      </c>
      <c r="W90" s="42" t="n">
        <v>0</v>
      </c>
      <c r="X90" s="42" t="n">
        <v>847</v>
      </c>
      <c r="Y90" s="42" t="n">
        <v>8</v>
      </c>
      <c r="Z90" s="42" t="n">
        <v>98</v>
      </c>
      <c r="AA90" s="42" t="n">
        <v>20</v>
      </c>
      <c r="AB90" s="42" t="n">
        <v>19</v>
      </c>
      <c r="AC90" s="42" t="n">
        <v>40</v>
      </c>
      <c r="AD90" s="42" t="n">
        <v>481</v>
      </c>
      <c r="AE90" s="42" t="n">
        <v>623</v>
      </c>
      <c r="AF90" s="42" t="n">
        <v>0</v>
      </c>
      <c r="AG90" s="42" t="n">
        <v>32</v>
      </c>
      <c r="AH90" s="42" t="n">
        <v>43</v>
      </c>
      <c r="AI90" s="42" t="n">
        <v>30</v>
      </c>
      <c r="AJ90" s="42" t="n">
        <v>25</v>
      </c>
      <c r="AK90" s="42" t="n">
        <v>52</v>
      </c>
      <c r="AL90" s="42" t="n">
        <v>97</v>
      </c>
      <c r="AM90" s="42" t="n">
        <v>403</v>
      </c>
      <c r="AN90" s="42" t="n">
        <v>0</v>
      </c>
      <c r="AO90" s="42" t="n">
        <v>0</v>
      </c>
      <c r="AP90" s="42" t="n">
        <v>0</v>
      </c>
      <c r="AQ90" s="42" t="n">
        <v>0</v>
      </c>
      <c r="AR90" s="42" t="n">
        <v>0</v>
      </c>
      <c r="AS90" s="42" t="n">
        <v>0</v>
      </c>
      <c r="AT90" s="42" t="n">
        <v>0</v>
      </c>
      <c r="AU90" s="42"/>
      <c r="AV90" s="42" t="n">
        <f aca="false">SUM(N90:AU90)</f>
        <v>4169</v>
      </c>
      <c r="AW90" s="42" t="n">
        <v>546</v>
      </c>
      <c r="AX90" s="42" t="n">
        <v>0</v>
      </c>
      <c r="AY90" s="42" t="n">
        <f aca="false">+AV90+AW90+AX90</f>
        <v>4715</v>
      </c>
      <c r="AZ90" s="42" t="n">
        <f aca="false">+K90-AY90</f>
        <v>0</v>
      </c>
      <c r="BA90" s="46"/>
    </row>
    <row r="91" customFormat="false" ht="12.75" hidden="false" customHeight="false" outlineLevel="0" collapsed="false">
      <c r="A91" s="47" t="n">
        <v>11</v>
      </c>
      <c r="B91" s="48" t="s">
        <v>231</v>
      </c>
      <c r="C91" s="48" t="s">
        <v>118</v>
      </c>
      <c r="D91" s="49" t="n">
        <v>100133</v>
      </c>
      <c r="E91" s="50" t="n">
        <v>0</v>
      </c>
      <c r="F91" s="45" t="n">
        <v>0</v>
      </c>
      <c r="G91" s="45" t="n">
        <v>0</v>
      </c>
      <c r="H91" s="45" t="n">
        <v>0</v>
      </c>
      <c r="I91" s="45" t="n">
        <v>0</v>
      </c>
      <c r="J91" s="45" t="n">
        <v>4265</v>
      </c>
      <c r="K91" s="42" t="n">
        <f aca="false">SUM(E91:J91)</f>
        <v>4265</v>
      </c>
      <c r="L91" s="51"/>
      <c r="M91" s="50" t="s">
        <v>98</v>
      </c>
      <c r="N91" s="45" t="n">
        <v>0</v>
      </c>
      <c r="O91" s="45" t="n">
        <v>0</v>
      </c>
      <c r="P91" s="45" t="n">
        <v>0</v>
      </c>
      <c r="Q91" s="45" t="n">
        <v>0</v>
      </c>
      <c r="R91" s="45" t="n">
        <v>0</v>
      </c>
      <c r="S91" s="45" t="n">
        <v>0</v>
      </c>
      <c r="T91" s="45" t="n">
        <v>0</v>
      </c>
      <c r="U91" s="45" t="n">
        <v>0</v>
      </c>
      <c r="V91" s="45" t="n">
        <v>0</v>
      </c>
      <c r="W91" s="42" t="n">
        <v>0</v>
      </c>
      <c r="X91" s="45" t="n">
        <v>0</v>
      </c>
      <c r="Y91" s="45" t="n">
        <v>0</v>
      </c>
      <c r="Z91" s="45" t="n">
        <v>0</v>
      </c>
      <c r="AA91" s="45" t="n">
        <v>0</v>
      </c>
      <c r="AB91" s="45" t="n">
        <v>0</v>
      </c>
      <c r="AC91" s="45" t="n">
        <v>0</v>
      </c>
      <c r="AD91" s="45" t="n">
        <v>0</v>
      </c>
      <c r="AE91" s="45" t="n">
        <v>0</v>
      </c>
      <c r="AF91" s="45" t="n">
        <v>0</v>
      </c>
      <c r="AG91" s="45" t="n">
        <v>0</v>
      </c>
      <c r="AH91" s="45" t="n">
        <v>0</v>
      </c>
      <c r="AI91" s="45" t="n">
        <v>0</v>
      </c>
      <c r="AJ91" s="45" t="n">
        <v>0</v>
      </c>
      <c r="AK91" s="45" t="n">
        <v>0</v>
      </c>
      <c r="AL91" s="45" t="n">
        <v>0</v>
      </c>
      <c r="AM91" s="45" t="n">
        <v>0</v>
      </c>
      <c r="AN91" s="45" t="n">
        <v>0</v>
      </c>
      <c r="AO91" s="45" t="n">
        <v>0</v>
      </c>
      <c r="AP91" s="45" t="n">
        <v>0</v>
      </c>
      <c r="AQ91" s="42" t="n">
        <v>0</v>
      </c>
      <c r="AR91" s="42" t="n">
        <v>0</v>
      </c>
      <c r="AS91" s="42" t="n">
        <v>0</v>
      </c>
      <c r="AT91" s="42" t="n">
        <v>0</v>
      </c>
      <c r="AU91" s="45"/>
      <c r="AV91" s="45" t="n">
        <f aca="false">SUM(N91:AU91)</f>
        <v>0</v>
      </c>
      <c r="AW91" s="45" t="n">
        <v>4265</v>
      </c>
      <c r="AX91" s="42" t="n">
        <v>0</v>
      </c>
      <c r="AY91" s="42" t="n">
        <f aca="false">+AV91+AW91+AX91</f>
        <v>4265</v>
      </c>
      <c r="AZ91" s="45" t="n">
        <f aca="false">+K91-AY91</f>
        <v>0</v>
      </c>
      <c r="BA91" s="52"/>
    </row>
    <row r="92" customFormat="false" ht="12.75" hidden="false" customHeight="false" outlineLevel="0" collapsed="false">
      <c r="A92" s="47" t="n">
        <v>11</v>
      </c>
      <c r="B92" s="48" t="s">
        <v>232</v>
      </c>
      <c r="C92" s="48" t="s">
        <v>118</v>
      </c>
      <c r="D92" s="49" t="n">
        <v>100134</v>
      </c>
      <c r="E92" s="50" t="n">
        <v>0</v>
      </c>
      <c r="F92" s="45" t="n">
        <v>0</v>
      </c>
      <c r="G92" s="45" t="n">
        <v>0</v>
      </c>
      <c r="H92" s="45" t="n">
        <v>0</v>
      </c>
      <c r="I92" s="45" t="n">
        <v>0</v>
      </c>
      <c r="J92" s="45" t="n">
        <v>600</v>
      </c>
      <c r="K92" s="42" t="n">
        <f aca="false">SUM(E92:J92)</f>
        <v>600</v>
      </c>
      <c r="L92" s="51"/>
      <c r="M92" s="50" t="s">
        <v>111</v>
      </c>
      <c r="N92" s="45" t="n">
        <v>0</v>
      </c>
      <c r="O92" s="45" t="n">
        <v>0</v>
      </c>
      <c r="P92" s="45" t="n">
        <v>0</v>
      </c>
      <c r="Q92" s="45" t="n">
        <v>0</v>
      </c>
      <c r="R92" s="45" t="n">
        <v>0</v>
      </c>
      <c r="S92" s="45" t="n">
        <v>0</v>
      </c>
      <c r="T92" s="45" t="n">
        <v>0</v>
      </c>
      <c r="U92" s="45" t="n">
        <v>0</v>
      </c>
      <c r="V92" s="45" t="n">
        <v>0</v>
      </c>
      <c r="W92" s="42" t="n">
        <v>0</v>
      </c>
      <c r="X92" s="45" t="n">
        <v>0</v>
      </c>
      <c r="Y92" s="45" t="n">
        <v>0</v>
      </c>
      <c r="Z92" s="45" t="n">
        <v>0</v>
      </c>
      <c r="AA92" s="45" t="n">
        <v>0</v>
      </c>
      <c r="AB92" s="45" t="n">
        <v>0</v>
      </c>
      <c r="AC92" s="45" t="n">
        <v>0</v>
      </c>
      <c r="AD92" s="45" t="n">
        <v>0</v>
      </c>
      <c r="AE92" s="45" t="n">
        <v>0</v>
      </c>
      <c r="AF92" s="45" t="n">
        <v>0</v>
      </c>
      <c r="AG92" s="45" t="n">
        <v>0</v>
      </c>
      <c r="AH92" s="45" t="n">
        <v>0</v>
      </c>
      <c r="AI92" s="45" t="n">
        <v>0</v>
      </c>
      <c r="AJ92" s="45" t="n">
        <v>0</v>
      </c>
      <c r="AK92" s="45" t="n">
        <v>0</v>
      </c>
      <c r="AL92" s="45" t="n">
        <v>0</v>
      </c>
      <c r="AM92" s="45" t="n">
        <v>0</v>
      </c>
      <c r="AN92" s="45" t="n">
        <v>0</v>
      </c>
      <c r="AO92" s="45" t="n">
        <v>0</v>
      </c>
      <c r="AP92" s="45" t="n">
        <v>0</v>
      </c>
      <c r="AQ92" s="42" t="n">
        <v>0</v>
      </c>
      <c r="AR92" s="42" t="n">
        <v>0</v>
      </c>
      <c r="AS92" s="42" t="n">
        <v>0</v>
      </c>
      <c r="AT92" s="42" t="n">
        <v>0</v>
      </c>
      <c r="AU92" s="45"/>
      <c r="AV92" s="45" t="n">
        <f aca="false">SUM(N92:AU92)</f>
        <v>0</v>
      </c>
      <c r="AW92" s="45" t="n">
        <v>600</v>
      </c>
      <c r="AX92" s="42" t="n">
        <v>0</v>
      </c>
      <c r="AY92" s="42" t="n">
        <f aca="false">+AV92+AW92+AX92</f>
        <v>600</v>
      </c>
      <c r="AZ92" s="45" t="n">
        <f aca="false">+K92-AY92</f>
        <v>0</v>
      </c>
      <c r="BA92" s="52"/>
    </row>
    <row r="93" customFormat="false" ht="12.75" hidden="false" customHeight="false" outlineLevel="0" collapsed="false">
      <c r="A93" s="37" t="n">
        <v>11</v>
      </c>
      <c r="B93" s="39" t="s">
        <v>233</v>
      </c>
      <c r="C93" s="39" t="s">
        <v>234</v>
      </c>
      <c r="D93" s="40" t="n">
        <v>100135</v>
      </c>
      <c r="E93" s="41" t="n">
        <v>0</v>
      </c>
      <c r="F93" s="42" t="n">
        <v>90</v>
      </c>
      <c r="G93" s="42" t="n">
        <v>10</v>
      </c>
      <c r="H93" s="42" t="n">
        <f aca="false">806+12</f>
        <v>818</v>
      </c>
      <c r="I93" s="42" t="n">
        <v>3</v>
      </c>
      <c r="J93" s="42" t="n">
        <v>28</v>
      </c>
      <c r="K93" s="42" t="n">
        <f aca="false">SUM(E93:J93)</f>
        <v>949</v>
      </c>
      <c r="L93" s="43"/>
      <c r="M93" s="41" t="s">
        <v>235</v>
      </c>
      <c r="N93" s="42" t="n">
        <v>1</v>
      </c>
      <c r="O93" s="42" t="n">
        <v>20</v>
      </c>
      <c r="P93" s="42" t="n">
        <v>30</v>
      </c>
      <c r="Q93" s="42" t="n">
        <v>30</v>
      </c>
      <c r="R93" s="42" t="n">
        <v>2</v>
      </c>
      <c r="S93" s="42" t="n">
        <v>0</v>
      </c>
      <c r="T93" s="42" t="n">
        <v>10</v>
      </c>
      <c r="U93" s="42" t="n">
        <v>52</v>
      </c>
      <c r="V93" s="42" t="n">
        <v>20</v>
      </c>
      <c r="W93" s="42" t="n">
        <v>0</v>
      </c>
      <c r="X93" s="42" t="n">
        <v>105</v>
      </c>
      <c r="Y93" s="42" t="n">
        <v>1</v>
      </c>
      <c r="Z93" s="42" t="n">
        <v>10</v>
      </c>
      <c r="AA93" s="42" t="n">
        <v>2</v>
      </c>
      <c r="AB93" s="42" t="n">
        <v>105</v>
      </c>
      <c r="AC93" s="42" t="n">
        <v>4</v>
      </c>
      <c r="AD93" s="42" t="n">
        <v>71</v>
      </c>
      <c r="AE93" s="42" t="n">
        <v>81</v>
      </c>
      <c r="AF93" s="42" t="n">
        <v>51</v>
      </c>
      <c r="AG93" s="42" t="n">
        <v>220</v>
      </c>
      <c r="AH93" s="42" t="n">
        <v>4</v>
      </c>
      <c r="AI93" s="42" t="n">
        <v>10</v>
      </c>
      <c r="AJ93" s="42" t="n">
        <v>10</v>
      </c>
      <c r="AK93" s="42" t="n">
        <v>10</v>
      </c>
      <c r="AL93" s="42" t="n">
        <v>0</v>
      </c>
      <c r="AM93" s="42" t="n">
        <v>60</v>
      </c>
      <c r="AN93" s="42" t="n">
        <v>0</v>
      </c>
      <c r="AO93" s="42" t="n">
        <v>30</v>
      </c>
      <c r="AP93" s="42" t="n">
        <v>10</v>
      </c>
      <c r="AQ93" s="42" t="n">
        <v>0</v>
      </c>
      <c r="AR93" s="42" t="n">
        <v>0</v>
      </c>
      <c r="AS93" s="42" t="n">
        <v>0</v>
      </c>
      <c r="AT93" s="42" t="n">
        <v>0</v>
      </c>
      <c r="AU93" s="42" t="n">
        <v>0</v>
      </c>
      <c r="AV93" s="42" t="n">
        <f aca="false">SUM(N93:AU93)</f>
        <v>949</v>
      </c>
      <c r="AW93" s="42" t="n">
        <v>0</v>
      </c>
      <c r="AX93" s="42" t="n">
        <v>0</v>
      </c>
      <c r="AY93" s="42" t="n">
        <f aca="false">+AV93+AW93+AX93</f>
        <v>949</v>
      </c>
      <c r="AZ93" s="42" t="n">
        <f aca="false">+K93-AY93</f>
        <v>0</v>
      </c>
      <c r="BA93" s="46"/>
    </row>
    <row r="94" customFormat="false" ht="12.75" hidden="false" customHeight="false" outlineLevel="0" collapsed="false">
      <c r="A94" s="37" t="n">
        <v>11</v>
      </c>
      <c r="B94" s="39" t="s">
        <v>236</v>
      </c>
      <c r="C94" s="39" t="s">
        <v>234</v>
      </c>
      <c r="D94" s="40" t="n">
        <v>100136</v>
      </c>
      <c r="E94" s="41" t="n">
        <v>0</v>
      </c>
      <c r="F94" s="42" t="n">
        <v>33</v>
      </c>
      <c r="G94" s="42" t="n">
        <v>0</v>
      </c>
      <c r="H94" s="42" t="n">
        <v>1380</v>
      </c>
      <c r="I94" s="42" t="n">
        <v>0</v>
      </c>
      <c r="J94" s="42" t="n">
        <v>2</v>
      </c>
      <c r="K94" s="42" t="n">
        <f aca="false">SUM(E94:J94)</f>
        <v>1415</v>
      </c>
      <c r="L94" s="43"/>
      <c r="M94" s="41" t="s">
        <v>108</v>
      </c>
      <c r="N94" s="42" t="n">
        <v>0</v>
      </c>
      <c r="O94" s="42" t="n">
        <v>0</v>
      </c>
      <c r="P94" s="42" t="n">
        <v>0</v>
      </c>
      <c r="Q94" s="42" t="n">
        <v>0</v>
      </c>
      <c r="R94" s="42" t="n">
        <v>0</v>
      </c>
      <c r="S94" s="42" t="n">
        <v>0</v>
      </c>
      <c r="T94" s="42" t="n">
        <v>0</v>
      </c>
      <c r="U94" s="42" t="n">
        <v>0</v>
      </c>
      <c r="V94" s="42" t="n">
        <v>0</v>
      </c>
      <c r="W94" s="42" t="n">
        <v>0</v>
      </c>
      <c r="X94" s="42" t="n">
        <v>0</v>
      </c>
      <c r="Y94" s="42" t="n">
        <v>0</v>
      </c>
      <c r="Z94" s="42" t="n">
        <v>0</v>
      </c>
      <c r="AA94" s="42" t="n">
        <v>0</v>
      </c>
      <c r="AB94" s="42" t="n">
        <v>0</v>
      </c>
      <c r="AC94" s="42" t="n">
        <v>0</v>
      </c>
      <c r="AD94" s="42" t="n">
        <v>0</v>
      </c>
      <c r="AE94" s="42" t="n">
        <v>0</v>
      </c>
      <c r="AF94" s="42" t="n">
        <v>0</v>
      </c>
      <c r="AG94" s="42" t="n">
        <v>0</v>
      </c>
      <c r="AH94" s="42" t="n">
        <v>0</v>
      </c>
      <c r="AI94" s="42" t="n">
        <v>0</v>
      </c>
      <c r="AJ94" s="42" t="n">
        <v>0</v>
      </c>
      <c r="AK94" s="42" t="n">
        <v>0</v>
      </c>
      <c r="AL94" s="42" t="n">
        <v>0</v>
      </c>
      <c r="AM94" s="42" t="n">
        <v>0</v>
      </c>
      <c r="AN94" s="42" t="n">
        <v>0</v>
      </c>
      <c r="AO94" s="42" t="n">
        <v>0</v>
      </c>
      <c r="AP94" s="42" t="n">
        <v>0</v>
      </c>
      <c r="AQ94" s="42" t="n">
        <v>0</v>
      </c>
      <c r="AR94" s="42" t="n">
        <v>0</v>
      </c>
      <c r="AS94" s="42" t="n">
        <v>0</v>
      </c>
      <c r="AT94" s="42" t="n">
        <v>0</v>
      </c>
      <c r="AU94" s="42"/>
      <c r="AV94" s="42" t="n">
        <f aca="false">SUM(N94:AU94)</f>
        <v>0</v>
      </c>
      <c r="AW94" s="42" t="n">
        <v>1415</v>
      </c>
      <c r="AX94" s="42" t="n">
        <v>0</v>
      </c>
      <c r="AY94" s="42" t="n">
        <f aca="false">+AV94+AW94+AX94</f>
        <v>1415</v>
      </c>
      <c r="AZ94" s="42" t="n">
        <f aca="false">+K94-AY94</f>
        <v>0</v>
      </c>
      <c r="BA94" s="46"/>
    </row>
    <row r="95" customFormat="false" ht="12.75" hidden="false" customHeight="false" outlineLevel="0" collapsed="false">
      <c r="A95" s="37" t="n">
        <v>11</v>
      </c>
      <c r="B95" s="39" t="s">
        <v>237</v>
      </c>
      <c r="C95" s="39" t="s">
        <v>234</v>
      </c>
      <c r="D95" s="40" t="n">
        <v>100137</v>
      </c>
      <c r="E95" s="41" t="n">
        <f aca="false">1555+129+211</f>
        <v>1895</v>
      </c>
      <c r="F95" s="42" t="n">
        <v>249</v>
      </c>
      <c r="G95" s="42" t="n">
        <v>30</v>
      </c>
      <c r="H95" s="42" t="n">
        <f aca="false">340+2+45</f>
        <v>387</v>
      </c>
      <c r="I95" s="42" t="n">
        <f aca="false">80+420</f>
        <v>500</v>
      </c>
      <c r="J95" s="42" t="n">
        <v>119</v>
      </c>
      <c r="K95" s="42" t="n">
        <f aca="false">SUM(E95:J95)</f>
        <v>3180</v>
      </c>
      <c r="L95" s="43"/>
      <c r="M95" s="41" t="s">
        <v>108</v>
      </c>
      <c r="N95" s="42" t="n">
        <v>0</v>
      </c>
      <c r="O95" s="42" t="n">
        <v>0</v>
      </c>
      <c r="P95" s="42" t="n">
        <v>0</v>
      </c>
      <c r="Q95" s="42" t="n">
        <v>0</v>
      </c>
      <c r="R95" s="42" t="n">
        <v>0</v>
      </c>
      <c r="S95" s="42" t="n">
        <v>0</v>
      </c>
      <c r="T95" s="42" t="n">
        <v>0</v>
      </c>
      <c r="U95" s="42" t="n">
        <v>0</v>
      </c>
      <c r="V95" s="42" t="n">
        <v>0</v>
      </c>
      <c r="W95" s="42" t="n">
        <v>0</v>
      </c>
      <c r="X95" s="42" t="n">
        <v>0</v>
      </c>
      <c r="Y95" s="42" t="n">
        <v>0</v>
      </c>
      <c r="Z95" s="42" t="n">
        <v>0</v>
      </c>
      <c r="AA95" s="42" t="n">
        <v>0</v>
      </c>
      <c r="AB95" s="42" t="n">
        <v>0</v>
      </c>
      <c r="AC95" s="42" t="n">
        <v>0</v>
      </c>
      <c r="AD95" s="42" t="n">
        <v>0</v>
      </c>
      <c r="AE95" s="42" t="n">
        <v>0</v>
      </c>
      <c r="AF95" s="42" t="n">
        <v>0</v>
      </c>
      <c r="AG95" s="42" t="n">
        <v>0</v>
      </c>
      <c r="AH95" s="42" t="n">
        <v>0</v>
      </c>
      <c r="AI95" s="42" t="n">
        <v>0</v>
      </c>
      <c r="AJ95" s="42" t="n">
        <v>0</v>
      </c>
      <c r="AK95" s="42" t="n">
        <v>0</v>
      </c>
      <c r="AL95" s="42" t="n">
        <v>0</v>
      </c>
      <c r="AM95" s="42" t="n">
        <v>0</v>
      </c>
      <c r="AN95" s="42" t="n">
        <v>0</v>
      </c>
      <c r="AO95" s="42" t="n">
        <v>0</v>
      </c>
      <c r="AP95" s="42" t="n">
        <v>0</v>
      </c>
      <c r="AQ95" s="42" t="n">
        <v>0</v>
      </c>
      <c r="AR95" s="42" t="n">
        <v>0</v>
      </c>
      <c r="AS95" s="42" t="n">
        <v>0</v>
      </c>
      <c r="AT95" s="42" t="n">
        <v>0</v>
      </c>
      <c r="AU95" s="42"/>
      <c r="AV95" s="42" t="n">
        <f aca="false">SUM(N95:AU95)</f>
        <v>0</v>
      </c>
      <c r="AW95" s="42" t="n">
        <v>3180</v>
      </c>
      <c r="AX95" s="42" t="n">
        <v>0</v>
      </c>
      <c r="AY95" s="42" t="n">
        <f aca="false">+AV95+AW95+AX95</f>
        <v>3180</v>
      </c>
      <c r="AZ95" s="42" t="n">
        <f aca="false">+K95-AY95</f>
        <v>0</v>
      </c>
      <c r="BA95" s="46"/>
    </row>
    <row r="96" customFormat="false" ht="12.75" hidden="false" customHeight="false" outlineLevel="0" collapsed="false">
      <c r="A96" s="47" t="n">
        <v>11</v>
      </c>
      <c r="B96" s="48" t="s">
        <v>238</v>
      </c>
      <c r="C96" s="48" t="s">
        <v>118</v>
      </c>
      <c r="D96" s="49" t="n">
        <v>100138</v>
      </c>
      <c r="E96" s="50" t="n">
        <v>0</v>
      </c>
      <c r="F96" s="45" t="n">
        <v>0</v>
      </c>
      <c r="G96" s="45" t="n">
        <v>0</v>
      </c>
      <c r="H96" s="45" t="n">
        <v>0</v>
      </c>
      <c r="I96" s="45" t="n">
        <v>0</v>
      </c>
      <c r="J96" s="45" t="n">
        <v>2600</v>
      </c>
      <c r="K96" s="42" t="n">
        <f aca="false">SUM(E96:J96)</f>
        <v>2600</v>
      </c>
      <c r="L96" s="51"/>
      <c r="M96" s="50" t="s">
        <v>239</v>
      </c>
      <c r="N96" s="45" t="n">
        <v>41</v>
      </c>
      <c r="O96" s="45" t="n">
        <v>78</v>
      </c>
      <c r="P96" s="45" t="n">
        <v>83</v>
      </c>
      <c r="Q96" s="45" t="n">
        <v>88</v>
      </c>
      <c r="R96" s="45" t="n">
        <v>8</v>
      </c>
      <c r="S96" s="45" t="n">
        <v>0</v>
      </c>
      <c r="T96" s="45" t="n">
        <v>47</v>
      </c>
      <c r="U96" s="45" t="n">
        <v>304</v>
      </c>
      <c r="V96" s="45" t="n">
        <v>59</v>
      </c>
      <c r="W96" s="42" t="n">
        <v>23</v>
      </c>
      <c r="X96" s="45" t="n">
        <v>422</v>
      </c>
      <c r="Y96" s="45" t="n">
        <v>4</v>
      </c>
      <c r="Z96" s="45" t="n">
        <v>47</v>
      </c>
      <c r="AA96" s="45" t="n">
        <v>10</v>
      </c>
      <c r="AB96" s="45" t="n">
        <v>2</v>
      </c>
      <c r="AC96" s="45" t="n">
        <v>19</v>
      </c>
      <c r="AD96" s="45" t="n">
        <v>375</v>
      </c>
      <c r="AE96" s="45" t="n">
        <v>301</v>
      </c>
      <c r="AF96" s="45" t="n">
        <v>4</v>
      </c>
      <c r="AG96" s="45" t="n">
        <v>0</v>
      </c>
      <c r="AH96" s="45" t="n">
        <v>21</v>
      </c>
      <c r="AI96" s="45" t="n">
        <v>20</v>
      </c>
      <c r="AJ96" s="45" t="n">
        <v>10</v>
      </c>
      <c r="AK96" s="45" t="n">
        <v>25</v>
      </c>
      <c r="AL96" s="45" t="n">
        <v>9</v>
      </c>
      <c r="AM96" s="45" t="n">
        <v>193</v>
      </c>
      <c r="AN96" s="45" t="n">
        <v>0</v>
      </c>
      <c r="AO96" s="45" t="n">
        <v>113</v>
      </c>
      <c r="AP96" s="45" t="n">
        <v>30</v>
      </c>
      <c r="AQ96" s="42" t="n">
        <v>0</v>
      </c>
      <c r="AR96" s="42" t="n">
        <v>0</v>
      </c>
      <c r="AS96" s="42" t="n">
        <v>0</v>
      </c>
      <c r="AT96" s="42" t="n">
        <v>0</v>
      </c>
      <c r="AU96" s="45"/>
      <c r="AV96" s="45" t="n">
        <f aca="false">SUM(N96:AU96)</f>
        <v>2336</v>
      </c>
      <c r="AW96" s="45" t="n">
        <v>264</v>
      </c>
      <c r="AX96" s="42" t="n">
        <v>0</v>
      </c>
      <c r="AY96" s="42" t="n">
        <f aca="false">+AV96+AW96+AX96</f>
        <v>2600</v>
      </c>
      <c r="AZ96" s="45" t="n">
        <f aca="false">+K96-AY96</f>
        <v>0</v>
      </c>
      <c r="BA96" s="52"/>
    </row>
    <row r="97" customFormat="false" ht="12.75" hidden="false" customHeight="false" outlineLevel="0" collapsed="false">
      <c r="A97" s="37" t="s">
        <v>36</v>
      </c>
      <c r="B97" s="38" t="s">
        <v>240</v>
      </c>
      <c r="C97" s="39" t="s">
        <v>241</v>
      </c>
      <c r="D97" s="40" t="n">
        <v>100139</v>
      </c>
      <c r="E97" s="41" t="n">
        <f aca="false">132+13+31</f>
        <v>176</v>
      </c>
      <c r="F97" s="42" t="n">
        <v>8</v>
      </c>
      <c r="G97" s="42" t="n">
        <v>26</v>
      </c>
      <c r="H97" s="42" t="n">
        <f aca="false">48+5</f>
        <v>53</v>
      </c>
      <c r="I97" s="42" t="n">
        <f aca="false">19+199</f>
        <v>218</v>
      </c>
      <c r="J97" s="42" t="n">
        <v>234</v>
      </c>
      <c r="K97" s="42" t="n">
        <f aca="false">SUM(E97:J97)</f>
        <v>715</v>
      </c>
      <c r="L97" s="43"/>
      <c r="M97" s="41" t="s">
        <v>242</v>
      </c>
      <c r="N97" s="42" t="n">
        <v>0</v>
      </c>
      <c r="O97" s="42" t="n">
        <v>0</v>
      </c>
      <c r="P97" s="42" t="n">
        <v>14</v>
      </c>
      <c r="Q97" s="42" t="n">
        <v>0</v>
      </c>
      <c r="R97" s="42" t="n">
        <v>0</v>
      </c>
      <c r="S97" s="42" t="n">
        <v>0</v>
      </c>
      <c r="T97" s="42" t="n">
        <v>14</v>
      </c>
      <c r="U97" s="42" t="n">
        <v>14</v>
      </c>
      <c r="V97" s="42" t="n">
        <v>57</v>
      </c>
      <c r="W97" s="42" t="n">
        <v>0</v>
      </c>
      <c r="X97" s="42" t="n">
        <f aca="false">237-20</f>
        <v>217</v>
      </c>
      <c r="Y97" s="42" t="n">
        <v>0</v>
      </c>
      <c r="Z97" s="42" t="n">
        <v>0</v>
      </c>
      <c r="AA97" s="42" t="n">
        <v>0</v>
      </c>
      <c r="AB97" s="42" t="n">
        <v>0</v>
      </c>
      <c r="AC97" s="42" t="n">
        <v>29</v>
      </c>
      <c r="AD97" s="42" t="n">
        <v>65</v>
      </c>
      <c r="AE97" s="42" t="n">
        <v>36</v>
      </c>
      <c r="AF97" s="42" t="n">
        <v>0</v>
      </c>
      <c r="AG97" s="42" t="n">
        <v>14</v>
      </c>
      <c r="AH97" s="42" t="n">
        <v>29</v>
      </c>
      <c r="AI97" s="42" t="n">
        <v>21</v>
      </c>
      <c r="AJ97" s="42" t="n">
        <v>14</v>
      </c>
      <c r="AK97" s="42" t="n">
        <v>21</v>
      </c>
      <c r="AL97" s="42" t="n">
        <f aca="false">21-12</f>
        <v>9</v>
      </c>
      <c r="AM97" s="42" t="n">
        <v>0</v>
      </c>
      <c r="AN97" s="42" t="n">
        <v>0</v>
      </c>
      <c r="AO97" s="42" t="n">
        <v>12</v>
      </c>
      <c r="AP97" s="42" t="n">
        <v>20</v>
      </c>
      <c r="AQ97" s="42" t="n">
        <v>0</v>
      </c>
      <c r="AR97" s="42" t="n">
        <v>0</v>
      </c>
      <c r="AS97" s="42" t="n">
        <v>0</v>
      </c>
      <c r="AT97" s="42" t="n">
        <v>0</v>
      </c>
      <c r="AU97" s="42"/>
      <c r="AV97" s="42" t="n">
        <f aca="false">SUM(N97:AU97)</f>
        <v>586</v>
      </c>
      <c r="AW97" s="42" t="n">
        <v>129</v>
      </c>
      <c r="AX97" s="42" t="n">
        <v>0</v>
      </c>
      <c r="AY97" s="42" t="n">
        <f aca="false">+AV97+AW97+AX97</f>
        <v>715</v>
      </c>
      <c r="AZ97" s="42" t="n">
        <f aca="false">+K97-AY97</f>
        <v>0</v>
      </c>
      <c r="BA97" s="46"/>
    </row>
    <row r="98" customFormat="false" ht="12.75" hidden="false" customHeight="false" outlineLevel="0" collapsed="false">
      <c r="A98" s="37" t="n">
        <v>11</v>
      </c>
      <c r="B98" s="39" t="s">
        <v>243</v>
      </c>
      <c r="C98" s="39" t="s">
        <v>139</v>
      </c>
      <c r="D98" s="40" t="n">
        <v>100140</v>
      </c>
      <c r="E98" s="41" t="n">
        <v>0</v>
      </c>
      <c r="F98" s="42" t="n">
        <v>35</v>
      </c>
      <c r="G98" s="42" t="n">
        <v>0</v>
      </c>
      <c r="H98" s="42" t="n">
        <v>2300</v>
      </c>
      <c r="I98" s="42" t="n">
        <v>10</v>
      </c>
      <c r="J98" s="42" t="n">
        <v>0</v>
      </c>
      <c r="K98" s="42" t="n">
        <f aca="false">SUM(E98:J98)</f>
        <v>2345</v>
      </c>
      <c r="L98" s="43"/>
      <c r="M98" s="41" t="s">
        <v>108</v>
      </c>
      <c r="N98" s="42" t="n">
        <v>0</v>
      </c>
      <c r="O98" s="42" t="n">
        <v>0</v>
      </c>
      <c r="P98" s="42" t="n">
        <v>0</v>
      </c>
      <c r="Q98" s="42" t="n">
        <v>0</v>
      </c>
      <c r="R98" s="42" t="n">
        <v>0</v>
      </c>
      <c r="S98" s="42" t="n">
        <v>0</v>
      </c>
      <c r="T98" s="42" t="n">
        <v>0</v>
      </c>
      <c r="U98" s="42" t="n">
        <v>0</v>
      </c>
      <c r="V98" s="42" t="n">
        <v>0</v>
      </c>
      <c r="W98" s="42" t="n">
        <v>0</v>
      </c>
      <c r="X98" s="42" t="n">
        <v>0</v>
      </c>
      <c r="Y98" s="42" t="n">
        <v>0</v>
      </c>
      <c r="Z98" s="42" t="n">
        <v>0</v>
      </c>
      <c r="AA98" s="42" t="n">
        <v>0</v>
      </c>
      <c r="AB98" s="42" t="n">
        <v>0</v>
      </c>
      <c r="AC98" s="42" t="n">
        <v>0</v>
      </c>
      <c r="AD98" s="42" t="n">
        <v>0</v>
      </c>
      <c r="AE98" s="42" t="n">
        <v>0</v>
      </c>
      <c r="AF98" s="42" t="n">
        <v>0</v>
      </c>
      <c r="AG98" s="42" t="n">
        <v>0</v>
      </c>
      <c r="AH98" s="42" t="n">
        <v>0</v>
      </c>
      <c r="AI98" s="42" t="n">
        <v>0</v>
      </c>
      <c r="AJ98" s="42" t="n">
        <v>0</v>
      </c>
      <c r="AK98" s="42" t="n">
        <v>0</v>
      </c>
      <c r="AL98" s="42" t="n">
        <v>0</v>
      </c>
      <c r="AM98" s="42" t="n">
        <v>0</v>
      </c>
      <c r="AN98" s="42" t="n">
        <v>0</v>
      </c>
      <c r="AO98" s="42" t="n">
        <v>0</v>
      </c>
      <c r="AP98" s="42" t="n">
        <v>0</v>
      </c>
      <c r="AQ98" s="42" t="n">
        <v>0</v>
      </c>
      <c r="AR98" s="42" t="n">
        <v>0</v>
      </c>
      <c r="AS98" s="42" t="n">
        <v>0</v>
      </c>
      <c r="AT98" s="42" t="n">
        <v>0</v>
      </c>
      <c r="AU98" s="42"/>
      <c r="AV98" s="42" t="n">
        <f aca="false">SUM(N98:AU98)</f>
        <v>0</v>
      </c>
      <c r="AW98" s="42" t="n">
        <v>2345</v>
      </c>
      <c r="AX98" s="42" t="n">
        <v>0</v>
      </c>
      <c r="AY98" s="42" t="n">
        <f aca="false">+AV98+AW98+AX98</f>
        <v>2345</v>
      </c>
      <c r="AZ98" s="42" t="n">
        <f aca="false">+K98-AY98</f>
        <v>0</v>
      </c>
      <c r="BA98" s="46"/>
    </row>
    <row r="99" customFormat="false" ht="12.75" hidden="false" customHeight="false" outlineLevel="0" collapsed="false">
      <c r="A99" s="37" t="s">
        <v>36</v>
      </c>
      <c r="B99" s="38" t="s">
        <v>244</v>
      </c>
      <c r="C99" s="39" t="s">
        <v>97</v>
      </c>
      <c r="D99" s="40" t="n">
        <v>100141</v>
      </c>
      <c r="E99" s="41" t="n">
        <v>0</v>
      </c>
      <c r="F99" s="42" t="n">
        <v>592</v>
      </c>
      <c r="G99" s="42" t="n">
        <v>24</v>
      </c>
      <c r="H99" s="42" t="n">
        <f aca="false">70+14</f>
        <v>84</v>
      </c>
      <c r="I99" s="42" t="n">
        <f aca="false">20+852</f>
        <v>872</v>
      </c>
      <c r="J99" s="42" t="n">
        <v>-524</v>
      </c>
      <c r="K99" s="42" t="n">
        <f aca="false">SUM(E99:J99)</f>
        <v>1048</v>
      </c>
      <c r="L99" s="43"/>
      <c r="M99" s="41" t="s">
        <v>147</v>
      </c>
      <c r="N99" s="42" t="n">
        <v>8</v>
      </c>
      <c r="O99" s="42" t="n">
        <v>11</v>
      </c>
      <c r="P99" s="42" t="n">
        <v>55</v>
      </c>
      <c r="Q99" s="42" t="n">
        <v>0</v>
      </c>
      <c r="R99" s="42" t="n">
        <v>7</v>
      </c>
      <c r="S99" s="42" t="n">
        <v>0</v>
      </c>
      <c r="T99" s="42" t="n">
        <v>0</v>
      </c>
      <c r="U99" s="42" t="n">
        <v>22</v>
      </c>
      <c r="V99" s="42" t="n">
        <v>39</v>
      </c>
      <c r="W99" s="42" t="n">
        <v>0</v>
      </c>
      <c r="X99" s="42" t="n">
        <v>246</v>
      </c>
      <c r="Y99" s="42" t="n">
        <v>2</v>
      </c>
      <c r="Z99" s="42" t="n">
        <v>2</v>
      </c>
      <c r="AA99" s="42" t="n">
        <v>6</v>
      </c>
      <c r="AB99" s="42" t="n">
        <v>17</v>
      </c>
      <c r="AC99" s="42" t="n">
        <v>12</v>
      </c>
      <c r="AD99" s="42" t="n">
        <v>117</v>
      </c>
      <c r="AE99" s="42" t="n">
        <v>108</v>
      </c>
      <c r="AF99" s="42" t="n">
        <v>3</v>
      </c>
      <c r="AG99" s="42" t="n">
        <v>24</v>
      </c>
      <c r="AH99" s="42" t="n">
        <v>13</v>
      </c>
      <c r="AI99" s="42" t="n">
        <v>9</v>
      </c>
      <c r="AJ99" s="42" t="n">
        <v>6</v>
      </c>
      <c r="AK99" s="42" t="n">
        <v>17</v>
      </c>
      <c r="AL99" s="42" t="n">
        <v>29</v>
      </c>
      <c r="AM99" s="42" t="n">
        <v>161</v>
      </c>
      <c r="AN99" s="42" t="n">
        <v>0</v>
      </c>
      <c r="AO99" s="42" t="n">
        <v>0</v>
      </c>
      <c r="AP99" s="42" t="n">
        <v>0</v>
      </c>
      <c r="AQ99" s="42" t="n">
        <v>0</v>
      </c>
      <c r="AR99" s="42" t="n">
        <v>0</v>
      </c>
      <c r="AS99" s="42" t="n">
        <v>0</v>
      </c>
      <c r="AT99" s="42" t="n">
        <v>0</v>
      </c>
      <c r="AU99" s="42"/>
      <c r="AV99" s="45" t="n">
        <f aca="false">SUM(N99:AU99)</f>
        <v>914</v>
      </c>
      <c r="AW99" s="42" t="n">
        <v>134</v>
      </c>
      <c r="AX99" s="42" t="n">
        <v>0</v>
      </c>
      <c r="AY99" s="42" t="n">
        <f aca="false">+AV99+AW99+AX99</f>
        <v>1048</v>
      </c>
      <c r="AZ99" s="42" t="n">
        <f aca="false">+K99-AY99</f>
        <v>0</v>
      </c>
      <c r="BA99" s="46"/>
    </row>
    <row r="100" customFormat="false" ht="12.75" hidden="false" customHeight="false" outlineLevel="0" collapsed="false">
      <c r="A100" s="37" t="s">
        <v>36</v>
      </c>
      <c r="B100" s="38" t="s">
        <v>245</v>
      </c>
      <c r="C100" s="39" t="s">
        <v>97</v>
      </c>
      <c r="D100" s="40" t="n">
        <v>100142</v>
      </c>
      <c r="E100" s="41" t="n">
        <v>0</v>
      </c>
      <c r="F100" s="42" t="n">
        <v>2</v>
      </c>
      <c r="G100" s="42" t="n">
        <v>0</v>
      </c>
      <c r="H100" s="42" t="n">
        <v>0</v>
      </c>
      <c r="I100" s="42" t="n">
        <v>0</v>
      </c>
      <c r="J100" s="42" t="n">
        <v>179</v>
      </c>
      <c r="K100" s="42" t="n">
        <f aca="false">SUM(E100:J100)</f>
        <v>181</v>
      </c>
      <c r="L100" s="43"/>
      <c r="M100" s="41" t="s">
        <v>147</v>
      </c>
      <c r="N100" s="42" t="n">
        <v>1</v>
      </c>
      <c r="O100" s="42" t="n">
        <v>2</v>
      </c>
      <c r="P100" s="42" t="n">
        <v>10</v>
      </c>
      <c r="Q100" s="42" t="n">
        <v>0</v>
      </c>
      <c r="R100" s="42" t="n">
        <v>1</v>
      </c>
      <c r="S100" s="42" t="n">
        <v>0</v>
      </c>
      <c r="T100" s="42" t="n">
        <v>0</v>
      </c>
      <c r="U100" s="42" t="n">
        <v>4</v>
      </c>
      <c r="V100" s="42" t="n">
        <v>7</v>
      </c>
      <c r="W100" s="42" t="n">
        <v>0</v>
      </c>
      <c r="X100" s="42" t="n">
        <v>43</v>
      </c>
      <c r="Y100" s="42" t="n">
        <v>0</v>
      </c>
      <c r="Z100" s="42" t="n">
        <v>0</v>
      </c>
      <c r="AA100" s="42" t="n">
        <v>1</v>
      </c>
      <c r="AB100" s="42" t="n">
        <v>3</v>
      </c>
      <c r="AC100" s="42" t="n">
        <v>2</v>
      </c>
      <c r="AD100" s="42" t="n">
        <v>20</v>
      </c>
      <c r="AE100" s="42" t="n">
        <v>18</v>
      </c>
      <c r="AF100" s="42" t="n">
        <v>1</v>
      </c>
      <c r="AG100" s="42" t="n">
        <v>4</v>
      </c>
      <c r="AH100" s="42" t="n">
        <v>2</v>
      </c>
      <c r="AI100" s="42" t="n">
        <v>1</v>
      </c>
      <c r="AJ100" s="42" t="n">
        <v>1</v>
      </c>
      <c r="AK100" s="42" t="n">
        <v>3</v>
      </c>
      <c r="AL100" s="42" t="n">
        <v>5</v>
      </c>
      <c r="AM100" s="42" t="n">
        <v>28</v>
      </c>
      <c r="AN100" s="42" t="n">
        <v>0</v>
      </c>
      <c r="AO100" s="42" t="n">
        <v>0</v>
      </c>
      <c r="AP100" s="42" t="n">
        <v>0</v>
      </c>
      <c r="AQ100" s="42" t="n">
        <v>0</v>
      </c>
      <c r="AR100" s="42" t="n">
        <v>0</v>
      </c>
      <c r="AS100" s="42" t="n">
        <v>0</v>
      </c>
      <c r="AT100" s="42" t="n">
        <v>0</v>
      </c>
      <c r="AU100" s="42"/>
      <c r="AV100" s="42" t="n">
        <f aca="false">SUM(N100:AU100)</f>
        <v>157</v>
      </c>
      <c r="AW100" s="42" t="n">
        <v>24</v>
      </c>
      <c r="AX100" s="42" t="n">
        <v>0</v>
      </c>
      <c r="AY100" s="42" t="n">
        <f aca="false">+AV100+AW100+AX100</f>
        <v>181</v>
      </c>
      <c r="AZ100" s="42" t="n">
        <f aca="false">+K100-AY100</f>
        <v>0</v>
      </c>
      <c r="BA100" s="46"/>
    </row>
    <row r="101" customFormat="false" ht="12.75" hidden="false" customHeight="false" outlineLevel="0" collapsed="false">
      <c r="A101" s="37" t="n">
        <v>11</v>
      </c>
      <c r="B101" s="39" t="s">
        <v>246</v>
      </c>
      <c r="C101" s="39" t="s">
        <v>94</v>
      </c>
      <c r="D101" s="40" t="n">
        <v>100143</v>
      </c>
      <c r="E101" s="41" t="n">
        <v>0</v>
      </c>
      <c r="F101" s="42" t="n">
        <v>0</v>
      </c>
      <c r="G101" s="42" t="n">
        <v>0</v>
      </c>
      <c r="H101" s="42" t="n">
        <v>0</v>
      </c>
      <c r="I101" s="42" t="n">
        <v>0</v>
      </c>
      <c r="J101" s="42" t="n">
        <v>7835</v>
      </c>
      <c r="K101" s="42" t="n">
        <f aca="false">SUM(E101:J101)</f>
        <v>7835</v>
      </c>
      <c r="L101" s="43"/>
      <c r="M101" s="41" t="s">
        <v>247</v>
      </c>
      <c r="N101" s="42" t="n">
        <v>0</v>
      </c>
      <c r="O101" s="42" t="n">
        <v>0</v>
      </c>
      <c r="P101" s="42" t="n">
        <v>0</v>
      </c>
      <c r="Q101" s="42" t="n">
        <v>0</v>
      </c>
      <c r="R101" s="42" t="n">
        <v>0</v>
      </c>
      <c r="S101" s="42" t="n">
        <v>0</v>
      </c>
      <c r="T101" s="42" t="n">
        <v>0</v>
      </c>
      <c r="U101" s="42" t="n">
        <v>0</v>
      </c>
      <c r="V101" s="42" t="n">
        <v>0</v>
      </c>
      <c r="W101" s="42" t="n">
        <v>0</v>
      </c>
      <c r="X101" s="42" t="n">
        <v>0</v>
      </c>
      <c r="Y101" s="42" t="n">
        <v>0</v>
      </c>
      <c r="Z101" s="42" t="n">
        <v>0</v>
      </c>
      <c r="AA101" s="42" t="n">
        <v>0</v>
      </c>
      <c r="AB101" s="42" t="n">
        <v>0</v>
      </c>
      <c r="AC101" s="42" t="n">
        <v>0</v>
      </c>
      <c r="AD101" s="42" t="n">
        <v>0</v>
      </c>
      <c r="AE101" s="42" t="n">
        <v>0</v>
      </c>
      <c r="AF101" s="42" t="n">
        <v>0</v>
      </c>
      <c r="AG101" s="42" t="n">
        <v>0</v>
      </c>
      <c r="AH101" s="42" t="n">
        <v>0</v>
      </c>
      <c r="AI101" s="42" t="n">
        <v>0</v>
      </c>
      <c r="AJ101" s="42" t="n">
        <v>0</v>
      </c>
      <c r="AK101" s="42" t="n">
        <v>0</v>
      </c>
      <c r="AL101" s="42" t="n">
        <v>0</v>
      </c>
      <c r="AM101" s="42" t="n">
        <v>0</v>
      </c>
      <c r="AN101" s="42" t="n">
        <v>0</v>
      </c>
      <c r="AO101" s="42" t="n">
        <v>0</v>
      </c>
      <c r="AP101" s="42" t="n">
        <v>0</v>
      </c>
      <c r="AQ101" s="42" t="n">
        <v>0</v>
      </c>
      <c r="AR101" s="42" t="n">
        <v>0</v>
      </c>
      <c r="AS101" s="42" t="n">
        <v>0</v>
      </c>
      <c r="AT101" s="42" t="n">
        <v>0</v>
      </c>
      <c r="AU101" s="42"/>
      <c r="AV101" s="42" t="n">
        <f aca="false">SUM(N101:AU101)</f>
        <v>0</v>
      </c>
      <c r="AW101" s="42" t="n">
        <v>7835</v>
      </c>
      <c r="AX101" s="42" t="n">
        <v>0</v>
      </c>
      <c r="AY101" s="42" t="n">
        <f aca="false">+AV101+AW101+AX101</f>
        <v>7835</v>
      </c>
      <c r="AZ101" s="42" t="n">
        <f aca="false">+K101-AY101</f>
        <v>0</v>
      </c>
      <c r="BA101" s="46"/>
    </row>
    <row r="102" customFormat="false" ht="12.75" hidden="false" customHeight="false" outlineLevel="0" collapsed="false">
      <c r="A102" s="37" t="n">
        <v>11</v>
      </c>
      <c r="B102" s="39" t="s">
        <v>248</v>
      </c>
      <c r="C102" s="39" t="s">
        <v>249</v>
      </c>
      <c r="D102" s="40" t="n">
        <v>100145</v>
      </c>
      <c r="E102" s="41" t="n">
        <f aca="false">741+74+110</f>
        <v>925</v>
      </c>
      <c r="F102" s="42" t="n">
        <v>509</v>
      </c>
      <c r="G102" s="42" t="n">
        <v>29</v>
      </c>
      <c r="H102" s="42" t="n">
        <f aca="false">595+62+7+460</f>
        <v>1124</v>
      </c>
      <c r="I102" s="42" t="n">
        <f aca="false">24+53</f>
        <v>77</v>
      </c>
      <c r="J102" s="42" t="n">
        <v>139</v>
      </c>
      <c r="K102" s="42" t="n">
        <f aca="false">SUM(E102:J102)</f>
        <v>2803</v>
      </c>
      <c r="L102" s="43"/>
      <c r="M102" s="41" t="s">
        <v>250</v>
      </c>
      <c r="N102" s="42" t="n">
        <v>0</v>
      </c>
      <c r="O102" s="42" t="n">
        <v>0</v>
      </c>
      <c r="P102" s="42" t="n">
        <v>0</v>
      </c>
      <c r="Q102" s="42" t="n">
        <v>0</v>
      </c>
      <c r="R102" s="42" t="n">
        <v>0</v>
      </c>
      <c r="S102" s="42" t="n">
        <v>0</v>
      </c>
      <c r="T102" s="42" t="n">
        <v>0</v>
      </c>
      <c r="U102" s="42" t="n">
        <v>0</v>
      </c>
      <c r="V102" s="42" t="n">
        <v>0</v>
      </c>
      <c r="W102" s="42" t="n">
        <v>0</v>
      </c>
      <c r="X102" s="42" t="n">
        <v>0</v>
      </c>
      <c r="Y102" s="42" t="n">
        <v>0</v>
      </c>
      <c r="Z102" s="42" t="n">
        <v>0</v>
      </c>
      <c r="AA102" s="42" t="n">
        <v>0</v>
      </c>
      <c r="AB102" s="42" t="n">
        <v>0</v>
      </c>
      <c r="AC102" s="42" t="n">
        <v>0</v>
      </c>
      <c r="AD102" s="42" t="n">
        <v>0</v>
      </c>
      <c r="AE102" s="42" t="n">
        <v>0</v>
      </c>
      <c r="AF102" s="42" t="n">
        <v>62</v>
      </c>
      <c r="AG102" s="42" t="n">
        <v>0</v>
      </c>
      <c r="AH102" s="42" t="n">
        <v>372</v>
      </c>
      <c r="AI102" s="42" t="n">
        <v>776</v>
      </c>
      <c r="AJ102" s="42" t="n">
        <v>217</v>
      </c>
      <c r="AK102" s="42" t="n">
        <v>124</v>
      </c>
      <c r="AL102" s="42" t="n">
        <v>217</v>
      </c>
      <c r="AM102" s="42" t="n">
        <v>0</v>
      </c>
      <c r="AN102" s="42" t="n">
        <v>0</v>
      </c>
      <c r="AO102" s="42" t="n">
        <v>621</v>
      </c>
      <c r="AP102" s="42" t="n">
        <v>0</v>
      </c>
      <c r="AQ102" s="42" t="n">
        <v>0</v>
      </c>
      <c r="AR102" s="42" t="n">
        <v>0</v>
      </c>
      <c r="AS102" s="42" t="n">
        <v>0</v>
      </c>
      <c r="AT102" s="42" t="n">
        <v>0</v>
      </c>
      <c r="AU102" s="42"/>
      <c r="AV102" s="45" t="n">
        <f aca="false">SUM(N102:AU102)</f>
        <v>2389</v>
      </c>
      <c r="AW102" s="42" t="n">
        <v>414</v>
      </c>
      <c r="AX102" s="42" t="n">
        <v>0</v>
      </c>
      <c r="AY102" s="42" t="n">
        <f aca="false">+AV102+AW102+AX102</f>
        <v>2803</v>
      </c>
      <c r="AZ102" s="42" t="n">
        <f aca="false">+K102-AY102</f>
        <v>0</v>
      </c>
      <c r="BA102" s="46"/>
    </row>
    <row r="103" customFormat="false" ht="12.75" hidden="false" customHeight="false" outlineLevel="0" collapsed="false">
      <c r="A103" s="37" t="n">
        <v>11</v>
      </c>
      <c r="B103" s="39" t="s">
        <v>251</v>
      </c>
      <c r="C103" s="39" t="s">
        <v>252</v>
      </c>
      <c r="D103" s="40" t="n">
        <v>100178</v>
      </c>
      <c r="E103" s="41" t="n">
        <v>0</v>
      </c>
      <c r="F103" s="42" t="n">
        <v>595</v>
      </c>
      <c r="G103" s="42" t="n">
        <v>0</v>
      </c>
      <c r="H103" s="42" t="n">
        <v>20</v>
      </c>
      <c r="I103" s="42" t="n">
        <v>0</v>
      </c>
      <c r="J103" s="42" t="n">
        <v>0</v>
      </c>
      <c r="K103" s="42" t="n">
        <f aca="false">SUM(E103:J103)</f>
        <v>615</v>
      </c>
      <c r="L103" s="43"/>
      <c r="M103" s="41" t="s">
        <v>253</v>
      </c>
      <c r="N103" s="42" t="n">
        <v>0</v>
      </c>
      <c r="O103" s="42" t="n">
        <v>0</v>
      </c>
      <c r="P103" s="42" t="n">
        <v>0</v>
      </c>
      <c r="Q103" s="42" t="n">
        <v>0</v>
      </c>
      <c r="R103" s="42" t="n">
        <v>0</v>
      </c>
      <c r="S103" s="42" t="n">
        <v>0</v>
      </c>
      <c r="T103" s="42" t="n">
        <v>0</v>
      </c>
      <c r="U103" s="42" t="n">
        <v>0</v>
      </c>
      <c r="V103" s="42" t="n">
        <v>0</v>
      </c>
      <c r="W103" s="42" t="n">
        <v>0</v>
      </c>
      <c r="X103" s="42" t="n">
        <v>0</v>
      </c>
      <c r="Y103" s="42" t="n">
        <v>0</v>
      </c>
      <c r="Z103" s="42" t="n">
        <v>0</v>
      </c>
      <c r="AA103" s="42" t="n">
        <v>0</v>
      </c>
      <c r="AB103" s="42" t="n">
        <v>0</v>
      </c>
      <c r="AC103" s="42" t="n">
        <v>0</v>
      </c>
      <c r="AD103" s="42" t="n">
        <v>0</v>
      </c>
      <c r="AE103" s="42" t="n">
        <v>0</v>
      </c>
      <c r="AF103" s="42" t="n">
        <v>0</v>
      </c>
      <c r="AG103" s="42" t="n">
        <v>0</v>
      </c>
      <c r="AH103" s="42" t="n">
        <v>0</v>
      </c>
      <c r="AI103" s="42" t="n">
        <v>0</v>
      </c>
      <c r="AJ103" s="42" t="n">
        <v>0</v>
      </c>
      <c r="AK103" s="42" t="n">
        <v>0</v>
      </c>
      <c r="AL103" s="42" t="n">
        <v>0</v>
      </c>
      <c r="AM103" s="42" t="n">
        <v>0</v>
      </c>
      <c r="AN103" s="42" t="n">
        <v>0</v>
      </c>
      <c r="AO103" s="42" t="n">
        <v>0</v>
      </c>
      <c r="AP103" s="42" t="n">
        <v>0</v>
      </c>
      <c r="AQ103" s="42" t="n">
        <v>0</v>
      </c>
      <c r="AR103" s="42" t="n">
        <v>0</v>
      </c>
      <c r="AS103" s="42" t="n">
        <v>0</v>
      </c>
      <c r="AT103" s="42" t="n">
        <v>0</v>
      </c>
      <c r="AU103" s="42"/>
      <c r="AV103" s="42" t="n">
        <f aca="false">SUM(N103:AU103)</f>
        <v>0</v>
      </c>
      <c r="AW103" s="42" t="n">
        <v>615</v>
      </c>
      <c r="AX103" s="42" t="n">
        <v>0</v>
      </c>
      <c r="AY103" s="42" t="n">
        <f aca="false">+AV103+AW103+AX103</f>
        <v>615</v>
      </c>
      <c r="AZ103" s="42" t="n">
        <f aca="false">+K103-AY103</f>
        <v>0</v>
      </c>
      <c r="BA103" s="46"/>
    </row>
    <row r="104" customFormat="false" ht="12.75" hidden="false" customHeight="false" outlineLevel="0" collapsed="false">
      <c r="A104" s="37" t="n">
        <v>11</v>
      </c>
      <c r="B104" s="39" t="s">
        <v>254</v>
      </c>
      <c r="C104" s="39" t="s">
        <v>120</v>
      </c>
      <c r="D104" s="40" t="n">
        <v>100207</v>
      </c>
      <c r="E104" s="41" t="n">
        <v>0</v>
      </c>
      <c r="F104" s="42" t="n">
        <v>136</v>
      </c>
      <c r="G104" s="42" t="n">
        <v>0</v>
      </c>
      <c r="H104" s="42" t="n">
        <v>16</v>
      </c>
      <c r="I104" s="42" t="n">
        <v>0</v>
      </c>
      <c r="J104" s="42" t="n">
        <f aca="false">8150-3302</f>
        <v>4848</v>
      </c>
      <c r="K104" s="42" t="n">
        <f aca="false">SUM(E104:J104)</f>
        <v>5000</v>
      </c>
      <c r="L104" s="43"/>
      <c r="M104" s="41" t="s">
        <v>108</v>
      </c>
      <c r="N104" s="42" t="n">
        <v>0</v>
      </c>
      <c r="O104" s="42" t="n">
        <v>0</v>
      </c>
      <c r="P104" s="42" t="n">
        <v>0</v>
      </c>
      <c r="Q104" s="42" t="n">
        <v>0</v>
      </c>
      <c r="R104" s="42" t="n">
        <v>0</v>
      </c>
      <c r="S104" s="42" t="n">
        <v>0</v>
      </c>
      <c r="T104" s="42" t="n">
        <v>0</v>
      </c>
      <c r="U104" s="42" t="n">
        <v>0</v>
      </c>
      <c r="V104" s="42" t="n">
        <v>0</v>
      </c>
      <c r="W104" s="42" t="n">
        <v>0</v>
      </c>
      <c r="X104" s="42" t="n">
        <v>0</v>
      </c>
      <c r="Y104" s="42" t="n">
        <v>0</v>
      </c>
      <c r="Z104" s="42" t="n">
        <v>0</v>
      </c>
      <c r="AA104" s="42" t="n">
        <v>0</v>
      </c>
      <c r="AB104" s="42" t="n">
        <v>0</v>
      </c>
      <c r="AC104" s="42" t="n">
        <v>0</v>
      </c>
      <c r="AD104" s="42" t="n">
        <v>0</v>
      </c>
      <c r="AE104" s="42" t="n">
        <v>0</v>
      </c>
      <c r="AF104" s="42" t="n">
        <v>0</v>
      </c>
      <c r="AG104" s="42" t="n">
        <v>0</v>
      </c>
      <c r="AH104" s="42" t="n">
        <v>0</v>
      </c>
      <c r="AI104" s="42" t="n">
        <v>0</v>
      </c>
      <c r="AJ104" s="42" t="n">
        <v>0</v>
      </c>
      <c r="AK104" s="42" t="n">
        <v>0</v>
      </c>
      <c r="AL104" s="42" t="n">
        <v>0</v>
      </c>
      <c r="AM104" s="42" t="n">
        <v>0</v>
      </c>
      <c r="AN104" s="42" t="n">
        <v>0</v>
      </c>
      <c r="AO104" s="42" t="n">
        <v>0</v>
      </c>
      <c r="AP104" s="42" t="n">
        <v>0</v>
      </c>
      <c r="AQ104" s="42" t="n">
        <v>0</v>
      </c>
      <c r="AR104" s="42" t="n">
        <v>0</v>
      </c>
      <c r="AS104" s="42" t="n">
        <v>0</v>
      </c>
      <c r="AT104" s="42" t="n">
        <v>0</v>
      </c>
      <c r="AU104" s="42"/>
      <c r="AV104" s="42" t="n">
        <f aca="false">SUM(N104:AU104)</f>
        <v>0</v>
      </c>
      <c r="AW104" s="42" t="n">
        <v>5000</v>
      </c>
      <c r="AX104" s="42" t="n">
        <v>0</v>
      </c>
      <c r="AY104" s="42" t="n">
        <f aca="false">+AV104+AW104+AX104</f>
        <v>5000</v>
      </c>
      <c r="AZ104" s="42" t="n">
        <f aca="false">+K104-AY104</f>
        <v>0</v>
      </c>
      <c r="BA104" s="46"/>
    </row>
    <row r="105" customFormat="false" ht="12.75" hidden="false" customHeight="false" outlineLevel="0" collapsed="false">
      <c r="A105" s="37" t="n">
        <v>11</v>
      </c>
      <c r="B105" s="39" t="s">
        <v>255</v>
      </c>
      <c r="C105" s="39" t="s">
        <v>118</v>
      </c>
      <c r="D105" s="40" t="n">
        <v>100218</v>
      </c>
      <c r="E105" s="41" t="n">
        <f aca="false">335+33+43</f>
        <v>411</v>
      </c>
      <c r="F105" s="42" t="n">
        <v>144</v>
      </c>
      <c r="G105" s="42" t="n">
        <v>6</v>
      </c>
      <c r="H105" s="42" t="n">
        <v>0</v>
      </c>
      <c r="I105" s="42" t="n">
        <f aca="false">14+24</f>
        <v>38</v>
      </c>
      <c r="J105" s="42" t="n">
        <v>-100</v>
      </c>
      <c r="K105" s="42" t="n">
        <f aca="false">SUM(E105:J105)</f>
        <v>499</v>
      </c>
      <c r="L105" s="43"/>
      <c r="M105" s="41" t="s">
        <v>108</v>
      </c>
      <c r="N105" s="42" t="n">
        <v>0</v>
      </c>
      <c r="O105" s="42" t="n">
        <v>0</v>
      </c>
      <c r="P105" s="42" t="n">
        <v>0</v>
      </c>
      <c r="Q105" s="42" t="n">
        <v>0</v>
      </c>
      <c r="R105" s="42" t="n">
        <v>0</v>
      </c>
      <c r="S105" s="42" t="n">
        <v>0</v>
      </c>
      <c r="T105" s="42" t="n">
        <v>0</v>
      </c>
      <c r="U105" s="42" t="n">
        <v>0</v>
      </c>
      <c r="V105" s="42" t="n">
        <v>0</v>
      </c>
      <c r="W105" s="42" t="n">
        <v>0</v>
      </c>
      <c r="X105" s="42" t="n">
        <v>0</v>
      </c>
      <c r="Y105" s="42" t="n">
        <v>0</v>
      </c>
      <c r="Z105" s="42" t="n">
        <v>0</v>
      </c>
      <c r="AA105" s="42" t="n">
        <v>0</v>
      </c>
      <c r="AB105" s="42" t="n">
        <v>0</v>
      </c>
      <c r="AC105" s="42" t="n">
        <v>0</v>
      </c>
      <c r="AD105" s="42" t="n">
        <v>0</v>
      </c>
      <c r="AE105" s="42" t="n">
        <v>0</v>
      </c>
      <c r="AF105" s="42" t="n">
        <v>0</v>
      </c>
      <c r="AG105" s="42" t="n">
        <v>0</v>
      </c>
      <c r="AH105" s="42" t="n">
        <v>0</v>
      </c>
      <c r="AI105" s="42" t="n">
        <v>0</v>
      </c>
      <c r="AJ105" s="42" t="n">
        <v>0</v>
      </c>
      <c r="AK105" s="42" t="n">
        <v>0</v>
      </c>
      <c r="AL105" s="42" t="n">
        <v>0</v>
      </c>
      <c r="AM105" s="42" t="n">
        <v>0</v>
      </c>
      <c r="AN105" s="42" t="n">
        <v>0</v>
      </c>
      <c r="AO105" s="42" t="n">
        <v>0</v>
      </c>
      <c r="AP105" s="42" t="n">
        <v>0</v>
      </c>
      <c r="AQ105" s="42" t="n">
        <v>0</v>
      </c>
      <c r="AR105" s="42" t="n">
        <v>0</v>
      </c>
      <c r="AS105" s="42" t="n">
        <v>0</v>
      </c>
      <c r="AT105" s="42" t="n">
        <v>0</v>
      </c>
      <c r="AU105" s="42"/>
      <c r="AV105" s="55" t="n">
        <f aca="false">SUM(N105:AU105)</f>
        <v>0</v>
      </c>
      <c r="AW105" s="42" t="n">
        <v>499</v>
      </c>
      <c r="AX105" s="42" t="n">
        <v>0</v>
      </c>
      <c r="AY105" s="42" t="n">
        <f aca="false">+AV105+AW105+AX105</f>
        <v>499</v>
      </c>
      <c r="AZ105" s="42" t="n">
        <f aca="false">+K105-AY105</f>
        <v>0</v>
      </c>
      <c r="BA105" s="46"/>
    </row>
    <row r="106" customFormat="false" ht="12.75" hidden="false" customHeight="false" outlineLevel="0" collapsed="false">
      <c r="A106" s="37" t="n">
        <v>11</v>
      </c>
      <c r="B106" s="39" t="s">
        <v>256</v>
      </c>
      <c r="C106" s="39" t="s">
        <v>257</v>
      </c>
      <c r="D106" s="40" t="n">
        <v>100222</v>
      </c>
      <c r="E106" s="41" t="n">
        <f aca="false">344+37+56</f>
        <v>437</v>
      </c>
      <c r="F106" s="42" t="n">
        <v>101</v>
      </c>
      <c r="G106" s="42" t="n">
        <v>7</v>
      </c>
      <c r="H106" s="42" t="n">
        <f aca="false">63+12</f>
        <v>75</v>
      </c>
      <c r="I106" s="42" t="n">
        <f aca="false">6+56</f>
        <v>62</v>
      </c>
      <c r="J106" s="42" t="n">
        <v>5</v>
      </c>
      <c r="K106" s="42" t="n">
        <f aca="false">SUM(E106:J106)</f>
        <v>687</v>
      </c>
      <c r="L106" s="43"/>
      <c r="M106" s="41" t="s">
        <v>156</v>
      </c>
      <c r="N106" s="42" t="n">
        <v>0</v>
      </c>
      <c r="O106" s="42" t="n">
        <v>0</v>
      </c>
      <c r="P106" s="42" t="n">
        <v>0</v>
      </c>
      <c r="Q106" s="42" t="n">
        <v>0</v>
      </c>
      <c r="R106" s="42" t="n">
        <v>0</v>
      </c>
      <c r="S106" s="42" t="n">
        <v>0</v>
      </c>
      <c r="T106" s="42" t="n">
        <v>0</v>
      </c>
      <c r="U106" s="42" t="n">
        <v>0</v>
      </c>
      <c r="V106" s="42" t="n">
        <v>0</v>
      </c>
      <c r="W106" s="42" t="n">
        <v>0</v>
      </c>
      <c r="X106" s="42" t="n">
        <v>137</v>
      </c>
      <c r="Y106" s="42" t="n">
        <v>0</v>
      </c>
      <c r="Z106" s="42" t="n">
        <v>0</v>
      </c>
      <c r="AA106" s="42" t="n">
        <v>0</v>
      </c>
      <c r="AB106" s="42" t="n">
        <v>70</v>
      </c>
      <c r="AC106" s="42" t="n">
        <v>0</v>
      </c>
      <c r="AD106" s="42" t="n">
        <v>69</v>
      </c>
      <c r="AE106" s="42" t="n">
        <v>34</v>
      </c>
      <c r="AF106" s="42" t="n">
        <v>34</v>
      </c>
      <c r="AG106" s="42" t="n">
        <v>0</v>
      </c>
      <c r="AH106" s="42" t="n">
        <v>34</v>
      </c>
      <c r="AI106" s="42" t="n">
        <v>34</v>
      </c>
      <c r="AJ106" s="42" t="n">
        <v>34</v>
      </c>
      <c r="AK106" s="42" t="n">
        <v>34</v>
      </c>
      <c r="AL106" s="42" t="n">
        <v>70</v>
      </c>
      <c r="AM106" s="42" t="n">
        <v>0</v>
      </c>
      <c r="AN106" s="42" t="n">
        <v>0</v>
      </c>
      <c r="AO106" s="42" t="n">
        <v>0</v>
      </c>
      <c r="AP106" s="42" t="n">
        <v>0</v>
      </c>
      <c r="AQ106" s="42" t="n">
        <v>0</v>
      </c>
      <c r="AR106" s="42" t="n">
        <v>0</v>
      </c>
      <c r="AS106" s="42" t="n">
        <v>0</v>
      </c>
      <c r="AT106" s="42" t="n">
        <v>0</v>
      </c>
      <c r="AU106" s="42"/>
      <c r="AV106" s="42" t="n">
        <f aca="false">SUM(N106:AU106)</f>
        <v>550</v>
      </c>
      <c r="AW106" s="42" t="n">
        <v>137</v>
      </c>
      <c r="AX106" s="42" t="n">
        <v>0</v>
      </c>
      <c r="AY106" s="42" t="n">
        <f aca="false">+AV106+AW106+AX106</f>
        <v>687</v>
      </c>
      <c r="AZ106" s="42" t="n">
        <f aca="false">+K106-AY106</f>
        <v>0</v>
      </c>
      <c r="BA106" s="46"/>
    </row>
    <row r="107" customFormat="false" ht="12.75" hidden="false" customHeight="false" outlineLevel="0" collapsed="false">
      <c r="A107" s="37" t="n">
        <v>11</v>
      </c>
      <c r="B107" s="39" t="s">
        <v>258</v>
      </c>
      <c r="C107" s="39" t="s">
        <v>257</v>
      </c>
      <c r="D107" s="40" t="n">
        <v>100223</v>
      </c>
      <c r="E107" s="41" t="n">
        <f aca="false">389+40+60</f>
        <v>489</v>
      </c>
      <c r="F107" s="42" t="n">
        <v>309</v>
      </c>
      <c r="G107" s="42" t="n">
        <v>3</v>
      </c>
      <c r="H107" s="42" t="n">
        <f aca="false">60+36+4</f>
        <v>100</v>
      </c>
      <c r="I107" s="42" t="n">
        <f aca="false">12+30</f>
        <v>42</v>
      </c>
      <c r="J107" s="42" t="n">
        <v>77</v>
      </c>
      <c r="K107" s="42" t="n">
        <f aca="false">SUM(E107:J107)</f>
        <v>1020</v>
      </c>
      <c r="L107" s="43"/>
      <c r="M107" s="41" t="s">
        <v>259</v>
      </c>
      <c r="N107" s="42" t="n">
        <v>0</v>
      </c>
      <c r="O107" s="42" t="n">
        <v>0</v>
      </c>
      <c r="P107" s="42" t="n">
        <v>0</v>
      </c>
      <c r="Q107" s="42" t="n">
        <v>0</v>
      </c>
      <c r="R107" s="42" t="n">
        <v>0</v>
      </c>
      <c r="S107" s="42" t="n">
        <v>0</v>
      </c>
      <c r="T107" s="42" t="n">
        <v>0</v>
      </c>
      <c r="U107" s="42" t="n">
        <v>0</v>
      </c>
      <c r="V107" s="42" t="n">
        <v>55</v>
      </c>
      <c r="W107" s="42" t="n">
        <v>0</v>
      </c>
      <c r="X107" s="42" t="n">
        <v>343</v>
      </c>
      <c r="Y107" s="42" t="n">
        <v>0</v>
      </c>
      <c r="Z107" s="42" t="n">
        <v>38</v>
      </c>
      <c r="AA107" s="42" t="n">
        <v>0</v>
      </c>
      <c r="AB107" s="42" t="n">
        <v>76</v>
      </c>
      <c r="AC107" s="42" t="n">
        <v>0</v>
      </c>
      <c r="AD107" s="42" t="n">
        <v>336</v>
      </c>
      <c r="AE107" s="42" t="n">
        <v>15</v>
      </c>
      <c r="AF107" s="42" t="n">
        <v>85</v>
      </c>
      <c r="AG107" s="42" t="n">
        <v>6</v>
      </c>
      <c r="AH107" s="42" t="n">
        <v>17</v>
      </c>
      <c r="AI107" s="42" t="n">
        <v>17</v>
      </c>
      <c r="AJ107" s="42" t="n">
        <v>9</v>
      </c>
      <c r="AK107" s="42" t="n">
        <v>6</v>
      </c>
      <c r="AL107" s="42" t="n">
        <v>17</v>
      </c>
      <c r="AM107" s="42" t="n">
        <v>0</v>
      </c>
      <c r="AN107" s="42" t="n">
        <v>0</v>
      </c>
      <c r="AO107" s="42" t="n">
        <v>0</v>
      </c>
      <c r="AP107" s="42" t="n">
        <v>0</v>
      </c>
      <c r="AQ107" s="42" t="n">
        <v>0</v>
      </c>
      <c r="AR107" s="42" t="n">
        <v>0</v>
      </c>
      <c r="AS107" s="42" t="n">
        <v>0</v>
      </c>
      <c r="AT107" s="42" t="n">
        <v>0</v>
      </c>
      <c r="AU107" s="42"/>
      <c r="AV107" s="42" t="n">
        <f aca="false">SUM(N107:AU107)</f>
        <v>1020</v>
      </c>
      <c r="AW107" s="42" t="n">
        <v>0</v>
      </c>
      <c r="AX107" s="42" t="n">
        <v>0</v>
      </c>
      <c r="AY107" s="42" t="n">
        <f aca="false">+AV107+AW107+AX107</f>
        <v>1020</v>
      </c>
      <c r="AZ107" s="42" t="n">
        <f aca="false">+K107-AY107</f>
        <v>0</v>
      </c>
      <c r="BA107" s="46"/>
    </row>
    <row r="108" customFormat="false" ht="12.75" hidden="false" customHeight="false" outlineLevel="0" collapsed="false">
      <c r="A108" s="37" t="s">
        <v>36</v>
      </c>
      <c r="B108" s="39" t="s">
        <v>260</v>
      </c>
      <c r="C108" s="39" t="s">
        <v>261</v>
      </c>
      <c r="D108" s="40" t="n">
        <v>100225</v>
      </c>
      <c r="E108" s="41" t="n">
        <f aca="false">1348+136+211</f>
        <v>1695</v>
      </c>
      <c r="F108" s="42" t="n">
        <v>248</v>
      </c>
      <c r="G108" s="42" t="n">
        <v>15</v>
      </c>
      <c r="H108" s="42" t="n">
        <f aca="false">270+2+15</f>
        <v>287</v>
      </c>
      <c r="I108" s="42" t="n">
        <f aca="false">70+140</f>
        <v>210</v>
      </c>
      <c r="J108" s="42" t="n">
        <v>13</v>
      </c>
      <c r="K108" s="42" t="n">
        <f aca="false">SUM(E108:J108)</f>
        <v>2468</v>
      </c>
      <c r="L108" s="43"/>
      <c r="M108" s="41" t="s">
        <v>156</v>
      </c>
      <c r="N108" s="42" t="n">
        <v>78</v>
      </c>
      <c r="O108" s="42" t="n">
        <v>517</v>
      </c>
      <c r="P108" s="42" t="n">
        <v>26</v>
      </c>
      <c r="Q108" s="42" t="n">
        <v>68</v>
      </c>
      <c r="R108" s="42" t="n">
        <v>1</v>
      </c>
      <c r="S108" s="42" t="n">
        <v>0</v>
      </c>
      <c r="T108" s="42" t="n">
        <v>0</v>
      </c>
      <c r="U108" s="42" t="n">
        <v>262</v>
      </c>
      <c r="V108" s="42" t="n">
        <f aca="false">16-8</f>
        <v>8</v>
      </c>
      <c r="W108" s="42" t="n">
        <v>8</v>
      </c>
      <c r="X108" s="42" t="n">
        <f aca="false">437-28-18</f>
        <v>391</v>
      </c>
      <c r="Y108" s="42" t="n">
        <v>0</v>
      </c>
      <c r="Z108" s="42" t="n">
        <v>137</v>
      </c>
      <c r="AA108" s="42" t="n">
        <v>7</v>
      </c>
      <c r="AB108" s="42" t="n">
        <v>142</v>
      </c>
      <c r="AC108" s="42" t="n">
        <v>3</v>
      </c>
      <c r="AD108" s="42" t="n">
        <v>87</v>
      </c>
      <c r="AE108" s="42" t="n">
        <v>45</v>
      </c>
      <c r="AF108" s="42" t="n">
        <v>37</v>
      </c>
      <c r="AG108" s="42" t="n">
        <v>0</v>
      </c>
      <c r="AH108" s="42" t="n">
        <v>134</v>
      </c>
      <c r="AI108" s="42" t="n">
        <v>134</v>
      </c>
      <c r="AJ108" s="42" t="n">
        <v>134</v>
      </c>
      <c r="AK108" s="42" t="n">
        <v>4</v>
      </c>
      <c r="AL108" s="42" t="n">
        <f aca="false">175-96</f>
        <v>79</v>
      </c>
      <c r="AM108" s="42" t="n">
        <v>24</v>
      </c>
      <c r="AN108" s="42" t="n">
        <v>0</v>
      </c>
      <c r="AO108" s="42" t="n">
        <f aca="false">28+96</f>
        <v>124</v>
      </c>
      <c r="AP108" s="42" t="n">
        <v>18</v>
      </c>
      <c r="AQ108" s="42" t="n">
        <v>0</v>
      </c>
      <c r="AR108" s="42" t="n">
        <v>0</v>
      </c>
      <c r="AS108" s="42" t="n">
        <v>0</v>
      </c>
      <c r="AT108" s="42" t="n">
        <v>0</v>
      </c>
      <c r="AU108" s="42"/>
      <c r="AV108" s="45" t="n">
        <f aca="false">SUM(N108:AU108)</f>
        <v>2468</v>
      </c>
      <c r="AW108" s="42" t="n">
        <v>0</v>
      </c>
      <c r="AX108" s="42" t="n">
        <v>0</v>
      </c>
      <c r="AY108" s="42" t="n">
        <f aca="false">+AV108+AW108+AX108</f>
        <v>2468</v>
      </c>
      <c r="AZ108" s="42" t="n">
        <f aca="false">+K108-AY108</f>
        <v>0</v>
      </c>
      <c r="BA108" s="46"/>
    </row>
    <row r="109" customFormat="false" ht="12.75" hidden="false" customHeight="false" outlineLevel="0" collapsed="false">
      <c r="A109" s="37" t="n">
        <v>11</v>
      </c>
      <c r="B109" s="39" t="s">
        <v>262</v>
      </c>
      <c r="C109" s="39" t="s">
        <v>165</v>
      </c>
      <c r="D109" s="40" t="n">
        <v>100230</v>
      </c>
      <c r="E109" s="41" t="n">
        <v>0</v>
      </c>
      <c r="F109" s="42" t="n">
        <v>17</v>
      </c>
      <c r="G109" s="42" t="n">
        <v>80</v>
      </c>
      <c r="H109" s="42" t="n">
        <v>253</v>
      </c>
      <c r="I109" s="42" t="n">
        <v>0</v>
      </c>
      <c r="J109" s="42" t="n">
        <v>0</v>
      </c>
      <c r="K109" s="42" t="n">
        <f aca="false">SUM(E109:J109)</f>
        <v>350</v>
      </c>
      <c r="L109" s="43"/>
      <c r="M109" s="41" t="s">
        <v>108</v>
      </c>
      <c r="N109" s="42" t="n">
        <v>0</v>
      </c>
      <c r="O109" s="42" t="n">
        <v>0</v>
      </c>
      <c r="P109" s="42" t="n">
        <v>0</v>
      </c>
      <c r="Q109" s="42" t="n">
        <v>0</v>
      </c>
      <c r="R109" s="42" t="n">
        <v>0</v>
      </c>
      <c r="S109" s="42" t="n">
        <v>0</v>
      </c>
      <c r="T109" s="42" t="n">
        <v>0</v>
      </c>
      <c r="U109" s="42" t="n">
        <v>0</v>
      </c>
      <c r="V109" s="42" t="n">
        <v>0</v>
      </c>
      <c r="W109" s="42" t="n">
        <v>0</v>
      </c>
      <c r="X109" s="42" t="n">
        <v>0</v>
      </c>
      <c r="Y109" s="42" t="n">
        <v>0</v>
      </c>
      <c r="Z109" s="42" t="n">
        <v>0</v>
      </c>
      <c r="AA109" s="42" t="n">
        <v>0</v>
      </c>
      <c r="AB109" s="42" t="n">
        <v>0</v>
      </c>
      <c r="AC109" s="42" t="n">
        <v>0</v>
      </c>
      <c r="AD109" s="42" t="n">
        <v>0</v>
      </c>
      <c r="AE109" s="42" t="n">
        <v>0</v>
      </c>
      <c r="AF109" s="42" t="n">
        <v>0</v>
      </c>
      <c r="AG109" s="42" t="n">
        <v>0</v>
      </c>
      <c r="AH109" s="42" t="n">
        <v>0</v>
      </c>
      <c r="AI109" s="42" t="n">
        <v>0</v>
      </c>
      <c r="AJ109" s="42" t="n">
        <v>0</v>
      </c>
      <c r="AK109" s="42" t="n">
        <v>0</v>
      </c>
      <c r="AL109" s="42" t="n">
        <v>0</v>
      </c>
      <c r="AM109" s="42" t="n">
        <v>0</v>
      </c>
      <c r="AN109" s="42" t="n">
        <v>0</v>
      </c>
      <c r="AO109" s="42" t="n">
        <v>0</v>
      </c>
      <c r="AP109" s="42" t="n">
        <v>0</v>
      </c>
      <c r="AQ109" s="42" t="n">
        <v>0</v>
      </c>
      <c r="AR109" s="42" t="n">
        <v>0</v>
      </c>
      <c r="AS109" s="42" t="n">
        <v>0</v>
      </c>
      <c r="AT109" s="42" t="n">
        <v>0</v>
      </c>
      <c r="AU109" s="42"/>
      <c r="AV109" s="42" t="n">
        <f aca="false">SUM(N109:AU109)</f>
        <v>0</v>
      </c>
      <c r="AW109" s="42" t="n">
        <v>350</v>
      </c>
      <c r="AX109" s="42" t="n">
        <v>0</v>
      </c>
      <c r="AY109" s="42" t="n">
        <f aca="false">+AV109+AW109+AX109</f>
        <v>350</v>
      </c>
      <c r="AZ109" s="42" t="n">
        <f aca="false">+K109-AY109</f>
        <v>0</v>
      </c>
      <c r="BA109" s="46"/>
    </row>
    <row r="110" customFormat="false" ht="12.75" hidden="false" customHeight="false" outlineLevel="0" collapsed="false">
      <c r="A110" s="37" t="n">
        <v>11</v>
      </c>
      <c r="B110" s="39" t="s">
        <v>263</v>
      </c>
      <c r="C110" s="39" t="s">
        <v>257</v>
      </c>
      <c r="D110" s="40" t="n">
        <v>100231</v>
      </c>
      <c r="E110" s="41" t="n">
        <f aca="false">815+71+99</f>
        <v>985</v>
      </c>
      <c r="F110" s="42" t="n">
        <v>539</v>
      </c>
      <c r="G110" s="42" t="n">
        <v>6</v>
      </c>
      <c r="H110" s="42" t="n">
        <f aca="false">200+10</f>
        <v>210</v>
      </c>
      <c r="I110" s="42" t="n">
        <f aca="false">24+60</f>
        <v>84</v>
      </c>
      <c r="J110" s="42" t="n">
        <v>132</v>
      </c>
      <c r="K110" s="42" t="n">
        <f aca="false">SUM(E110:J110)</f>
        <v>1956</v>
      </c>
      <c r="L110" s="43"/>
      <c r="M110" s="41" t="s">
        <v>153</v>
      </c>
      <c r="N110" s="42" t="n">
        <v>0</v>
      </c>
      <c r="O110" s="42" t="n">
        <v>0</v>
      </c>
      <c r="P110" s="42" t="n">
        <v>0</v>
      </c>
      <c r="Q110" s="42" t="n">
        <v>0</v>
      </c>
      <c r="R110" s="42" t="n">
        <v>0</v>
      </c>
      <c r="S110" s="42" t="n">
        <v>0</v>
      </c>
      <c r="T110" s="42" t="n">
        <v>0</v>
      </c>
      <c r="U110" s="42" t="n">
        <v>0</v>
      </c>
      <c r="V110" s="42" t="n">
        <v>0</v>
      </c>
      <c r="W110" s="42" t="n">
        <v>0</v>
      </c>
      <c r="X110" s="42" t="n">
        <v>0</v>
      </c>
      <c r="Y110" s="42" t="n">
        <v>0</v>
      </c>
      <c r="Z110" s="42" t="n">
        <v>0</v>
      </c>
      <c r="AA110" s="42" t="n">
        <v>0</v>
      </c>
      <c r="AB110" s="42" t="n">
        <v>0</v>
      </c>
      <c r="AC110" s="42" t="n">
        <v>0</v>
      </c>
      <c r="AD110" s="42" t="n">
        <v>0</v>
      </c>
      <c r="AE110" s="42" t="n">
        <v>345</v>
      </c>
      <c r="AF110" s="42" t="n">
        <v>0</v>
      </c>
      <c r="AG110" s="42" t="n">
        <v>0</v>
      </c>
      <c r="AH110" s="42" t="n">
        <v>780</v>
      </c>
      <c r="AI110" s="42" t="n">
        <v>0</v>
      </c>
      <c r="AJ110" s="42" t="n">
        <v>831</v>
      </c>
      <c r="AK110" s="42" t="n">
        <v>0</v>
      </c>
      <c r="AL110" s="42" t="n">
        <v>0</v>
      </c>
      <c r="AM110" s="42" t="n">
        <v>0</v>
      </c>
      <c r="AN110" s="42" t="n">
        <v>0</v>
      </c>
      <c r="AO110" s="42" t="n">
        <v>0</v>
      </c>
      <c r="AP110" s="42" t="n">
        <v>0</v>
      </c>
      <c r="AQ110" s="42" t="n">
        <v>0</v>
      </c>
      <c r="AR110" s="42" t="n">
        <v>0</v>
      </c>
      <c r="AS110" s="42" t="n">
        <v>0</v>
      </c>
      <c r="AT110" s="42" t="n">
        <v>0</v>
      </c>
      <c r="AU110" s="42"/>
      <c r="AV110" s="42" t="n">
        <f aca="false">SUM(N110:AU110)</f>
        <v>1956</v>
      </c>
      <c r="AW110" s="42" t="n">
        <v>0</v>
      </c>
      <c r="AX110" s="42" t="n">
        <v>0</v>
      </c>
      <c r="AY110" s="42" t="n">
        <f aca="false">+AV110+AW110+AX110</f>
        <v>1956</v>
      </c>
      <c r="AZ110" s="42" t="n">
        <f aca="false">+K110-AY110</f>
        <v>0</v>
      </c>
      <c r="BA110" s="46"/>
    </row>
    <row r="111" customFormat="false" ht="12.75" hidden="false" customHeight="false" outlineLevel="0" collapsed="false">
      <c r="A111" s="37" t="n">
        <v>11</v>
      </c>
      <c r="B111" s="39" t="s">
        <v>264</v>
      </c>
      <c r="C111" s="39" t="s">
        <v>257</v>
      </c>
      <c r="D111" s="40" t="n">
        <v>100232</v>
      </c>
      <c r="E111" s="41" t="n">
        <v>0</v>
      </c>
      <c r="F111" s="42" t="n">
        <v>0</v>
      </c>
      <c r="G111" s="42" t="n">
        <v>0</v>
      </c>
      <c r="H111" s="42" t="n">
        <v>0</v>
      </c>
      <c r="I111" s="42" t="n">
        <v>0</v>
      </c>
      <c r="J111" s="42" t="n">
        <v>0</v>
      </c>
      <c r="K111" s="42" t="n">
        <f aca="false">SUM(E111:J111)</f>
        <v>0</v>
      </c>
      <c r="L111" s="43"/>
      <c r="M111" s="41" t="s">
        <v>153</v>
      </c>
      <c r="N111" s="42" t="n">
        <v>0</v>
      </c>
      <c r="O111" s="42" t="n">
        <v>0</v>
      </c>
      <c r="P111" s="42" t="n">
        <v>0</v>
      </c>
      <c r="Q111" s="42" t="n">
        <v>0</v>
      </c>
      <c r="R111" s="42" t="n">
        <v>0</v>
      </c>
      <c r="S111" s="42" t="n">
        <v>0</v>
      </c>
      <c r="T111" s="42" t="n">
        <v>0</v>
      </c>
      <c r="U111" s="42" t="n">
        <v>0</v>
      </c>
      <c r="V111" s="42" t="n">
        <v>0</v>
      </c>
      <c r="W111" s="42" t="n">
        <v>0</v>
      </c>
      <c r="X111" s="42" t="n">
        <v>0</v>
      </c>
      <c r="Y111" s="42" t="n">
        <v>0</v>
      </c>
      <c r="Z111" s="42" t="n">
        <v>0</v>
      </c>
      <c r="AA111" s="42" t="n">
        <v>0</v>
      </c>
      <c r="AB111" s="42" t="n">
        <v>0</v>
      </c>
      <c r="AC111" s="42" t="n">
        <v>0</v>
      </c>
      <c r="AD111" s="42" t="n">
        <v>0</v>
      </c>
      <c r="AE111" s="42" t="n">
        <v>0</v>
      </c>
      <c r="AF111" s="42" t="n">
        <v>0</v>
      </c>
      <c r="AG111" s="42" t="n">
        <v>0</v>
      </c>
      <c r="AH111" s="42" t="n">
        <v>0</v>
      </c>
      <c r="AI111" s="42" t="n">
        <v>0</v>
      </c>
      <c r="AJ111" s="42" t="n">
        <v>0</v>
      </c>
      <c r="AK111" s="42" t="n">
        <v>0</v>
      </c>
      <c r="AL111" s="42" t="n">
        <v>0</v>
      </c>
      <c r="AM111" s="42" t="n">
        <v>0</v>
      </c>
      <c r="AN111" s="42" t="n">
        <v>0</v>
      </c>
      <c r="AO111" s="42" t="n">
        <v>0</v>
      </c>
      <c r="AP111" s="42" t="n">
        <v>0</v>
      </c>
      <c r="AQ111" s="42" t="n">
        <v>0</v>
      </c>
      <c r="AR111" s="42" t="n">
        <v>0</v>
      </c>
      <c r="AS111" s="42" t="n">
        <v>0</v>
      </c>
      <c r="AT111" s="42" t="n">
        <v>0</v>
      </c>
      <c r="AU111" s="42"/>
      <c r="AV111" s="42" t="n">
        <f aca="false">SUM(N111:AU111)</f>
        <v>0</v>
      </c>
      <c r="AW111" s="42" t="n">
        <v>0</v>
      </c>
      <c r="AX111" s="42" t="n">
        <v>0</v>
      </c>
      <c r="AY111" s="42" t="n">
        <f aca="false">+AV111+AW111+AX111</f>
        <v>0</v>
      </c>
      <c r="AZ111" s="42" t="n">
        <f aca="false">+K111-AY111</f>
        <v>0</v>
      </c>
      <c r="BA111" s="46"/>
    </row>
    <row r="112" customFormat="false" ht="12.75" hidden="false" customHeight="false" outlineLevel="0" collapsed="false">
      <c r="A112" s="37" t="n">
        <v>11</v>
      </c>
      <c r="B112" s="39" t="s">
        <v>265</v>
      </c>
      <c r="C112" s="39" t="s">
        <v>257</v>
      </c>
      <c r="D112" s="40" t="n">
        <v>100233</v>
      </c>
      <c r="E112" s="41" t="n">
        <f aca="false">327+21+29</f>
        <v>377</v>
      </c>
      <c r="F112" s="42" t="n">
        <v>214</v>
      </c>
      <c r="G112" s="42" t="n">
        <v>12</v>
      </c>
      <c r="H112" s="42" t="n">
        <f aca="false">20+180</f>
        <v>200</v>
      </c>
      <c r="I112" s="42" t="n">
        <v>0</v>
      </c>
      <c r="J112" s="42" t="n">
        <v>95</v>
      </c>
      <c r="K112" s="42" t="n">
        <f aca="false">SUM(E112:J112)</f>
        <v>898</v>
      </c>
      <c r="L112" s="43"/>
      <c r="M112" s="41" t="s">
        <v>153</v>
      </c>
      <c r="N112" s="42" t="n">
        <v>0</v>
      </c>
      <c r="O112" s="42" t="n">
        <v>0</v>
      </c>
      <c r="P112" s="42" t="n">
        <v>0</v>
      </c>
      <c r="Q112" s="42" t="n">
        <v>0</v>
      </c>
      <c r="R112" s="42" t="n">
        <v>0</v>
      </c>
      <c r="S112" s="42" t="n">
        <v>0</v>
      </c>
      <c r="T112" s="42" t="n">
        <v>0</v>
      </c>
      <c r="U112" s="42" t="n">
        <v>0</v>
      </c>
      <c r="V112" s="42" t="n">
        <v>0</v>
      </c>
      <c r="W112" s="42" t="n">
        <v>0</v>
      </c>
      <c r="X112" s="42" t="n">
        <v>0</v>
      </c>
      <c r="Y112" s="42" t="n">
        <v>0</v>
      </c>
      <c r="Z112" s="42" t="n">
        <v>0</v>
      </c>
      <c r="AA112" s="42" t="n">
        <v>0</v>
      </c>
      <c r="AB112" s="42" t="n">
        <v>135</v>
      </c>
      <c r="AC112" s="42" t="n">
        <v>0</v>
      </c>
      <c r="AD112" s="42" t="n">
        <v>135</v>
      </c>
      <c r="AE112" s="42" t="n">
        <v>0</v>
      </c>
      <c r="AF112" s="42" t="n">
        <v>0</v>
      </c>
      <c r="AG112" s="42" t="n">
        <v>90</v>
      </c>
      <c r="AH112" s="42" t="n">
        <v>0</v>
      </c>
      <c r="AI112" s="42" t="n">
        <v>313</v>
      </c>
      <c r="AJ112" s="42" t="n">
        <v>90</v>
      </c>
      <c r="AK112" s="42" t="n">
        <v>0</v>
      </c>
      <c r="AL112" s="42" t="n">
        <v>135</v>
      </c>
      <c r="AM112" s="42" t="n">
        <v>0</v>
      </c>
      <c r="AN112" s="42" t="n">
        <v>0</v>
      </c>
      <c r="AO112" s="42" t="n">
        <v>0</v>
      </c>
      <c r="AP112" s="42" t="n">
        <v>0</v>
      </c>
      <c r="AQ112" s="42" t="n">
        <v>0</v>
      </c>
      <c r="AR112" s="42" t="n">
        <v>0</v>
      </c>
      <c r="AS112" s="42" t="n">
        <v>0</v>
      </c>
      <c r="AT112" s="42" t="n">
        <v>0</v>
      </c>
      <c r="AU112" s="42"/>
      <c r="AV112" s="45" t="n">
        <f aca="false">SUM(N112:AU112)</f>
        <v>898</v>
      </c>
      <c r="AW112" s="42" t="n">
        <v>0</v>
      </c>
      <c r="AX112" s="42" t="n">
        <v>0</v>
      </c>
      <c r="AY112" s="42" t="n">
        <f aca="false">+AV112+AW112+AX112</f>
        <v>898</v>
      </c>
      <c r="AZ112" s="42" t="n">
        <f aca="false">+K112-AY112</f>
        <v>0</v>
      </c>
      <c r="BA112" s="46"/>
    </row>
    <row r="113" customFormat="false" ht="12.75" hidden="false" customHeight="false" outlineLevel="0" collapsed="false">
      <c r="A113" s="37" t="n">
        <v>11</v>
      </c>
      <c r="B113" s="39" t="s">
        <v>266</v>
      </c>
      <c r="C113" s="39" t="s">
        <v>267</v>
      </c>
      <c r="D113" s="40" t="n">
        <v>100236</v>
      </c>
      <c r="E113" s="41" t="n">
        <f aca="false">213+9+25</f>
        <v>247</v>
      </c>
      <c r="F113" s="42" t="n">
        <v>37</v>
      </c>
      <c r="G113" s="42" t="n">
        <v>6</v>
      </c>
      <c r="H113" s="42" t="n">
        <v>0</v>
      </c>
      <c r="I113" s="42" t="n">
        <v>0</v>
      </c>
      <c r="J113" s="42" t="n">
        <v>3000</v>
      </c>
      <c r="K113" s="42" t="n">
        <f aca="false">SUM(E113:J113)</f>
        <v>3290</v>
      </c>
      <c r="L113" s="43"/>
      <c r="M113" s="41" t="s">
        <v>98</v>
      </c>
      <c r="N113" s="42" t="n">
        <v>0</v>
      </c>
      <c r="O113" s="42" t="n">
        <v>0</v>
      </c>
      <c r="P113" s="42" t="n">
        <v>0</v>
      </c>
      <c r="Q113" s="42" t="n">
        <v>0</v>
      </c>
      <c r="R113" s="42" t="n">
        <v>0</v>
      </c>
      <c r="S113" s="42" t="n">
        <v>0</v>
      </c>
      <c r="T113" s="42" t="n">
        <v>0</v>
      </c>
      <c r="U113" s="42" t="n">
        <v>0</v>
      </c>
      <c r="V113" s="42" t="n">
        <v>0</v>
      </c>
      <c r="W113" s="42" t="n">
        <v>0</v>
      </c>
      <c r="X113" s="42" t="n">
        <v>0</v>
      </c>
      <c r="Y113" s="42" t="n">
        <v>0</v>
      </c>
      <c r="Z113" s="42" t="n">
        <v>0</v>
      </c>
      <c r="AA113" s="42" t="n">
        <v>0</v>
      </c>
      <c r="AB113" s="42" t="n">
        <v>0</v>
      </c>
      <c r="AC113" s="42" t="n">
        <v>0</v>
      </c>
      <c r="AD113" s="42" t="n">
        <v>0</v>
      </c>
      <c r="AE113" s="42" t="n">
        <v>0</v>
      </c>
      <c r="AF113" s="42" t="n">
        <v>0</v>
      </c>
      <c r="AG113" s="42" t="n">
        <v>0</v>
      </c>
      <c r="AH113" s="42" t="n">
        <v>0</v>
      </c>
      <c r="AI113" s="42" t="n">
        <v>0</v>
      </c>
      <c r="AJ113" s="42" t="n">
        <v>0</v>
      </c>
      <c r="AK113" s="42" t="n">
        <v>0</v>
      </c>
      <c r="AL113" s="42" t="n">
        <v>0</v>
      </c>
      <c r="AM113" s="42" t="n">
        <v>0</v>
      </c>
      <c r="AN113" s="42" t="n">
        <v>0</v>
      </c>
      <c r="AO113" s="42" t="n">
        <v>0</v>
      </c>
      <c r="AP113" s="42" t="n">
        <v>0</v>
      </c>
      <c r="AQ113" s="42" t="n">
        <v>0</v>
      </c>
      <c r="AR113" s="42" t="n">
        <v>0</v>
      </c>
      <c r="AS113" s="42" t="n">
        <v>0</v>
      </c>
      <c r="AT113" s="42" t="n">
        <v>0</v>
      </c>
      <c r="AU113" s="42"/>
      <c r="AV113" s="45" t="n">
        <f aca="false">SUM(N113:AU113)</f>
        <v>0</v>
      </c>
      <c r="AW113" s="42" t="n">
        <v>3290</v>
      </c>
      <c r="AX113" s="42" t="n">
        <v>0</v>
      </c>
      <c r="AY113" s="42" t="n">
        <f aca="false">+AV113+AW113+AX113</f>
        <v>3290</v>
      </c>
      <c r="AZ113" s="42" t="n">
        <f aca="false">+K113-AY113</f>
        <v>0</v>
      </c>
      <c r="BA113" s="46"/>
    </row>
    <row r="114" customFormat="false" ht="12.75" hidden="false" customHeight="false" outlineLevel="0" collapsed="false">
      <c r="A114" s="47" t="n">
        <v>11</v>
      </c>
      <c r="B114" s="48" t="s">
        <v>268</v>
      </c>
      <c r="C114" s="48" t="s">
        <v>269</v>
      </c>
      <c r="D114" s="49" t="n">
        <v>100246</v>
      </c>
      <c r="E114" s="50" t="n">
        <f aca="false">316+27+39</f>
        <v>382</v>
      </c>
      <c r="F114" s="45" t="n">
        <v>105</v>
      </c>
      <c r="G114" s="45" t="n">
        <v>4</v>
      </c>
      <c r="H114" s="45" t="n">
        <f aca="false">88+8</f>
        <v>96</v>
      </c>
      <c r="I114" s="45" t="n">
        <f aca="false">36+7</f>
        <v>43</v>
      </c>
      <c r="J114" s="45" t="n">
        <v>4</v>
      </c>
      <c r="K114" s="42" t="n">
        <f aca="false">SUM(E114:J114)</f>
        <v>634</v>
      </c>
      <c r="L114" s="51"/>
      <c r="M114" s="50" t="s">
        <v>98</v>
      </c>
      <c r="N114" s="45" t="n">
        <v>0</v>
      </c>
      <c r="O114" s="45" t="n">
        <v>0</v>
      </c>
      <c r="P114" s="45" t="n">
        <v>0</v>
      </c>
      <c r="Q114" s="45"/>
      <c r="R114" s="45" t="n">
        <v>0</v>
      </c>
      <c r="S114" s="45" t="n">
        <v>0</v>
      </c>
      <c r="T114" s="45" t="n">
        <v>0</v>
      </c>
      <c r="U114" s="45" t="n">
        <v>0</v>
      </c>
      <c r="V114" s="45" t="n">
        <v>0</v>
      </c>
      <c r="W114" s="42" t="n">
        <v>0</v>
      </c>
      <c r="X114" s="45" t="n">
        <v>0</v>
      </c>
      <c r="Y114" s="45" t="n">
        <v>0</v>
      </c>
      <c r="Z114" s="45" t="n">
        <v>0</v>
      </c>
      <c r="AA114" s="45" t="n">
        <v>0</v>
      </c>
      <c r="AB114" s="45" t="n">
        <v>0</v>
      </c>
      <c r="AC114" s="45" t="n">
        <v>0</v>
      </c>
      <c r="AD114" s="45" t="n">
        <v>0</v>
      </c>
      <c r="AE114" s="45" t="n">
        <v>0</v>
      </c>
      <c r="AF114" s="45" t="n">
        <v>0</v>
      </c>
      <c r="AG114" s="45" t="n">
        <v>0</v>
      </c>
      <c r="AH114" s="45" t="n">
        <v>0</v>
      </c>
      <c r="AI114" s="45" t="n">
        <v>0</v>
      </c>
      <c r="AJ114" s="45" t="n">
        <v>0</v>
      </c>
      <c r="AK114" s="45" t="n">
        <v>0</v>
      </c>
      <c r="AL114" s="45" t="n">
        <v>0</v>
      </c>
      <c r="AM114" s="45" t="n">
        <v>0</v>
      </c>
      <c r="AN114" s="45" t="n">
        <v>0</v>
      </c>
      <c r="AO114" s="45" t="n">
        <v>0</v>
      </c>
      <c r="AP114" s="45" t="n">
        <v>0</v>
      </c>
      <c r="AQ114" s="42" t="n">
        <v>0</v>
      </c>
      <c r="AR114" s="42" t="n">
        <v>0</v>
      </c>
      <c r="AS114" s="42" t="n">
        <v>0</v>
      </c>
      <c r="AT114" s="42" t="n">
        <v>0</v>
      </c>
      <c r="AU114" s="45"/>
      <c r="AV114" s="45" t="n">
        <f aca="false">SUM(N114:AU114)</f>
        <v>0</v>
      </c>
      <c r="AW114" s="45" t="n">
        <v>0</v>
      </c>
      <c r="AX114" s="42" t="n">
        <v>634</v>
      </c>
      <c r="AY114" s="42" t="n">
        <f aca="false">+AV114+AW114+AX114</f>
        <v>634</v>
      </c>
      <c r="AZ114" s="45" t="n">
        <f aca="false">+K114-AY114</f>
        <v>0</v>
      </c>
      <c r="BA114" s="56"/>
    </row>
    <row r="115" customFormat="false" ht="12.75" hidden="false" customHeight="false" outlineLevel="0" collapsed="false">
      <c r="A115" s="37" t="s">
        <v>36</v>
      </c>
      <c r="B115" s="39" t="s">
        <v>270</v>
      </c>
      <c r="C115" s="39" t="s">
        <v>271</v>
      </c>
      <c r="D115" s="40" t="n">
        <v>100252</v>
      </c>
      <c r="E115" s="41" t="n">
        <f aca="false">693+70+104</f>
        <v>867</v>
      </c>
      <c r="F115" s="42" t="n">
        <v>518</v>
      </c>
      <c r="G115" s="42" t="n">
        <v>11</v>
      </c>
      <c r="H115" s="42" t="n">
        <f aca="false">34+11</f>
        <v>45</v>
      </c>
      <c r="I115" s="42" t="n">
        <f aca="false">28+61</f>
        <v>89</v>
      </c>
      <c r="J115" s="42" t="n">
        <v>40</v>
      </c>
      <c r="K115" s="42" t="n">
        <f aca="false">SUM(E115:J115)</f>
        <v>1570</v>
      </c>
      <c r="L115" s="43"/>
      <c r="M115" s="41" t="s">
        <v>250</v>
      </c>
      <c r="N115" s="42" t="n">
        <v>0</v>
      </c>
      <c r="O115" s="42" t="n">
        <v>0</v>
      </c>
      <c r="P115" s="42" t="n">
        <v>0</v>
      </c>
      <c r="Q115" s="42" t="n">
        <v>0</v>
      </c>
      <c r="R115" s="42" t="n">
        <v>0</v>
      </c>
      <c r="S115" s="42" t="n">
        <v>0</v>
      </c>
      <c r="T115" s="42" t="n">
        <v>0</v>
      </c>
      <c r="U115" s="42" t="n">
        <v>0</v>
      </c>
      <c r="V115" s="42" t="n">
        <v>0</v>
      </c>
      <c r="W115" s="42" t="n">
        <v>0</v>
      </c>
      <c r="X115" s="42" t="n">
        <v>63</v>
      </c>
      <c r="Y115" s="42" t="n">
        <v>0</v>
      </c>
      <c r="Z115" s="42" t="n">
        <v>0</v>
      </c>
      <c r="AA115" s="42" t="n">
        <v>0</v>
      </c>
      <c r="AB115" s="42" t="n">
        <v>408</v>
      </c>
      <c r="AC115" s="42" t="n">
        <v>0</v>
      </c>
      <c r="AD115" s="42" t="n">
        <v>376</v>
      </c>
      <c r="AE115" s="42" t="n">
        <v>0</v>
      </c>
      <c r="AF115" s="42" t="n">
        <v>0</v>
      </c>
      <c r="AG115" s="42" t="n">
        <v>0</v>
      </c>
      <c r="AH115" s="42" t="n">
        <v>126</v>
      </c>
      <c r="AI115" s="42" t="n">
        <v>220</v>
      </c>
      <c r="AJ115" s="42" t="n">
        <v>126</v>
      </c>
      <c r="AK115" s="42" t="n">
        <v>0</v>
      </c>
      <c r="AL115" s="42" t="n">
        <v>251</v>
      </c>
      <c r="AM115" s="42" t="n">
        <v>0</v>
      </c>
      <c r="AN115" s="42" t="n">
        <v>0</v>
      </c>
      <c r="AO115" s="42" t="n">
        <v>0</v>
      </c>
      <c r="AP115" s="42" t="n">
        <v>0</v>
      </c>
      <c r="AQ115" s="42" t="n">
        <v>0</v>
      </c>
      <c r="AR115" s="42" t="n">
        <v>0</v>
      </c>
      <c r="AS115" s="42" t="n">
        <v>0</v>
      </c>
      <c r="AT115" s="42" t="n">
        <v>0</v>
      </c>
      <c r="AU115" s="42"/>
      <c r="AV115" s="42" t="n">
        <f aca="false">SUM(N115:AU115)</f>
        <v>1570</v>
      </c>
      <c r="AW115" s="42" t="n">
        <v>0</v>
      </c>
      <c r="AX115" s="42" t="n">
        <v>0</v>
      </c>
      <c r="AY115" s="42" t="n">
        <f aca="false">+AV115+AW115+AX115</f>
        <v>1570</v>
      </c>
      <c r="AZ115" s="42" t="n">
        <f aca="false">+K115-AY115</f>
        <v>0</v>
      </c>
      <c r="BA115" s="56"/>
    </row>
    <row r="116" customFormat="false" ht="12.75" hidden="false" customHeight="false" outlineLevel="0" collapsed="false">
      <c r="A116" s="37" t="n">
        <v>11</v>
      </c>
      <c r="B116" s="39" t="s">
        <v>272</v>
      </c>
      <c r="C116" s="39" t="s">
        <v>273</v>
      </c>
      <c r="D116" s="40" t="n">
        <v>100280</v>
      </c>
      <c r="E116" s="41" t="n">
        <f aca="false">1069+105+210</f>
        <v>1384</v>
      </c>
      <c r="F116" s="42" t="n">
        <v>154</v>
      </c>
      <c r="G116" s="42" t="n">
        <v>12</v>
      </c>
      <c r="H116" s="42" t="n">
        <f aca="false">196+73</f>
        <v>269</v>
      </c>
      <c r="I116" s="42" t="n">
        <f aca="false">73+37</f>
        <v>110</v>
      </c>
      <c r="J116" s="42" t="n">
        <v>7</v>
      </c>
      <c r="K116" s="42" t="n">
        <f aca="false">SUM(E116:J116)</f>
        <v>1936</v>
      </c>
      <c r="L116" s="43"/>
      <c r="M116" s="41" t="s">
        <v>156</v>
      </c>
      <c r="N116" s="42" t="n">
        <v>9</v>
      </c>
      <c r="O116" s="42" t="n">
        <v>123</v>
      </c>
      <c r="P116" s="42" t="n">
        <v>133</v>
      </c>
      <c r="Q116" s="42" t="n">
        <v>142</v>
      </c>
      <c r="R116" s="42" t="n">
        <v>0</v>
      </c>
      <c r="S116" s="42" t="n">
        <v>0</v>
      </c>
      <c r="T116" s="42" t="n">
        <v>0</v>
      </c>
      <c r="U116" s="42" t="n">
        <v>142</v>
      </c>
      <c r="V116" s="42" t="n">
        <v>0</v>
      </c>
      <c r="W116" s="42" t="n">
        <v>0</v>
      </c>
      <c r="X116" s="42" t="n">
        <f aca="false">874-53</f>
        <v>821</v>
      </c>
      <c r="Y116" s="42" t="n">
        <v>0</v>
      </c>
      <c r="Z116" s="42" t="n">
        <v>75</v>
      </c>
      <c r="AA116" s="42" t="n">
        <v>0</v>
      </c>
      <c r="AB116" s="42" t="n">
        <v>0</v>
      </c>
      <c r="AC116" s="42" t="n">
        <v>0</v>
      </c>
      <c r="AD116" s="42" t="n">
        <v>275</v>
      </c>
      <c r="AE116" s="42" t="n">
        <v>0</v>
      </c>
      <c r="AF116" s="42" t="n">
        <v>0</v>
      </c>
      <c r="AG116" s="42" t="n">
        <v>0</v>
      </c>
      <c r="AH116" s="42" t="n">
        <v>0</v>
      </c>
      <c r="AI116" s="42" t="n">
        <v>0</v>
      </c>
      <c r="AJ116" s="42" t="n">
        <v>0</v>
      </c>
      <c r="AK116" s="42" t="n">
        <v>0</v>
      </c>
      <c r="AL116" s="42" t="n">
        <v>0</v>
      </c>
      <c r="AM116" s="42" t="n">
        <v>0</v>
      </c>
      <c r="AN116" s="42" t="n">
        <v>0</v>
      </c>
      <c r="AO116" s="42" t="n">
        <v>0</v>
      </c>
      <c r="AP116" s="42" t="n">
        <v>53</v>
      </c>
      <c r="AQ116" s="42" t="n">
        <v>0</v>
      </c>
      <c r="AR116" s="42" t="n">
        <v>0</v>
      </c>
      <c r="AS116" s="42" t="n">
        <v>0</v>
      </c>
      <c r="AT116" s="42" t="n">
        <v>0</v>
      </c>
      <c r="AU116" s="42"/>
      <c r="AV116" s="45" t="n">
        <f aca="false">SUM(N116:AU116)</f>
        <v>1773</v>
      </c>
      <c r="AW116" s="42" t="n">
        <v>163</v>
      </c>
      <c r="AX116" s="42" t="n">
        <v>0</v>
      </c>
      <c r="AY116" s="42" t="n">
        <f aca="false">+AV116+AW116+AX116</f>
        <v>1936</v>
      </c>
      <c r="AZ116" s="42" t="n">
        <f aca="false">+K116-AY116</f>
        <v>0</v>
      </c>
      <c r="BA116" s="56"/>
    </row>
    <row r="117" customFormat="false" ht="12.75" hidden="false" customHeight="false" outlineLevel="0" collapsed="false">
      <c r="A117" s="37" t="n">
        <v>11</v>
      </c>
      <c r="B117" s="39" t="s">
        <v>274</v>
      </c>
      <c r="C117" s="39" t="s">
        <v>275</v>
      </c>
      <c r="D117" s="40" t="n">
        <v>100281</v>
      </c>
      <c r="E117" s="41" t="n">
        <v>0</v>
      </c>
      <c r="F117" s="42" t="n">
        <v>0</v>
      </c>
      <c r="G117" s="42" t="n">
        <v>0</v>
      </c>
      <c r="H117" s="42" t="n">
        <v>0</v>
      </c>
      <c r="I117" s="42" t="n">
        <v>0</v>
      </c>
      <c r="J117" s="42" t="n">
        <v>0</v>
      </c>
      <c r="K117" s="42" t="n">
        <f aca="false">SUM(E117:J117)</f>
        <v>0</v>
      </c>
      <c r="L117" s="43"/>
      <c r="M117" s="41" t="s">
        <v>108</v>
      </c>
      <c r="N117" s="42" t="n">
        <v>0</v>
      </c>
      <c r="O117" s="42" t="n">
        <v>0</v>
      </c>
      <c r="P117" s="42" t="n">
        <v>0</v>
      </c>
      <c r="Q117" s="42" t="n">
        <v>0</v>
      </c>
      <c r="R117" s="42" t="n">
        <v>0</v>
      </c>
      <c r="S117" s="42" t="n">
        <v>0</v>
      </c>
      <c r="T117" s="42" t="n">
        <v>0</v>
      </c>
      <c r="U117" s="42" t="n">
        <v>0</v>
      </c>
      <c r="V117" s="42" t="n">
        <v>0</v>
      </c>
      <c r="W117" s="42" t="n">
        <v>0</v>
      </c>
      <c r="X117" s="42" t="n">
        <v>0</v>
      </c>
      <c r="Y117" s="42" t="n">
        <v>0</v>
      </c>
      <c r="Z117" s="42" t="n">
        <v>0</v>
      </c>
      <c r="AA117" s="42" t="n">
        <v>0</v>
      </c>
      <c r="AB117" s="42" t="n">
        <v>0</v>
      </c>
      <c r="AC117" s="42" t="n">
        <v>0</v>
      </c>
      <c r="AD117" s="42" t="n">
        <v>0</v>
      </c>
      <c r="AE117" s="42" t="n">
        <v>0</v>
      </c>
      <c r="AF117" s="42" t="n">
        <v>0</v>
      </c>
      <c r="AG117" s="42" t="n">
        <v>0</v>
      </c>
      <c r="AH117" s="42" t="n">
        <v>0</v>
      </c>
      <c r="AI117" s="42" t="n">
        <v>0</v>
      </c>
      <c r="AJ117" s="42" t="n">
        <v>0</v>
      </c>
      <c r="AK117" s="42" t="n">
        <v>0</v>
      </c>
      <c r="AL117" s="42" t="n">
        <v>0</v>
      </c>
      <c r="AM117" s="42" t="n">
        <v>0</v>
      </c>
      <c r="AN117" s="42" t="n">
        <v>0</v>
      </c>
      <c r="AO117" s="42" t="n">
        <v>0</v>
      </c>
      <c r="AP117" s="42" t="n">
        <v>0</v>
      </c>
      <c r="AQ117" s="42" t="n">
        <v>0</v>
      </c>
      <c r="AR117" s="42" t="n">
        <v>0</v>
      </c>
      <c r="AS117" s="42" t="n">
        <v>0</v>
      </c>
      <c r="AT117" s="42" t="n">
        <v>0</v>
      </c>
      <c r="AU117" s="42"/>
      <c r="AV117" s="42" t="n">
        <f aca="false">SUM(N117:AU117)</f>
        <v>0</v>
      </c>
      <c r="AW117" s="42" t="n">
        <v>0</v>
      </c>
      <c r="AX117" s="42" t="n">
        <v>0</v>
      </c>
      <c r="AY117" s="42" t="n">
        <f aca="false">+AV117+AW117+AX117</f>
        <v>0</v>
      </c>
      <c r="AZ117" s="42" t="n">
        <f aca="false">+K117-AY117</f>
        <v>0</v>
      </c>
      <c r="BA117" s="56"/>
    </row>
    <row r="118" customFormat="false" ht="12.75" hidden="false" customHeight="false" outlineLevel="0" collapsed="false">
      <c r="A118" s="37" t="n">
        <v>11</v>
      </c>
      <c r="B118" s="39" t="s">
        <v>276</v>
      </c>
      <c r="C118" s="39" t="s">
        <v>277</v>
      </c>
      <c r="D118" s="40" t="n">
        <v>100801</v>
      </c>
      <c r="E118" s="41" t="n">
        <f aca="false">1816+167+400</f>
        <v>2383</v>
      </c>
      <c r="F118" s="42" t="n">
        <v>59</v>
      </c>
      <c r="G118" s="42" t="n">
        <v>28</v>
      </c>
      <c r="H118" s="42" t="n">
        <f aca="false">252+163+9-250</f>
        <v>174</v>
      </c>
      <c r="I118" s="42" t="n">
        <f aca="false">148+133</f>
        <v>281</v>
      </c>
      <c r="J118" s="42" t="n">
        <v>0</v>
      </c>
      <c r="K118" s="42" t="n">
        <f aca="false">SUM(E118:J118)</f>
        <v>2925</v>
      </c>
      <c r="L118" s="43"/>
      <c r="M118" s="41" t="s">
        <v>278</v>
      </c>
      <c r="N118" s="42" t="n">
        <v>68</v>
      </c>
      <c r="O118" s="42" t="n">
        <v>176</v>
      </c>
      <c r="P118" s="42" t="n">
        <v>36</v>
      </c>
      <c r="Q118" s="42" t="n">
        <v>39</v>
      </c>
      <c r="R118" s="42" t="n">
        <v>0</v>
      </c>
      <c r="S118" s="42" t="n">
        <v>0</v>
      </c>
      <c r="T118" s="42" t="n">
        <v>37</v>
      </c>
      <c r="U118" s="42" t="n">
        <v>437</v>
      </c>
      <c r="V118" s="42" t="n">
        <v>153</v>
      </c>
      <c r="W118" s="42" t="n">
        <v>50</v>
      </c>
      <c r="X118" s="42" t="n">
        <f aca="false">393-31-21</f>
        <v>341</v>
      </c>
      <c r="Y118" s="42" t="n">
        <v>0</v>
      </c>
      <c r="Z118" s="42" t="n">
        <v>6</v>
      </c>
      <c r="AA118" s="42" t="n">
        <v>0</v>
      </c>
      <c r="AB118" s="42" t="n">
        <v>0</v>
      </c>
      <c r="AC118" s="42" t="n">
        <v>18</v>
      </c>
      <c r="AD118" s="42" t="n">
        <v>562</v>
      </c>
      <c r="AE118" s="42" t="n">
        <v>346</v>
      </c>
      <c r="AF118" s="42" t="n">
        <v>1</v>
      </c>
      <c r="AG118" s="42" t="n">
        <v>0</v>
      </c>
      <c r="AH118" s="42" t="n">
        <v>36</v>
      </c>
      <c r="AI118" s="42" t="n">
        <v>0</v>
      </c>
      <c r="AJ118" s="42" t="n">
        <v>18</v>
      </c>
      <c r="AK118" s="42" t="n">
        <v>25</v>
      </c>
      <c r="AL118" s="42" t="n">
        <f aca="false">65-36</f>
        <v>29</v>
      </c>
      <c r="AM118" s="42" t="n">
        <v>0</v>
      </c>
      <c r="AN118" s="42" t="n">
        <v>0</v>
      </c>
      <c r="AO118" s="42" t="n">
        <f aca="false">31+36</f>
        <v>67</v>
      </c>
      <c r="AP118" s="42" t="n">
        <v>21</v>
      </c>
      <c r="AQ118" s="42" t="n">
        <v>0</v>
      </c>
      <c r="AR118" s="42" t="n">
        <v>0</v>
      </c>
      <c r="AS118" s="42" t="n">
        <v>0</v>
      </c>
      <c r="AT118" s="42" t="n">
        <v>0</v>
      </c>
      <c r="AU118" s="42"/>
      <c r="AV118" s="45" t="n">
        <f aca="false">SUM(N118:AU118)</f>
        <v>2466</v>
      </c>
      <c r="AW118" s="42" t="n">
        <f aca="false">759-50-709+459</f>
        <v>459</v>
      </c>
      <c r="AX118" s="42" t="n">
        <v>0</v>
      </c>
      <c r="AY118" s="42" t="n">
        <f aca="false">+AV118+AW118+AX118</f>
        <v>2925</v>
      </c>
      <c r="AZ118" s="42" t="n">
        <f aca="false">+K118-AY118</f>
        <v>0</v>
      </c>
      <c r="BA118" s="56"/>
    </row>
    <row r="119" customFormat="false" ht="12.75" hidden="false" customHeight="false" outlineLevel="0" collapsed="false">
      <c r="A119" s="47" t="n">
        <v>11</v>
      </c>
      <c r="B119" s="48" t="s">
        <v>279</v>
      </c>
      <c r="C119" s="48" t="s">
        <v>280</v>
      </c>
      <c r="D119" s="49" t="n">
        <v>100805</v>
      </c>
      <c r="E119" s="50" t="n">
        <f aca="false">81+9+12</f>
        <v>102</v>
      </c>
      <c r="F119" s="45" t="n">
        <v>6</v>
      </c>
      <c r="G119" s="45" t="n">
        <v>3</v>
      </c>
      <c r="H119" s="45" t="n">
        <v>0</v>
      </c>
      <c r="I119" s="45" t="n">
        <v>9</v>
      </c>
      <c r="J119" s="45" t="n">
        <v>0</v>
      </c>
      <c r="K119" s="42" t="n">
        <f aca="false">SUM(E119:J119)</f>
        <v>120</v>
      </c>
      <c r="L119" s="51"/>
      <c r="M119" s="50" t="s">
        <v>147</v>
      </c>
      <c r="N119" s="45" t="n">
        <v>2</v>
      </c>
      <c r="O119" s="45" t="n">
        <v>4</v>
      </c>
      <c r="P119" s="45" t="n">
        <v>9</v>
      </c>
      <c r="Q119" s="45" t="n">
        <v>0</v>
      </c>
      <c r="R119" s="45" t="n">
        <v>0</v>
      </c>
      <c r="S119" s="45" t="n">
        <v>0</v>
      </c>
      <c r="T119" s="45" t="n">
        <v>2</v>
      </c>
      <c r="U119" s="45" t="n">
        <v>11</v>
      </c>
      <c r="V119" s="45" t="n">
        <v>4</v>
      </c>
      <c r="W119" s="42" t="n">
        <v>0</v>
      </c>
      <c r="X119" s="45" t="n">
        <v>20</v>
      </c>
      <c r="Y119" s="45" t="n">
        <v>0</v>
      </c>
      <c r="Z119" s="45" t="n">
        <v>2</v>
      </c>
      <c r="AA119" s="45" t="n">
        <v>0</v>
      </c>
      <c r="AB119" s="45" t="n">
        <v>0</v>
      </c>
      <c r="AC119" s="45" t="n">
        <v>1</v>
      </c>
      <c r="AD119" s="45" t="n">
        <v>13</v>
      </c>
      <c r="AE119" s="45" t="n">
        <v>16</v>
      </c>
      <c r="AF119" s="45" t="n">
        <v>5</v>
      </c>
      <c r="AG119" s="45" t="n">
        <v>1</v>
      </c>
      <c r="AH119" s="45" t="n">
        <v>1</v>
      </c>
      <c r="AI119" s="45" t="n">
        <v>1</v>
      </c>
      <c r="AJ119" s="45" t="n">
        <v>1</v>
      </c>
      <c r="AK119" s="45" t="n">
        <v>1</v>
      </c>
      <c r="AL119" s="45" t="n">
        <v>2</v>
      </c>
      <c r="AM119" s="45" t="n">
        <v>10</v>
      </c>
      <c r="AN119" s="45" t="n">
        <v>0</v>
      </c>
      <c r="AO119" s="42" t="n">
        <v>0</v>
      </c>
      <c r="AP119" s="42" t="n">
        <v>0</v>
      </c>
      <c r="AQ119" s="42" t="n">
        <v>0</v>
      </c>
      <c r="AR119" s="42" t="n">
        <v>0</v>
      </c>
      <c r="AS119" s="42" t="n">
        <v>0</v>
      </c>
      <c r="AT119" s="42" t="n">
        <v>0</v>
      </c>
      <c r="AU119" s="45"/>
      <c r="AV119" s="45" t="n">
        <f aca="false">SUM(N119:AU119)</f>
        <v>106</v>
      </c>
      <c r="AW119" s="45" t="n">
        <v>14</v>
      </c>
      <c r="AX119" s="42" t="n">
        <v>0</v>
      </c>
      <c r="AY119" s="42" t="n">
        <f aca="false">+AV119+AW119+AX119</f>
        <v>120</v>
      </c>
      <c r="AZ119" s="45" t="n">
        <f aca="false">+K119-AY119</f>
        <v>0</v>
      </c>
      <c r="BA119" s="57"/>
    </row>
    <row r="120" customFormat="false" ht="12.75" hidden="false" customHeight="false" outlineLevel="0" collapsed="false">
      <c r="A120" s="47" t="n">
        <v>11</v>
      </c>
      <c r="B120" s="48" t="s">
        <v>281</v>
      </c>
      <c r="C120" s="48" t="s">
        <v>282</v>
      </c>
      <c r="D120" s="49" t="n">
        <v>100806</v>
      </c>
      <c r="E120" s="50" t="n">
        <f aca="false">40437+4078+5913</f>
        <v>50428</v>
      </c>
      <c r="F120" s="45" t="n">
        <v>1103</v>
      </c>
      <c r="G120" s="45" t="n">
        <v>0</v>
      </c>
      <c r="H120" s="45" t="n">
        <v>0</v>
      </c>
      <c r="I120" s="45" t="n">
        <v>0</v>
      </c>
      <c r="J120" s="45" t="n">
        <v>0</v>
      </c>
      <c r="K120" s="42" t="n">
        <f aca="false">SUM(E120:J120)</f>
        <v>51531</v>
      </c>
      <c r="L120" s="51"/>
      <c r="M120" s="50" t="s">
        <v>283</v>
      </c>
      <c r="N120" s="45" t="n">
        <v>0</v>
      </c>
      <c r="O120" s="45" t="n">
        <v>0</v>
      </c>
      <c r="P120" s="45" t="n">
        <v>0</v>
      </c>
      <c r="Q120" s="45" t="n">
        <v>0</v>
      </c>
      <c r="R120" s="45" t="n">
        <v>0</v>
      </c>
      <c r="S120" s="45" t="n">
        <v>0</v>
      </c>
      <c r="T120" s="45" t="n">
        <v>0</v>
      </c>
      <c r="U120" s="45" t="n">
        <v>0</v>
      </c>
      <c r="V120" s="45" t="n">
        <v>0</v>
      </c>
      <c r="W120" s="42" t="n">
        <v>0</v>
      </c>
      <c r="X120" s="45" t="n">
        <v>0</v>
      </c>
      <c r="Y120" s="45" t="n">
        <v>0</v>
      </c>
      <c r="Z120" s="45" t="n">
        <v>0</v>
      </c>
      <c r="AA120" s="45" t="n">
        <v>0</v>
      </c>
      <c r="AB120" s="45" t="n">
        <v>0</v>
      </c>
      <c r="AC120" s="45" t="n">
        <v>0</v>
      </c>
      <c r="AD120" s="45" t="n">
        <v>0</v>
      </c>
      <c r="AE120" s="45" t="n">
        <v>0</v>
      </c>
      <c r="AF120" s="45" t="n">
        <v>0</v>
      </c>
      <c r="AG120" s="45" t="n">
        <v>0</v>
      </c>
      <c r="AH120" s="45" t="n">
        <v>0</v>
      </c>
      <c r="AI120" s="45" t="n">
        <v>0</v>
      </c>
      <c r="AJ120" s="45" t="n">
        <v>0</v>
      </c>
      <c r="AK120" s="45" t="n">
        <v>0</v>
      </c>
      <c r="AL120" s="45" t="n">
        <v>0</v>
      </c>
      <c r="AM120" s="45" t="n">
        <v>0</v>
      </c>
      <c r="AN120" s="45" t="n">
        <v>0</v>
      </c>
      <c r="AO120" s="45" t="n">
        <v>0</v>
      </c>
      <c r="AP120" s="45" t="n">
        <v>0</v>
      </c>
      <c r="AQ120" s="42" t="n">
        <v>0</v>
      </c>
      <c r="AR120" s="42" t="n">
        <v>0</v>
      </c>
      <c r="AS120" s="42" t="n">
        <v>0</v>
      </c>
      <c r="AT120" s="42" t="n">
        <v>0</v>
      </c>
      <c r="AU120" s="45"/>
      <c r="AV120" s="45" t="n">
        <f aca="false">SUM(N120:AU120)</f>
        <v>0</v>
      </c>
      <c r="AW120" s="45" t="n">
        <v>0</v>
      </c>
      <c r="AX120" s="42" t="n">
        <v>51531</v>
      </c>
      <c r="AY120" s="42" t="n">
        <f aca="false">+AV120+AW120+AX120</f>
        <v>51531</v>
      </c>
      <c r="AZ120" s="45" t="n">
        <f aca="false">+K120-AY120</f>
        <v>0</v>
      </c>
      <c r="BA120" s="56"/>
    </row>
    <row r="121" customFormat="false" ht="12.75" hidden="false" customHeight="false" outlineLevel="0" collapsed="false">
      <c r="A121" s="47" t="n">
        <v>11</v>
      </c>
      <c r="B121" s="48" t="s">
        <v>284</v>
      </c>
      <c r="C121" s="48" t="s">
        <v>282</v>
      </c>
      <c r="D121" s="49" t="n">
        <v>100807</v>
      </c>
      <c r="E121" s="50" t="n">
        <f aca="false">926+100+158</f>
        <v>1184</v>
      </c>
      <c r="F121" s="45" t="n">
        <v>6871</v>
      </c>
      <c r="G121" s="45" t="n">
        <v>4</v>
      </c>
      <c r="H121" s="45" t="n">
        <f aca="false">146+142</f>
        <v>288</v>
      </c>
      <c r="I121" s="45" t="n">
        <f aca="false">342+68</f>
        <v>410</v>
      </c>
      <c r="J121" s="45" t="n">
        <v>301</v>
      </c>
      <c r="K121" s="42" t="n">
        <f aca="false">SUM(E121:J121)</f>
        <v>9058</v>
      </c>
      <c r="L121" s="51"/>
      <c r="M121" s="50" t="s">
        <v>283</v>
      </c>
      <c r="N121" s="45" t="n">
        <v>0</v>
      </c>
      <c r="O121" s="45" t="n">
        <v>0</v>
      </c>
      <c r="P121" s="45" t="n">
        <v>0</v>
      </c>
      <c r="Q121" s="45" t="n">
        <v>0</v>
      </c>
      <c r="R121" s="45" t="n">
        <v>0</v>
      </c>
      <c r="S121" s="45" t="n">
        <v>0</v>
      </c>
      <c r="T121" s="45" t="n">
        <v>0</v>
      </c>
      <c r="U121" s="45" t="n">
        <v>0</v>
      </c>
      <c r="V121" s="45" t="n">
        <v>0</v>
      </c>
      <c r="W121" s="42" t="n">
        <v>0</v>
      </c>
      <c r="X121" s="45" t="n">
        <v>0</v>
      </c>
      <c r="Y121" s="45" t="n">
        <v>0</v>
      </c>
      <c r="Z121" s="45" t="n">
        <v>0</v>
      </c>
      <c r="AA121" s="45" t="n">
        <v>0</v>
      </c>
      <c r="AB121" s="45" t="n">
        <v>0</v>
      </c>
      <c r="AC121" s="45" t="n">
        <v>0</v>
      </c>
      <c r="AD121" s="45" t="n">
        <v>0</v>
      </c>
      <c r="AE121" s="45" t="n">
        <v>0</v>
      </c>
      <c r="AF121" s="45" t="n">
        <v>0</v>
      </c>
      <c r="AG121" s="45" t="n">
        <v>0</v>
      </c>
      <c r="AH121" s="45" t="n">
        <v>0</v>
      </c>
      <c r="AI121" s="45" t="n">
        <v>0</v>
      </c>
      <c r="AJ121" s="45" t="n">
        <v>0</v>
      </c>
      <c r="AK121" s="45" t="n">
        <v>0</v>
      </c>
      <c r="AL121" s="45" t="n">
        <v>0</v>
      </c>
      <c r="AM121" s="45" t="n">
        <v>0</v>
      </c>
      <c r="AN121" s="45" t="n">
        <v>0</v>
      </c>
      <c r="AO121" s="45" t="n">
        <v>0</v>
      </c>
      <c r="AP121" s="45" t="n">
        <v>0</v>
      </c>
      <c r="AQ121" s="42" t="n">
        <v>0</v>
      </c>
      <c r="AR121" s="42" t="n">
        <v>0</v>
      </c>
      <c r="AS121" s="42" t="n">
        <v>0</v>
      </c>
      <c r="AT121" s="42" t="n">
        <v>0</v>
      </c>
      <c r="AU121" s="45"/>
      <c r="AV121" s="45" t="n">
        <f aca="false">SUM(N121:AU121)</f>
        <v>0</v>
      </c>
      <c r="AW121" s="45" t="n">
        <v>0</v>
      </c>
      <c r="AX121" s="42" t="n">
        <v>9058</v>
      </c>
      <c r="AY121" s="42" t="n">
        <f aca="false">+AV121+AW121+AX121</f>
        <v>9058</v>
      </c>
      <c r="AZ121" s="45" t="n">
        <f aca="false">+K121-AY121</f>
        <v>0</v>
      </c>
      <c r="BA121" s="56"/>
    </row>
    <row r="122" customFormat="false" ht="12.75" hidden="false" customHeight="false" outlineLevel="0" collapsed="false">
      <c r="A122" s="47" t="n">
        <v>11</v>
      </c>
      <c r="B122" s="48" t="s">
        <v>285</v>
      </c>
      <c r="C122" s="48" t="s">
        <v>286</v>
      </c>
      <c r="D122" s="49" t="n">
        <v>100808</v>
      </c>
      <c r="E122" s="50" t="n">
        <f aca="false">352+43+61</f>
        <v>456</v>
      </c>
      <c r="F122" s="45" t="n">
        <v>48</v>
      </c>
      <c r="G122" s="45" t="n">
        <v>10</v>
      </c>
      <c r="H122" s="45" t="n">
        <v>78</v>
      </c>
      <c r="I122" s="45" t="n">
        <f aca="false">18+108</f>
        <v>126</v>
      </c>
      <c r="J122" s="45" t="n">
        <v>-487</v>
      </c>
      <c r="K122" s="42" t="n">
        <f aca="false">SUM(E122:J122)</f>
        <v>231</v>
      </c>
      <c r="L122" s="51"/>
      <c r="M122" s="50" t="s">
        <v>111</v>
      </c>
      <c r="N122" s="45" t="n">
        <v>4</v>
      </c>
      <c r="O122" s="45" t="n">
        <v>7</v>
      </c>
      <c r="P122" s="45" t="n">
        <v>7</v>
      </c>
      <c r="Q122" s="45" t="n">
        <v>8</v>
      </c>
      <c r="R122" s="45" t="n">
        <v>1</v>
      </c>
      <c r="S122" s="45" t="n">
        <v>0</v>
      </c>
      <c r="T122" s="45" t="n">
        <v>4</v>
      </c>
      <c r="U122" s="45" t="n">
        <v>27</v>
      </c>
      <c r="V122" s="45" t="n">
        <v>5</v>
      </c>
      <c r="W122" s="42" t="n">
        <v>2</v>
      </c>
      <c r="X122" s="45" t="n">
        <v>38</v>
      </c>
      <c r="Y122" s="45" t="n">
        <v>0</v>
      </c>
      <c r="Z122" s="45" t="n">
        <v>4</v>
      </c>
      <c r="AA122" s="45" t="n">
        <v>1</v>
      </c>
      <c r="AB122" s="45" t="n">
        <v>0</v>
      </c>
      <c r="AC122" s="45" t="n">
        <v>2</v>
      </c>
      <c r="AD122" s="45" t="n">
        <v>33</v>
      </c>
      <c r="AE122" s="45" t="n">
        <v>27</v>
      </c>
      <c r="AF122" s="45" t="n">
        <v>0</v>
      </c>
      <c r="AG122" s="45" t="n">
        <v>0</v>
      </c>
      <c r="AH122" s="45" t="n">
        <v>2</v>
      </c>
      <c r="AI122" s="45" t="n">
        <v>2</v>
      </c>
      <c r="AJ122" s="45" t="n">
        <v>1</v>
      </c>
      <c r="AK122" s="45" t="n">
        <v>2</v>
      </c>
      <c r="AL122" s="45" t="n">
        <v>1</v>
      </c>
      <c r="AM122" s="45" t="n">
        <v>17</v>
      </c>
      <c r="AN122" s="42" t="n">
        <v>0</v>
      </c>
      <c r="AO122" s="42" t="n">
        <v>10</v>
      </c>
      <c r="AP122" s="42" t="n">
        <v>3</v>
      </c>
      <c r="AQ122" s="42" t="n">
        <v>0</v>
      </c>
      <c r="AR122" s="42" t="n">
        <v>0</v>
      </c>
      <c r="AS122" s="42" t="n">
        <v>0</v>
      </c>
      <c r="AT122" s="42" t="n">
        <v>0</v>
      </c>
      <c r="AU122" s="45"/>
      <c r="AV122" s="45" t="n">
        <f aca="false">SUM(N122:AU122)</f>
        <v>208</v>
      </c>
      <c r="AW122" s="45" t="n">
        <v>23</v>
      </c>
      <c r="AX122" s="42" t="n">
        <v>0</v>
      </c>
      <c r="AY122" s="42" t="n">
        <f aca="false">+AV122+AW122+AX122</f>
        <v>231</v>
      </c>
      <c r="AZ122" s="45" t="n">
        <f aca="false">+K122-AY122</f>
        <v>0</v>
      </c>
      <c r="BA122" s="57"/>
    </row>
    <row r="123" customFormat="false" ht="12.75" hidden="false" customHeight="false" outlineLevel="0" collapsed="false">
      <c r="A123" s="47" t="n">
        <v>11</v>
      </c>
      <c r="B123" s="48" t="s">
        <v>287</v>
      </c>
      <c r="C123" s="48" t="s">
        <v>282</v>
      </c>
      <c r="D123" s="49" t="n">
        <v>100809</v>
      </c>
      <c r="E123" s="50" t="n">
        <f aca="false">268+30+49</f>
        <v>347</v>
      </c>
      <c r="F123" s="45" t="n">
        <v>234</v>
      </c>
      <c r="G123" s="45" t="n">
        <v>4</v>
      </c>
      <c r="H123" s="45" t="n">
        <f aca="false">372+30+124</f>
        <v>526</v>
      </c>
      <c r="I123" s="45" t="n">
        <f aca="false">108+22</f>
        <v>130</v>
      </c>
      <c r="J123" s="45" t="n">
        <v>5</v>
      </c>
      <c r="K123" s="42" t="n">
        <f aca="false">SUM(E123:J123)</f>
        <v>1246</v>
      </c>
      <c r="L123" s="51"/>
      <c r="M123" s="50" t="s">
        <v>283</v>
      </c>
      <c r="N123" s="45" t="n">
        <v>0</v>
      </c>
      <c r="O123" s="45" t="n">
        <v>0</v>
      </c>
      <c r="P123" s="45" t="n">
        <v>0</v>
      </c>
      <c r="Q123" s="45" t="n">
        <v>0</v>
      </c>
      <c r="R123" s="45" t="n">
        <v>0</v>
      </c>
      <c r="S123" s="45" t="n">
        <v>0</v>
      </c>
      <c r="T123" s="45" t="n">
        <v>0</v>
      </c>
      <c r="U123" s="45" t="n">
        <v>0</v>
      </c>
      <c r="V123" s="45" t="n">
        <v>0</v>
      </c>
      <c r="W123" s="42" t="n">
        <v>0</v>
      </c>
      <c r="X123" s="45" t="n">
        <v>0</v>
      </c>
      <c r="Y123" s="45" t="n">
        <v>0</v>
      </c>
      <c r="Z123" s="45" t="n">
        <v>0</v>
      </c>
      <c r="AA123" s="45" t="n">
        <v>0</v>
      </c>
      <c r="AB123" s="45" t="n">
        <v>0</v>
      </c>
      <c r="AC123" s="45" t="n">
        <v>0</v>
      </c>
      <c r="AD123" s="45" t="n">
        <v>0</v>
      </c>
      <c r="AE123" s="45" t="n">
        <v>0</v>
      </c>
      <c r="AF123" s="45" t="n">
        <v>0</v>
      </c>
      <c r="AG123" s="45" t="n">
        <v>0</v>
      </c>
      <c r="AH123" s="45" t="n">
        <v>0</v>
      </c>
      <c r="AI123" s="45" t="n">
        <v>0</v>
      </c>
      <c r="AJ123" s="45" t="n">
        <v>0</v>
      </c>
      <c r="AK123" s="45" t="n">
        <v>0</v>
      </c>
      <c r="AL123" s="45" t="n">
        <v>0</v>
      </c>
      <c r="AM123" s="45" t="n">
        <v>0</v>
      </c>
      <c r="AN123" s="45" t="n">
        <v>0</v>
      </c>
      <c r="AO123" s="45" t="n">
        <v>0</v>
      </c>
      <c r="AP123" s="45" t="n">
        <v>0</v>
      </c>
      <c r="AQ123" s="42" t="n">
        <v>0</v>
      </c>
      <c r="AR123" s="42" t="n">
        <v>0</v>
      </c>
      <c r="AS123" s="42" t="n">
        <v>0</v>
      </c>
      <c r="AT123" s="42" t="n">
        <v>0</v>
      </c>
      <c r="AU123" s="45"/>
      <c r="AV123" s="45" t="n">
        <f aca="false">SUM(N123:AU123)</f>
        <v>0</v>
      </c>
      <c r="AW123" s="45" t="n">
        <v>0</v>
      </c>
      <c r="AX123" s="42" t="n">
        <v>1246</v>
      </c>
      <c r="AY123" s="42" t="n">
        <f aca="false">+AV123+AW123+AX123</f>
        <v>1246</v>
      </c>
      <c r="AZ123" s="45" t="n">
        <f aca="false">+K123-AY123</f>
        <v>0</v>
      </c>
      <c r="BA123" s="56"/>
    </row>
    <row r="124" customFormat="false" ht="12.75" hidden="false" customHeight="false" outlineLevel="0" collapsed="false">
      <c r="A124" s="37"/>
      <c r="B124" s="39"/>
      <c r="C124" s="39"/>
      <c r="D124" s="40"/>
      <c r="E124" s="41"/>
      <c r="F124" s="42"/>
      <c r="G124" s="42"/>
      <c r="H124" s="41"/>
      <c r="I124" s="41"/>
      <c r="J124" s="41"/>
      <c r="K124" s="42" t="n">
        <f aca="false">SUM(E124:J124)</f>
        <v>0</v>
      </c>
      <c r="L124" s="43"/>
      <c r="M124" s="41"/>
      <c r="N124" s="42"/>
      <c r="O124" s="42"/>
      <c r="P124" s="42"/>
      <c r="Q124" s="42" t="n">
        <v>0</v>
      </c>
      <c r="R124" s="58"/>
      <c r="S124" s="42"/>
      <c r="T124" s="42"/>
      <c r="U124" s="42"/>
      <c r="V124" s="42"/>
      <c r="W124" s="42" t="n">
        <v>0</v>
      </c>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t="n">
        <v>0</v>
      </c>
      <c r="AY124" s="42" t="n">
        <f aca="false">+AV124+AW124+AX124</f>
        <v>0</v>
      </c>
      <c r="AZ124" s="42"/>
      <c r="BA124" s="59"/>
    </row>
    <row r="125" customFormat="false" ht="12.75" hidden="false" customHeight="false" outlineLevel="0" collapsed="false">
      <c r="A125" s="37"/>
      <c r="B125" s="39"/>
      <c r="C125" s="39"/>
      <c r="D125" s="40"/>
      <c r="E125" s="41"/>
      <c r="F125" s="42"/>
      <c r="G125" s="42"/>
      <c r="H125" s="41"/>
      <c r="I125" s="41"/>
      <c r="J125" s="41"/>
      <c r="K125" s="42" t="n">
        <f aca="false">SUM(E125:J125)</f>
        <v>0</v>
      </c>
      <c r="L125" s="43"/>
      <c r="M125" s="41"/>
      <c r="N125" s="42"/>
      <c r="O125" s="42"/>
      <c r="P125" s="42"/>
      <c r="Q125" s="42" t="n">
        <v>0</v>
      </c>
      <c r="R125" s="42"/>
      <c r="S125" s="42"/>
      <c r="T125" s="42"/>
      <c r="U125" s="42"/>
      <c r="V125" s="42"/>
      <c r="W125" s="42" t="n">
        <v>0</v>
      </c>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t="n">
        <v>0</v>
      </c>
      <c r="AY125" s="42" t="n">
        <f aca="false">+AV125+AW125+AX125</f>
        <v>0</v>
      </c>
      <c r="AZ125" s="42"/>
      <c r="BA125" s="56"/>
    </row>
    <row r="126" customFormat="false" ht="12.75" hidden="false" customHeight="false" outlineLevel="0" collapsed="false">
      <c r="A126" s="37" t="n">
        <v>11</v>
      </c>
      <c r="B126" s="39" t="s">
        <v>288</v>
      </c>
      <c r="C126" s="39" t="s">
        <v>289</v>
      </c>
      <c r="D126" s="40" t="n">
        <v>100090</v>
      </c>
      <c r="E126" s="41" t="n">
        <f aca="false">754+51+78</f>
        <v>883</v>
      </c>
      <c r="F126" s="42" t="n">
        <v>40</v>
      </c>
      <c r="G126" s="42" t="n">
        <v>5</v>
      </c>
      <c r="H126" s="41" t="n">
        <v>0</v>
      </c>
      <c r="I126" s="41" t="n">
        <f aca="false">30+132</f>
        <v>162</v>
      </c>
      <c r="J126" s="41" t="n">
        <v>-290</v>
      </c>
      <c r="K126" s="42" t="n">
        <f aca="false">SUM(E126:J126)</f>
        <v>800</v>
      </c>
      <c r="L126" s="43"/>
      <c r="M126" s="41" t="s">
        <v>111</v>
      </c>
      <c r="N126" s="42" t="n">
        <v>13</v>
      </c>
      <c r="O126" s="42" t="n">
        <v>24</v>
      </c>
      <c r="P126" s="42" t="n">
        <v>26</v>
      </c>
      <c r="Q126" s="42" t="n">
        <v>27</v>
      </c>
      <c r="R126" s="42" t="n">
        <v>2</v>
      </c>
      <c r="S126" s="42" t="n">
        <v>0</v>
      </c>
      <c r="T126" s="42" t="n">
        <v>14</v>
      </c>
      <c r="U126" s="42" t="n">
        <v>93</v>
      </c>
      <c r="V126" s="42" t="n">
        <v>18</v>
      </c>
      <c r="W126" s="42" t="n">
        <v>7</v>
      </c>
      <c r="X126" s="42" t="n">
        <v>130</v>
      </c>
      <c r="Y126" s="42" t="n">
        <v>1</v>
      </c>
      <c r="Z126" s="42" t="n">
        <v>15</v>
      </c>
      <c r="AA126" s="42" t="n">
        <v>3</v>
      </c>
      <c r="AB126" s="42" t="n">
        <v>1</v>
      </c>
      <c r="AC126" s="42" t="n">
        <v>6</v>
      </c>
      <c r="AD126" s="42" t="n">
        <v>115</v>
      </c>
      <c r="AE126" s="42" t="n">
        <v>93</v>
      </c>
      <c r="AF126" s="42" t="n">
        <v>1</v>
      </c>
      <c r="AG126" s="42" t="n">
        <v>0</v>
      </c>
      <c r="AH126" s="42" t="n">
        <v>6</v>
      </c>
      <c r="AI126" s="42" t="n">
        <v>6</v>
      </c>
      <c r="AJ126" s="42" t="n">
        <v>3</v>
      </c>
      <c r="AK126" s="42" t="n">
        <v>8</v>
      </c>
      <c r="AL126" s="42" t="n">
        <v>3</v>
      </c>
      <c r="AM126" s="42" t="n">
        <v>60</v>
      </c>
      <c r="AN126" s="42" t="n">
        <v>0</v>
      </c>
      <c r="AO126" s="42" t="n">
        <v>35</v>
      </c>
      <c r="AP126" s="42" t="n">
        <v>9</v>
      </c>
      <c r="AQ126" s="42" t="n">
        <v>0</v>
      </c>
      <c r="AR126" s="42" t="n">
        <v>0</v>
      </c>
      <c r="AS126" s="42" t="n">
        <v>0</v>
      </c>
      <c r="AT126" s="42" t="n">
        <v>0</v>
      </c>
      <c r="AU126" s="42"/>
      <c r="AV126" s="42" t="n">
        <f aca="false">SUM(N126:AU126)</f>
        <v>719</v>
      </c>
      <c r="AW126" s="42" t="n">
        <v>81</v>
      </c>
      <c r="AX126" s="42" t="n">
        <v>0</v>
      </c>
      <c r="AY126" s="42" t="n">
        <f aca="false">+AV126+AW126+AX126</f>
        <v>800</v>
      </c>
      <c r="AZ126" s="42" t="n">
        <f aca="false">+K126-AY126</f>
        <v>0</v>
      </c>
      <c r="BA126" s="56"/>
    </row>
    <row r="127" customFormat="false" ht="12.75" hidden="false" customHeight="false" outlineLevel="0" collapsed="false">
      <c r="A127" s="37" t="n">
        <v>11</v>
      </c>
      <c r="B127" s="39" t="s">
        <v>290</v>
      </c>
      <c r="C127" s="39" t="s">
        <v>291</v>
      </c>
      <c r="D127" s="40" t="n">
        <v>100091</v>
      </c>
      <c r="E127" s="41" t="n">
        <f aca="false">413+30+57</f>
        <v>500</v>
      </c>
      <c r="F127" s="42" t="n">
        <v>65</v>
      </c>
      <c r="G127" s="42" t="n">
        <v>6</v>
      </c>
      <c r="H127" s="41" t="n">
        <f aca="false">110+10+1</f>
        <v>121</v>
      </c>
      <c r="I127" s="41" t="n">
        <f aca="false">12+6</f>
        <v>18</v>
      </c>
      <c r="J127" s="41" t="n">
        <v>17</v>
      </c>
      <c r="K127" s="42" t="n">
        <f aca="false">SUM(E127:J127)</f>
        <v>727</v>
      </c>
      <c r="L127" s="43"/>
      <c r="M127" s="41" t="s">
        <v>134</v>
      </c>
      <c r="N127" s="42" t="n">
        <v>0</v>
      </c>
      <c r="O127" s="42" t="n">
        <v>0</v>
      </c>
      <c r="P127" s="42" t="n">
        <v>0</v>
      </c>
      <c r="Q127" s="42" t="n">
        <v>0</v>
      </c>
      <c r="R127" s="42" t="n">
        <v>0</v>
      </c>
      <c r="S127" s="42" t="n">
        <v>0</v>
      </c>
      <c r="T127" s="42" t="n">
        <v>0</v>
      </c>
      <c r="U127" s="42" t="n">
        <v>0</v>
      </c>
      <c r="V127" s="42" t="n">
        <v>0</v>
      </c>
      <c r="W127" s="42" t="n">
        <v>0</v>
      </c>
      <c r="X127" s="42" t="n">
        <v>0</v>
      </c>
      <c r="Y127" s="42" t="n">
        <v>0</v>
      </c>
      <c r="Z127" s="42" t="n">
        <v>0</v>
      </c>
      <c r="AA127" s="42" t="n">
        <v>0</v>
      </c>
      <c r="AB127" s="42" t="n">
        <v>0</v>
      </c>
      <c r="AC127" s="42" t="n">
        <v>0</v>
      </c>
      <c r="AD127" s="42" t="n">
        <v>0</v>
      </c>
      <c r="AE127" s="42" t="n">
        <v>0</v>
      </c>
      <c r="AF127" s="42" t="n">
        <v>0</v>
      </c>
      <c r="AG127" s="42" t="n">
        <v>0</v>
      </c>
      <c r="AH127" s="42" t="n">
        <v>0</v>
      </c>
      <c r="AI127" s="42" t="n">
        <v>0</v>
      </c>
      <c r="AJ127" s="42" t="n">
        <v>0</v>
      </c>
      <c r="AK127" s="42" t="n">
        <v>0</v>
      </c>
      <c r="AL127" s="42" t="n">
        <v>0</v>
      </c>
      <c r="AM127" s="42" t="n">
        <v>0</v>
      </c>
      <c r="AN127" s="42" t="n">
        <v>0</v>
      </c>
      <c r="AO127" s="42" t="n">
        <v>0</v>
      </c>
      <c r="AP127" s="42" t="n">
        <v>0</v>
      </c>
      <c r="AQ127" s="42" t="n">
        <v>0</v>
      </c>
      <c r="AR127" s="42" t="n">
        <v>0</v>
      </c>
      <c r="AS127" s="42" t="n">
        <v>0</v>
      </c>
      <c r="AT127" s="42" t="n">
        <v>0</v>
      </c>
      <c r="AU127" s="42" t="n">
        <v>0</v>
      </c>
      <c r="AV127" s="42" t="n">
        <f aca="false">SUM(N127:AU127)</f>
        <v>0</v>
      </c>
      <c r="AW127" s="42" t="n">
        <v>727</v>
      </c>
      <c r="AX127" s="42" t="n">
        <v>0</v>
      </c>
      <c r="AY127" s="42" t="n">
        <f aca="false">+AV127+AW127+AX127</f>
        <v>727</v>
      </c>
      <c r="AZ127" s="42" t="n">
        <f aca="false">+K127-AY127</f>
        <v>0</v>
      </c>
      <c r="BA127" s="56"/>
    </row>
    <row r="128" customFormat="false" ht="12.75" hidden="false" customHeight="false" outlineLevel="0" collapsed="false">
      <c r="A128" s="37" t="n">
        <v>11</v>
      </c>
      <c r="B128" s="39" t="s">
        <v>292</v>
      </c>
      <c r="C128" s="39" t="s">
        <v>165</v>
      </c>
      <c r="D128" s="40" t="n">
        <v>100098</v>
      </c>
      <c r="E128" s="41" t="n">
        <v>0</v>
      </c>
      <c r="F128" s="42" t="n">
        <v>0</v>
      </c>
      <c r="G128" s="42" t="n">
        <v>0</v>
      </c>
      <c r="H128" s="41" t="n">
        <v>0</v>
      </c>
      <c r="I128" s="41" t="n">
        <v>0</v>
      </c>
      <c r="J128" s="41" t="n">
        <v>0</v>
      </c>
      <c r="K128" s="42" t="n">
        <f aca="false">SUM(E128:J128)</f>
        <v>0</v>
      </c>
      <c r="L128" s="43"/>
      <c r="M128" s="41" t="s">
        <v>293</v>
      </c>
      <c r="N128" s="42" t="n">
        <v>0</v>
      </c>
      <c r="O128" s="42" t="n">
        <v>0</v>
      </c>
      <c r="P128" s="42" t="n">
        <v>0</v>
      </c>
      <c r="Q128" s="42" t="n">
        <v>0</v>
      </c>
      <c r="R128" s="42" t="n">
        <v>0</v>
      </c>
      <c r="S128" s="42" t="n">
        <v>0</v>
      </c>
      <c r="T128" s="42" t="n">
        <v>0</v>
      </c>
      <c r="U128" s="42" t="n">
        <v>0</v>
      </c>
      <c r="V128" s="42" t="n">
        <v>0</v>
      </c>
      <c r="W128" s="42" t="n">
        <v>0</v>
      </c>
      <c r="X128" s="42" t="n">
        <v>0</v>
      </c>
      <c r="Y128" s="42" t="n">
        <v>0</v>
      </c>
      <c r="Z128" s="42" t="n">
        <v>0</v>
      </c>
      <c r="AA128" s="42" t="n">
        <v>0</v>
      </c>
      <c r="AB128" s="42" t="n">
        <v>0</v>
      </c>
      <c r="AC128" s="42" t="n">
        <v>0</v>
      </c>
      <c r="AD128" s="42" t="n">
        <v>0</v>
      </c>
      <c r="AE128" s="42" t="n">
        <v>0</v>
      </c>
      <c r="AF128" s="42" t="n">
        <v>0</v>
      </c>
      <c r="AG128" s="42" t="n">
        <v>0</v>
      </c>
      <c r="AH128" s="42" t="n">
        <v>0</v>
      </c>
      <c r="AI128" s="42" t="n">
        <v>0</v>
      </c>
      <c r="AJ128" s="42" t="n">
        <v>0</v>
      </c>
      <c r="AK128" s="42" t="n">
        <v>0</v>
      </c>
      <c r="AL128" s="42" t="n">
        <v>0</v>
      </c>
      <c r="AM128" s="42" t="n">
        <v>0</v>
      </c>
      <c r="AN128" s="42" t="n">
        <v>0</v>
      </c>
      <c r="AO128" s="42" t="n">
        <v>0</v>
      </c>
      <c r="AP128" s="42" t="n">
        <v>0</v>
      </c>
      <c r="AQ128" s="42" t="n">
        <v>0</v>
      </c>
      <c r="AR128" s="42" t="n">
        <v>0</v>
      </c>
      <c r="AS128" s="42" t="n">
        <v>0</v>
      </c>
      <c r="AT128" s="42" t="n">
        <v>0</v>
      </c>
      <c r="AU128" s="42"/>
      <c r="AV128" s="42" t="n">
        <f aca="false">SUM(N128:AU128)</f>
        <v>0</v>
      </c>
      <c r="AW128" s="42" t="n">
        <v>0</v>
      </c>
      <c r="AX128" s="42" t="n">
        <v>0</v>
      </c>
      <c r="AY128" s="42" t="n">
        <f aca="false">+AV128+AW128+AX128</f>
        <v>0</v>
      </c>
      <c r="AZ128" s="42" t="n">
        <f aca="false">+K128-AY128</f>
        <v>0</v>
      </c>
      <c r="BA128" s="56"/>
    </row>
    <row r="129" customFormat="false" ht="12.75" hidden="false" customHeight="false" outlineLevel="0" collapsed="false">
      <c r="A129" s="37" t="s">
        <v>36</v>
      </c>
      <c r="B129" s="38" t="s">
        <v>294</v>
      </c>
      <c r="C129" s="39" t="s">
        <v>91</v>
      </c>
      <c r="D129" s="40" t="n">
        <v>100114</v>
      </c>
      <c r="E129" s="41" t="n">
        <v>0</v>
      </c>
      <c r="F129" s="42" t="n">
        <v>0</v>
      </c>
      <c r="G129" s="42" t="n">
        <v>0</v>
      </c>
      <c r="H129" s="41" t="n">
        <v>0</v>
      </c>
      <c r="I129" s="41" t="n">
        <v>0</v>
      </c>
      <c r="J129" s="41" t="n">
        <v>48198</v>
      </c>
      <c r="K129" s="42" t="n">
        <f aca="false">SUM(E129:J129)</f>
        <v>48198</v>
      </c>
      <c r="L129" s="43"/>
      <c r="M129" s="41" t="s">
        <v>295</v>
      </c>
      <c r="N129" s="42" t="n">
        <v>0</v>
      </c>
      <c r="O129" s="42" t="n">
        <v>0</v>
      </c>
      <c r="P129" s="42" t="n">
        <v>0</v>
      </c>
      <c r="Q129" s="42"/>
      <c r="R129" s="42" t="n">
        <v>0</v>
      </c>
      <c r="S129" s="42" t="n">
        <v>0</v>
      </c>
      <c r="T129" s="42" t="n">
        <v>0</v>
      </c>
      <c r="U129" s="42" t="n">
        <v>0</v>
      </c>
      <c r="V129" s="42" t="n">
        <v>0</v>
      </c>
      <c r="W129" s="42" t="n">
        <v>0</v>
      </c>
      <c r="X129" s="42" t="n">
        <v>0</v>
      </c>
      <c r="Y129" s="42" t="n">
        <v>0</v>
      </c>
      <c r="Z129" s="42" t="n">
        <v>0</v>
      </c>
      <c r="AA129" s="42" t="n">
        <v>0</v>
      </c>
      <c r="AB129" s="42" t="n">
        <v>0</v>
      </c>
      <c r="AC129" s="42" t="n">
        <v>0</v>
      </c>
      <c r="AD129" s="42" t="n">
        <v>0</v>
      </c>
      <c r="AE129" s="42" t="n">
        <v>0</v>
      </c>
      <c r="AF129" s="42" t="n">
        <v>0</v>
      </c>
      <c r="AG129" s="42" t="n">
        <v>0</v>
      </c>
      <c r="AH129" s="42" t="n">
        <v>0</v>
      </c>
      <c r="AI129" s="42" t="n">
        <v>0</v>
      </c>
      <c r="AJ129" s="42" t="n">
        <v>0</v>
      </c>
      <c r="AK129" s="42" t="n">
        <v>0</v>
      </c>
      <c r="AL129" s="42" t="n">
        <v>0</v>
      </c>
      <c r="AM129" s="42" t="n">
        <v>0</v>
      </c>
      <c r="AN129" s="42" t="n">
        <v>0</v>
      </c>
      <c r="AO129" s="42" t="n">
        <v>0</v>
      </c>
      <c r="AP129" s="42" t="n">
        <v>0</v>
      </c>
      <c r="AQ129" s="42" t="n">
        <v>0</v>
      </c>
      <c r="AR129" s="42" t="n">
        <v>0</v>
      </c>
      <c r="AS129" s="42" t="n">
        <v>0</v>
      </c>
      <c r="AT129" s="42" t="n">
        <v>0</v>
      </c>
      <c r="AU129" s="42"/>
      <c r="AV129" s="42" t="n">
        <f aca="false">SUM(N129:AU129)</f>
        <v>0</v>
      </c>
      <c r="AW129" s="42" t="n">
        <v>48198</v>
      </c>
      <c r="AX129" s="42" t="n">
        <v>0</v>
      </c>
      <c r="AY129" s="42" t="n">
        <f aca="false">+AV129+AW129+AX129</f>
        <v>48198</v>
      </c>
      <c r="AZ129" s="42" t="n">
        <f aca="false">+K129-AY129</f>
        <v>0</v>
      </c>
      <c r="BA129" s="56"/>
    </row>
    <row r="130" customFormat="false" ht="12.75" hidden="false" customHeight="false" outlineLevel="0" collapsed="false">
      <c r="A130" s="47" t="n">
        <v>11</v>
      </c>
      <c r="B130" s="48" t="s">
        <v>296</v>
      </c>
      <c r="C130" s="48" t="s">
        <v>297</v>
      </c>
      <c r="D130" s="49" t="n">
        <v>100144</v>
      </c>
      <c r="E130" s="50" t="n">
        <f aca="false">505+45+95</f>
        <v>645</v>
      </c>
      <c r="F130" s="45" t="n">
        <v>127</v>
      </c>
      <c r="G130" s="45" t="n">
        <v>-1153</v>
      </c>
      <c r="H130" s="50" t="n">
        <f aca="false">42+84+314</f>
        <v>440</v>
      </c>
      <c r="I130" s="50" t="n">
        <f aca="false">8+53</f>
        <v>61</v>
      </c>
      <c r="J130" s="50" t="n">
        <v>46</v>
      </c>
      <c r="K130" s="42" t="n">
        <f aca="false">SUM(E130:J130)</f>
        <v>166</v>
      </c>
      <c r="L130" s="51"/>
      <c r="M130" s="50" t="s">
        <v>250</v>
      </c>
      <c r="N130" s="45" t="n">
        <v>0</v>
      </c>
      <c r="O130" s="45" t="n">
        <v>0</v>
      </c>
      <c r="P130" s="45" t="n">
        <v>0</v>
      </c>
      <c r="Q130" s="45" t="n">
        <v>0</v>
      </c>
      <c r="R130" s="45" t="n">
        <v>0</v>
      </c>
      <c r="S130" s="45" t="n">
        <v>0</v>
      </c>
      <c r="T130" s="45" t="n">
        <v>0</v>
      </c>
      <c r="U130" s="45" t="n">
        <v>0</v>
      </c>
      <c r="V130" s="45" t="n">
        <v>0</v>
      </c>
      <c r="W130" s="42" t="n">
        <v>0</v>
      </c>
      <c r="X130" s="45" t="n">
        <v>0</v>
      </c>
      <c r="Y130" s="45" t="n">
        <v>0</v>
      </c>
      <c r="Z130" s="45" t="n">
        <v>0</v>
      </c>
      <c r="AA130" s="45" t="n">
        <v>0</v>
      </c>
      <c r="AB130" s="45" t="n">
        <v>0</v>
      </c>
      <c r="AC130" s="45" t="n">
        <v>0</v>
      </c>
      <c r="AD130" s="45" t="n">
        <v>0</v>
      </c>
      <c r="AE130" s="45" t="n">
        <v>0</v>
      </c>
      <c r="AF130" s="45" t="n">
        <v>0</v>
      </c>
      <c r="AG130" s="45" t="n">
        <v>0</v>
      </c>
      <c r="AH130" s="45" t="n">
        <v>0</v>
      </c>
      <c r="AI130" s="45" t="n">
        <v>0</v>
      </c>
      <c r="AJ130" s="45" t="n">
        <v>0</v>
      </c>
      <c r="AK130" s="45" t="n">
        <v>0</v>
      </c>
      <c r="AL130" s="45" t="n">
        <v>0</v>
      </c>
      <c r="AM130" s="45" t="n">
        <v>0</v>
      </c>
      <c r="AN130" s="42" t="n">
        <v>0</v>
      </c>
      <c r="AO130" s="42" t="n">
        <v>0</v>
      </c>
      <c r="AP130" s="42" t="n">
        <v>0</v>
      </c>
      <c r="AQ130" s="42" t="n">
        <v>0</v>
      </c>
      <c r="AR130" s="42" t="n">
        <v>0</v>
      </c>
      <c r="AS130" s="42" t="n">
        <v>0</v>
      </c>
      <c r="AT130" s="42" t="n">
        <v>0</v>
      </c>
      <c r="AU130" s="45"/>
      <c r="AV130" s="45" t="n">
        <f aca="false">SUM(N130:AU130)</f>
        <v>0</v>
      </c>
      <c r="AW130" s="45" t="n">
        <v>166</v>
      </c>
      <c r="AX130" s="42" t="n">
        <v>0</v>
      </c>
      <c r="AY130" s="42" t="n">
        <f aca="false">+AV130+AW130+AX130</f>
        <v>166</v>
      </c>
      <c r="AZ130" s="45" t="n">
        <f aca="false">+K130-AY130</f>
        <v>0</v>
      </c>
      <c r="BA130" s="57"/>
    </row>
    <row r="131" customFormat="false" ht="12.75" hidden="false" customHeight="false" outlineLevel="0" collapsed="false">
      <c r="A131" s="37" t="n">
        <v>11</v>
      </c>
      <c r="B131" s="39" t="s">
        <v>298</v>
      </c>
      <c r="C131" s="39" t="s">
        <v>261</v>
      </c>
      <c r="D131" s="40" t="n">
        <v>100226</v>
      </c>
      <c r="E131" s="41" t="n">
        <v>0</v>
      </c>
      <c r="F131" s="42" t="n">
        <v>0</v>
      </c>
      <c r="G131" s="42" t="n">
        <v>0</v>
      </c>
      <c r="H131" s="41" t="n">
        <v>0</v>
      </c>
      <c r="I131" s="41" t="n">
        <v>0</v>
      </c>
      <c r="J131" s="41" t="n">
        <v>34444</v>
      </c>
      <c r="K131" s="42" t="n">
        <f aca="false">SUM(E131:J131)</f>
        <v>34444</v>
      </c>
      <c r="L131" s="43"/>
      <c r="M131" s="41" t="s">
        <v>156</v>
      </c>
      <c r="N131" s="42" t="n">
        <v>1393</v>
      </c>
      <c r="O131" s="42" t="n">
        <v>6008</v>
      </c>
      <c r="P131" s="42" t="n">
        <v>420</v>
      </c>
      <c r="Q131" s="42" t="n">
        <v>999</v>
      </c>
      <c r="R131" s="42" t="n">
        <v>21</v>
      </c>
      <c r="S131" s="42" t="n">
        <v>460</v>
      </c>
      <c r="T131" s="42" t="n">
        <v>8</v>
      </c>
      <c r="U131" s="42" t="n">
        <v>5241</v>
      </c>
      <c r="V131" s="42" t="n">
        <f aca="false">240-80-5</f>
        <v>155</v>
      </c>
      <c r="W131" s="42" t="n">
        <f aca="false">80+5</f>
        <v>85</v>
      </c>
      <c r="X131" s="42" t="n">
        <f aca="false">8492-535-357</f>
        <v>7600</v>
      </c>
      <c r="Y131" s="42" t="n">
        <v>10</v>
      </c>
      <c r="Z131" s="42" t="n">
        <v>2019</v>
      </c>
      <c r="AA131" s="42" t="n">
        <v>152</v>
      </c>
      <c r="AB131" s="42" t="n">
        <v>903</v>
      </c>
      <c r="AC131" s="42" t="n">
        <v>63</v>
      </c>
      <c r="AD131" s="42" t="n">
        <v>1514</v>
      </c>
      <c r="AE131" s="42" t="n">
        <v>949</v>
      </c>
      <c r="AF131" s="42" t="n">
        <v>1045</v>
      </c>
      <c r="AG131" s="42" t="n">
        <v>0</v>
      </c>
      <c r="AH131" s="42" t="n">
        <v>155</v>
      </c>
      <c r="AI131" s="42" t="n">
        <v>218</v>
      </c>
      <c r="AJ131" s="42" t="n">
        <v>131</v>
      </c>
      <c r="AK131" s="42" t="n">
        <v>85</v>
      </c>
      <c r="AL131" s="42" t="n">
        <f aca="false">1313-722</f>
        <v>591</v>
      </c>
      <c r="AM131" s="42" t="n">
        <v>508</v>
      </c>
      <c r="AN131" s="42" t="n">
        <v>0</v>
      </c>
      <c r="AO131" s="42" t="n">
        <f aca="false">535+722</f>
        <v>1257</v>
      </c>
      <c r="AP131" s="42" t="n">
        <v>357</v>
      </c>
      <c r="AQ131" s="42" t="n">
        <v>0</v>
      </c>
      <c r="AR131" s="42" t="n">
        <v>0</v>
      </c>
      <c r="AS131" s="42" t="n">
        <v>0</v>
      </c>
      <c r="AT131" s="42" t="n">
        <v>0</v>
      </c>
      <c r="AU131" s="42"/>
      <c r="AV131" s="45" t="n">
        <f aca="false">SUM(N131:AU131)</f>
        <v>32347</v>
      </c>
      <c r="AW131" s="42" t="n">
        <f aca="false">2097</f>
        <v>2097</v>
      </c>
      <c r="AX131" s="42" t="n">
        <v>0</v>
      </c>
      <c r="AY131" s="42" t="n">
        <f aca="false">+AV131+AW131+AX131</f>
        <v>34444</v>
      </c>
      <c r="AZ131" s="42" t="n">
        <f aca="false">+K131-AY131</f>
        <v>0</v>
      </c>
      <c r="BA131" s="56"/>
    </row>
    <row r="132" customFormat="false" ht="12.75" hidden="false" customHeight="false" outlineLevel="0" collapsed="false">
      <c r="A132" s="37" t="n">
        <v>11</v>
      </c>
      <c r="B132" s="39" t="s">
        <v>299</v>
      </c>
      <c r="C132" s="39" t="s">
        <v>300</v>
      </c>
      <c r="D132" s="40" t="n">
        <v>100245</v>
      </c>
      <c r="E132" s="41" t="n">
        <f aca="false">218+14+30</f>
        <v>262</v>
      </c>
      <c r="F132" s="42" t="n">
        <v>25</v>
      </c>
      <c r="G132" s="42" t="n">
        <v>0</v>
      </c>
      <c r="H132" s="41" t="n">
        <v>50</v>
      </c>
      <c r="I132" s="41" t="n">
        <v>0</v>
      </c>
      <c r="J132" s="41" t="n">
        <v>34900</v>
      </c>
      <c r="K132" s="42" t="n">
        <f aca="false">SUM(E132:J132)</f>
        <v>35237</v>
      </c>
      <c r="L132" s="43"/>
      <c r="M132" s="41" t="s">
        <v>250</v>
      </c>
      <c r="N132" s="42" t="n">
        <v>0</v>
      </c>
      <c r="O132" s="42" t="n">
        <v>0</v>
      </c>
      <c r="P132" s="42" t="n">
        <v>0</v>
      </c>
      <c r="Q132" s="42" t="n">
        <v>0</v>
      </c>
      <c r="R132" s="42" t="n">
        <v>0</v>
      </c>
      <c r="S132" s="42" t="n">
        <v>0</v>
      </c>
      <c r="T132" s="42" t="n">
        <v>0</v>
      </c>
      <c r="U132" s="42" t="n">
        <v>0</v>
      </c>
      <c r="V132" s="42" t="n">
        <v>0</v>
      </c>
      <c r="W132" s="42" t="n">
        <v>0</v>
      </c>
      <c r="X132" s="42" t="n">
        <v>0</v>
      </c>
      <c r="Y132" s="42" t="n">
        <v>0</v>
      </c>
      <c r="Z132" s="42" t="n">
        <v>0</v>
      </c>
      <c r="AA132" s="42" t="n">
        <v>0</v>
      </c>
      <c r="AB132" s="42" t="n">
        <v>700</v>
      </c>
      <c r="AC132" s="42" t="n">
        <v>0</v>
      </c>
      <c r="AD132" s="42" t="n">
        <v>0</v>
      </c>
      <c r="AE132" s="42" t="n">
        <v>0</v>
      </c>
      <c r="AF132" s="42" t="n">
        <v>0</v>
      </c>
      <c r="AG132" s="42" t="n">
        <v>0</v>
      </c>
      <c r="AH132" s="42" t="n">
        <v>3600</v>
      </c>
      <c r="AI132" s="42" t="n">
        <v>20000</v>
      </c>
      <c r="AJ132" s="42" t="n">
        <v>5300</v>
      </c>
      <c r="AK132" s="42" t="n">
        <v>0</v>
      </c>
      <c r="AL132" s="42" t="n">
        <f aca="false">3200-800</f>
        <v>2400</v>
      </c>
      <c r="AM132" s="42" t="n">
        <v>0</v>
      </c>
      <c r="AN132" s="42" t="n">
        <v>0</v>
      </c>
      <c r="AO132" s="42" t="n">
        <v>800</v>
      </c>
      <c r="AP132" s="42" t="n">
        <v>0</v>
      </c>
      <c r="AQ132" s="42" t="n">
        <v>2100</v>
      </c>
      <c r="AR132" s="42" t="n">
        <v>0</v>
      </c>
      <c r="AS132" s="42" t="n">
        <v>0</v>
      </c>
      <c r="AT132" s="42" t="n">
        <v>0</v>
      </c>
      <c r="AU132" s="42"/>
      <c r="AV132" s="45" t="n">
        <f aca="false">SUM(N132:AU132)</f>
        <v>34900</v>
      </c>
      <c r="AW132" s="42" t="n">
        <v>337</v>
      </c>
      <c r="AX132" s="42"/>
      <c r="AY132" s="42" t="n">
        <f aca="false">+AV132+AW132+AX132</f>
        <v>35237</v>
      </c>
      <c r="AZ132" s="42" t="n">
        <f aca="false">+K132-AY132</f>
        <v>0</v>
      </c>
      <c r="BA132" s="56"/>
    </row>
    <row r="133" customFormat="false" ht="12.75" hidden="false" customHeight="false" outlineLevel="0" collapsed="false">
      <c r="A133" s="37" t="n">
        <v>11</v>
      </c>
      <c r="B133" s="39" t="s">
        <v>301</v>
      </c>
      <c r="C133" s="39" t="s">
        <v>302</v>
      </c>
      <c r="D133" s="40" t="n">
        <v>100818</v>
      </c>
      <c r="E133" s="41" t="n">
        <f aca="false">696+42+64</f>
        <v>802</v>
      </c>
      <c r="F133" s="42" t="n">
        <v>203</v>
      </c>
      <c r="G133" s="42" t="n">
        <v>90</v>
      </c>
      <c r="H133" s="41" t="n">
        <f aca="false">13+6+12</f>
        <v>31</v>
      </c>
      <c r="I133" s="41" t="n">
        <f aca="false">6+66</f>
        <v>72</v>
      </c>
      <c r="J133" s="41" t="n">
        <v>183</v>
      </c>
      <c r="K133" s="42" t="n">
        <f aca="false">SUM(E133:J133)</f>
        <v>1381</v>
      </c>
      <c r="L133" s="43"/>
      <c r="M133" s="41" t="s">
        <v>303</v>
      </c>
      <c r="N133" s="42" t="n">
        <v>0</v>
      </c>
      <c r="O133" s="42" t="n">
        <v>0</v>
      </c>
      <c r="P133" s="42" t="n">
        <v>0</v>
      </c>
      <c r="Q133" s="42" t="n">
        <v>0</v>
      </c>
      <c r="R133" s="42" t="n">
        <v>0</v>
      </c>
      <c r="S133" s="42" t="n">
        <v>0</v>
      </c>
      <c r="T133" s="42" t="n">
        <v>0</v>
      </c>
      <c r="U133" s="42" t="n">
        <v>0</v>
      </c>
      <c r="V133" s="42" t="n">
        <v>0</v>
      </c>
      <c r="W133" s="42" t="n">
        <v>0</v>
      </c>
      <c r="X133" s="42" t="n">
        <v>0</v>
      </c>
      <c r="Y133" s="42" t="n">
        <v>0</v>
      </c>
      <c r="Z133" s="42" t="n">
        <v>0</v>
      </c>
      <c r="AA133" s="42" t="n">
        <v>0</v>
      </c>
      <c r="AB133" s="42" t="n">
        <v>0</v>
      </c>
      <c r="AC133" s="42" t="n">
        <v>0</v>
      </c>
      <c r="AD133" s="42" t="n">
        <v>276</v>
      </c>
      <c r="AE133" s="42" t="n">
        <v>276</v>
      </c>
      <c r="AF133" s="42" t="n">
        <v>0</v>
      </c>
      <c r="AG133" s="42" t="n">
        <v>0</v>
      </c>
      <c r="AH133" s="42" t="n">
        <v>0</v>
      </c>
      <c r="AI133" s="42" t="n">
        <v>0</v>
      </c>
      <c r="AJ133" s="42" t="n">
        <v>0</v>
      </c>
      <c r="AK133" s="42" t="n">
        <v>0</v>
      </c>
      <c r="AL133" s="42" t="n">
        <f aca="false">276</f>
        <v>276</v>
      </c>
      <c r="AM133" s="42" t="n">
        <v>0</v>
      </c>
      <c r="AN133" s="42" t="n">
        <v>0</v>
      </c>
      <c r="AO133" s="42" t="n">
        <v>553</v>
      </c>
      <c r="AP133" s="42" t="n">
        <v>0</v>
      </c>
      <c r="AQ133" s="42" t="n">
        <v>0</v>
      </c>
      <c r="AR133" s="42" t="n">
        <v>0</v>
      </c>
      <c r="AS133" s="42" t="n">
        <v>0</v>
      </c>
      <c r="AT133" s="42" t="n">
        <v>0</v>
      </c>
      <c r="AU133" s="42"/>
      <c r="AV133" s="45" t="n">
        <f aca="false">SUM(N133:AU133)</f>
        <v>1381</v>
      </c>
      <c r="AW133" s="42" t="n">
        <v>0</v>
      </c>
      <c r="AX133" s="42" t="n">
        <v>0</v>
      </c>
      <c r="AY133" s="42" t="n">
        <f aca="false">+AV133+AW133+AX133</f>
        <v>1381</v>
      </c>
      <c r="AZ133" s="42" t="n">
        <f aca="false">+K133-AY133</f>
        <v>0</v>
      </c>
      <c r="BA133" s="56"/>
    </row>
    <row r="134" customFormat="false" ht="12.75" hidden="false" customHeight="false" outlineLevel="0" collapsed="false">
      <c r="A134" s="37" t="n">
        <v>11</v>
      </c>
      <c r="B134" s="39" t="s">
        <v>304</v>
      </c>
      <c r="C134" s="39" t="s">
        <v>305</v>
      </c>
      <c r="D134" s="40" t="n">
        <v>100830</v>
      </c>
      <c r="E134" s="41" t="n">
        <f aca="false">275+17+24</f>
        <v>316</v>
      </c>
      <c r="F134" s="42" t="n">
        <v>60</v>
      </c>
      <c r="G134" s="42" t="n">
        <v>0</v>
      </c>
      <c r="H134" s="41" t="n">
        <v>0</v>
      </c>
      <c r="I134" s="41" t="n">
        <f aca="false">18+18</f>
        <v>36</v>
      </c>
      <c r="J134" s="41" t="n">
        <v>-200</v>
      </c>
      <c r="K134" s="42" t="n">
        <f aca="false">SUM(E134:J134)</f>
        <v>212</v>
      </c>
      <c r="L134" s="43"/>
      <c r="M134" s="41" t="s">
        <v>111</v>
      </c>
      <c r="N134" s="42" t="n">
        <v>3</v>
      </c>
      <c r="O134" s="42" t="n">
        <v>6</v>
      </c>
      <c r="P134" s="42" t="n">
        <v>7</v>
      </c>
      <c r="Q134" s="42" t="n">
        <v>7</v>
      </c>
      <c r="R134" s="42" t="n">
        <v>1</v>
      </c>
      <c r="S134" s="42" t="n">
        <v>0</v>
      </c>
      <c r="T134" s="42" t="n">
        <v>4</v>
      </c>
      <c r="U134" s="42" t="n">
        <v>25</v>
      </c>
      <c r="V134" s="42" t="n">
        <v>4</v>
      </c>
      <c r="W134" s="42" t="n">
        <v>2</v>
      </c>
      <c r="X134" s="42" t="n">
        <v>34</v>
      </c>
      <c r="Y134" s="42" t="n">
        <v>0</v>
      </c>
      <c r="Z134" s="42" t="n">
        <v>4</v>
      </c>
      <c r="AA134" s="42" t="n">
        <v>1</v>
      </c>
      <c r="AB134" s="42" t="n">
        <v>0</v>
      </c>
      <c r="AC134" s="42" t="n">
        <v>2</v>
      </c>
      <c r="AD134" s="42" t="n">
        <v>31</v>
      </c>
      <c r="AE134" s="42" t="n">
        <v>25</v>
      </c>
      <c r="AF134" s="42" t="n">
        <v>0</v>
      </c>
      <c r="AG134" s="42" t="n">
        <v>0</v>
      </c>
      <c r="AH134" s="42" t="n">
        <v>2</v>
      </c>
      <c r="AI134" s="42" t="n">
        <v>2</v>
      </c>
      <c r="AJ134" s="42" t="n">
        <v>1</v>
      </c>
      <c r="AK134" s="42" t="n">
        <v>2</v>
      </c>
      <c r="AL134" s="42" t="n">
        <v>1</v>
      </c>
      <c r="AM134" s="42" t="n">
        <v>16</v>
      </c>
      <c r="AN134" s="42" t="n">
        <v>0</v>
      </c>
      <c r="AO134" s="42" t="n">
        <v>9</v>
      </c>
      <c r="AP134" s="42" t="n">
        <v>2</v>
      </c>
      <c r="AQ134" s="42" t="n">
        <v>0</v>
      </c>
      <c r="AR134" s="42" t="n">
        <v>0</v>
      </c>
      <c r="AS134" s="42" t="n">
        <v>0</v>
      </c>
      <c r="AT134" s="42" t="n">
        <v>0</v>
      </c>
      <c r="AU134" s="42"/>
      <c r="AV134" s="42" t="n">
        <f aca="false">SUM(N134:AU134)</f>
        <v>191</v>
      </c>
      <c r="AW134" s="42" t="n">
        <v>21</v>
      </c>
      <c r="AX134" s="42" t="n">
        <v>0</v>
      </c>
      <c r="AY134" s="42" t="n">
        <f aca="false">+AV134+AW134+AX134</f>
        <v>212</v>
      </c>
      <c r="AZ134" s="42" t="n">
        <f aca="false">+K134-AY134</f>
        <v>0</v>
      </c>
      <c r="BA134" s="56"/>
    </row>
    <row r="135" customFormat="false" ht="12.75" hidden="false" customHeight="false" outlineLevel="0" collapsed="false">
      <c r="A135" s="47" t="n">
        <v>11</v>
      </c>
      <c r="B135" s="48" t="s">
        <v>306</v>
      </c>
      <c r="C135" s="48" t="s">
        <v>307</v>
      </c>
      <c r="D135" s="49" t="n">
        <v>100865</v>
      </c>
      <c r="E135" s="50" t="n">
        <v>0</v>
      </c>
      <c r="F135" s="45" t="n">
        <v>0</v>
      </c>
      <c r="G135" s="45" t="n">
        <v>0</v>
      </c>
      <c r="H135" s="50" t="n">
        <v>0</v>
      </c>
      <c r="I135" s="50" t="n">
        <v>12</v>
      </c>
      <c r="J135" s="50" t="n">
        <v>0</v>
      </c>
      <c r="K135" s="42" t="n">
        <f aca="false">SUM(E135:J135)</f>
        <v>12</v>
      </c>
      <c r="L135" s="51"/>
      <c r="M135" s="50" t="s">
        <v>134</v>
      </c>
      <c r="N135" s="45" t="n">
        <v>0</v>
      </c>
      <c r="O135" s="45" t="n">
        <v>0</v>
      </c>
      <c r="P135" s="45" t="n">
        <v>0</v>
      </c>
      <c r="Q135" s="45" t="n">
        <v>0</v>
      </c>
      <c r="R135" s="45" t="n">
        <v>0</v>
      </c>
      <c r="S135" s="45" t="n">
        <v>0</v>
      </c>
      <c r="T135" s="45" t="n">
        <v>0</v>
      </c>
      <c r="U135" s="45" t="n">
        <v>0</v>
      </c>
      <c r="V135" s="45" t="n">
        <v>0</v>
      </c>
      <c r="W135" s="42" t="n">
        <v>0</v>
      </c>
      <c r="X135" s="45" t="n">
        <v>0</v>
      </c>
      <c r="Y135" s="45" t="n">
        <v>0</v>
      </c>
      <c r="Z135" s="45" t="n">
        <v>0</v>
      </c>
      <c r="AA135" s="45" t="n">
        <v>0</v>
      </c>
      <c r="AB135" s="45" t="n">
        <v>0</v>
      </c>
      <c r="AC135" s="45" t="n">
        <v>0</v>
      </c>
      <c r="AD135" s="45" t="n">
        <v>0</v>
      </c>
      <c r="AE135" s="45" t="n">
        <v>0</v>
      </c>
      <c r="AF135" s="45" t="n">
        <v>0</v>
      </c>
      <c r="AG135" s="45" t="n">
        <v>0</v>
      </c>
      <c r="AH135" s="45" t="n">
        <v>0</v>
      </c>
      <c r="AI135" s="45" t="n">
        <v>0</v>
      </c>
      <c r="AJ135" s="45" t="n">
        <v>0</v>
      </c>
      <c r="AK135" s="45" t="n">
        <v>0</v>
      </c>
      <c r="AL135" s="45" t="n">
        <v>0</v>
      </c>
      <c r="AM135" s="45" t="n">
        <v>0</v>
      </c>
      <c r="AN135" s="45" t="n">
        <v>0</v>
      </c>
      <c r="AO135" s="42" t="n">
        <v>0</v>
      </c>
      <c r="AP135" s="42" t="n">
        <v>0</v>
      </c>
      <c r="AQ135" s="42" t="n">
        <v>0</v>
      </c>
      <c r="AR135" s="42" t="n">
        <v>0</v>
      </c>
      <c r="AS135" s="42" t="n">
        <v>0</v>
      </c>
      <c r="AT135" s="42" t="n">
        <v>0</v>
      </c>
      <c r="AU135" s="45"/>
      <c r="AV135" s="45" t="n">
        <f aca="false">SUM(N135:AU135)</f>
        <v>0</v>
      </c>
      <c r="AW135" s="45" t="n">
        <v>12</v>
      </c>
      <c r="AX135" s="42" t="n">
        <v>0</v>
      </c>
      <c r="AY135" s="42" t="n">
        <f aca="false">+AV135+AW135+AX135</f>
        <v>12</v>
      </c>
      <c r="AZ135" s="45" t="n">
        <f aca="false">+K135-AY135</f>
        <v>0</v>
      </c>
      <c r="BA135" s="57"/>
    </row>
    <row r="136" customFormat="false" ht="12.75" hidden="false" customHeight="false" outlineLevel="0" collapsed="false">
      <c r="A136" s="47" t="n">
        <v>11</v>
      </c>
      <c r="B136" s="48" t="s">
        <v>308</v>
      </c>
      <c r="C136" s="48" t="s">
        <v>309</v>
      </c>
      <c r="D136" s="49" t="n">
        <v>100870</v>
      </c>
      <c r="E136" s="50" t="n">
        <f aca="false">393+35+56</f>
        <v>484</v>
      </c>
      <c r="F136" s="45" t="n">
        <v>43</v>
      </c>
      <c r="G136" s="45" t="n">
        <v>5</v>
      </c>
      <c r="H136" s="50" t="n">
        <f aca="false">1+1</f>
        <v>2</v>
      </c>
      <c r="I136" s="50" t="n">
        <v>1</v>
      </c>
      <c r="J136" s="50" t="n">
        <v>6</v>
      </c>
      <c r="K136" s="42" t="n">
        <f aca="false">SUM(E136:J136)</f>
        <v>541</v>
      </c>
      <c r="L136" s="51"/>
      <c r="M136" s="41" t="s">
        <v>156</v>
      </c>
      <c r="N136" s="42" t="n">
        <v>0</v>
      </c>
      <c r="O136" s="42" t="n">
        <v>0</v>
      </c>
      <c r="P136" s="42" t="n">
        <v>259</v>
      </c>
      <c r="Q136" s="42" t="n">
        <v>280</v>
      </c>
      <c r="R136" s="42" t="n">
        <v>0</v>
      </c>
      <c r="S136" s="42" t="n">
        <v>0</v>
      </c>
      <c r="T136" s="42" t="n">
        <v>0</v>
      </c>
      <c r="U136" s="42" t="n">
        <v>0</v>
      </c>
      <c r="V136" s="42" t="n">
        <v>0</v>
      </c>
      <c r="W136" s="42" t="n">
        <v>0</v>
      </c>
      <c r="X136" s="42" t="n">
        <v>0</v>
      </c>
      <c r="Y136" s="42" t="n">
        <v>0</v>
      </c>
      <c r="Z136" s="42" t="n">
        <v>0</v>
      </c>
      <c r="AA136" s="42" t="n">
        <v>0</v>
      </c>
      <c r="AB136" s="42" t="n">
        <v>0</v>
      </c>
      <c r="AC136" s="42" t="n">
        <v>0</v>
      </c>
      <c r="AD136" s="42" t="n">
        <v>0</v>
      </c>
      <c r="AE136" s="42" t="n">
        <v>0</v>
      </c>
      <c r="AF136" s="42" t="n">
        <v>0</v>
      </c>
      <c r="AG136" s="42" t="n">
        <v>0</v>
      </c>
      <c r="AH136" s="42" t="n">
        <v>0</v>
      </c>
      <c r="AI136" s="42" t="n">
        <v>0</v>
      </c>
      <c r="AJ136" s="42" t="n">
        <v>0</v>
      </c>
      <c r="AK136" s="42" t="n">
        <v>0</v>
      </c>
      <c r="AL136" s="42" t="n">
        <v>0</v>
      </c>
      <c r="AM136" s="45" t="n">
        <v>0</v>
      </c>
      <c r="AN136" s="45" t="n">
        <v>0</v>
      </c>
      <c r="AO136" s="42" t="n">
        <v>0</v>
      </c>
      <c r="AP136" s="42" t="n">
        <v>0</v>
      </c>
      <c r="AQ136" s="42" t="n">
        <v>0</v>
      </c>
      <c r="AR136" s="42" t="n">
        <v>0</v>
      </c>
      <c r="AS136" s="42" t="n">
        <v>0</v>
      </c>
      <c r="AT136" s="42" t="n">
        <v>0</v>
      </c>
      <c r="AU136" s="45"/>
      <c r="AV136" s="45" t="n">
        <f aca="false">SUM(N136:AU136)</f>
        <v>539</v>
      </c>
      <c r="AW136" s="42" t="n">
        <v>2</v>
      </c>
      <c r="AX136" s="42" t="n">
        <v>0</v>
      </c>
      <c r="AY136" s="42" t="n">
        <f aca="false">+AV136+AW136+AX136</f>
        <v>541</v>
      </c>
      <c r="AZ136" s="42" t="n">
        <f aca="false">+K136-AY136</f>
        <v>0</v>
      </c>
      <c r="BA136" s="57"/>
    </row>
    <row r="137" customFormat="false" ht="12.75" hidden="false" customHeight="false" outlineLevel="0" collapsed="false">
      <c r="A137" s="37" t="n">
        <v>11</v>
      </c>
      <c r="B137" s="39" t="s">
        <v>310</v>
      </c>
      <c r="C137" s="39" t="s">
        <v>311</v>
      </c>
      <c r="D137" s="40" t="n">
        <v>100872</v>
      </c>
      <c r="E137" s="41" t="n">
        <f aca="false">520+54+86</f>
        <v>660</v>
      </c>
      <c r="F137" s="42" t="n">
        <v>64</v>
      </c>
      <c r="G137" s="42" t="n">
        <v>7</v>
      </c>
      <c r="H137" s="41" t="n">
        <f aca="false">18+7</f>
        <v>25</v>
      </c>
      <c r="I137" s="41" t="n">
        <f aca="false">2+77</f>
        <v>79</v>
      </c>
      <c r="J137" s="41" t="n">
        <v>5</v>
      </c>
      <c r="K137" s="42" t="n">
        <f aca="false">SUM(E137:J137)</f>
        <v>840</v>
      </c>
      <c r="L137" s="43"/>
      <c r="M137" s="41" t="s">
        <v>156</v>
      </c>
      <c r="N137" s="42" t="n">
        <v>0</v>
      </c>
      <c r="O137" s="42" t="n">
        <v>0</v>
      </c>
      <c r="P137" s="42" t="n">
        <v>0</v>
      </c>
      <c r="Q137" s="42" t="n">
        <v>0</v>
      </c>
      <c r="R137" s="42" t="n">
        <v>0</v>
      </c>
      <c r="S137" s="42" t="n">
        <v>0</v>
      </c>
      <c r="T137" s="42" t="n">
        <v>0</v>
      </c>
      <c r="U137" s="42" t="n">
        <v>0</v>
      </c>
      <c r="V137" s="42" t="n">
        <v>0</v>
      </c>
      <c r="W137" s="42" t="n">
        <v>0</v>
      </c>
      <c r="X137" s="42" t="n">
        <f aca="false">840-194-129</f>
        <v>517</v>
      </c>
      <c r="Y137" s="42" t="n">
        <v>0</v>
      </c>
      <c r="Z137" s="42" t="n">
        <v>0</v>
      </c>
      <c r="AA137" s="42" t="n">
        <v>0</v>
      </c>
      <c r="AB137" s="42" t="n">
        <v>0</v>
      </c>
      <c r="AC137" s="42" t="n">
        <v>0</v>
      </c>
      <c r="AD137" s="42" t="n">
        <v>0</v>
      </c>
      <c r="AE137" s="42" t="n">
        <v>0</v>
      </c>
      <c r="AF137" s="42" t="n">
        <v>0</v>
      </c>
      <c r="AG137" s="42" t="n">
        <v>0</v>
      </c>
      <c r="AH137" s="42" t="n">
        <v>0</v>
      </c>
      <c r="AI137" s="42" t="n">
        <v>0</v>
      </c>
      <c r="AJ137" s="42" t="n">
        <v>0</v>
      </c>
      <c r="AK137" s="42" t="n">
        <v>0</v>
      </c>
      <c r="AL137" s="42" t="n">
        <v>0</v>
      </c>
      <c r="AM137" s="45" t="n">
        <v>0</v>
      </c>
      <c r="AN137" s="45" t="n">
        <v>0</v>
      </c>
      <c r="AO137" s="42" t="n">
        <v>194</v>
      </c>
      <c r="AP137" s="42" t="n">
        <v>129</v>
      </c>
      <c r="AQ137" s="42" t="n">
        <v>0</v>
      </c>
      <c r="AR137" s="42" t="n">
        <v>0</v>
      </c>
      <c r="AS137" s="42" t="n">
        <v>0</v>
      </c>
      <c r="AT137" s="42" t="n">
        <v>0</v>
      </c>
      <c r="AU137" s="42"/>
      <c r="AV137" s="42" t="n">
        <f aca="false">SUM(N137:AU137)</f>
        <v>840</v>
      </c>
      <c r="AW137" s="42" t="n">
        <v>0</v>
      </c>
      <c r="AX137" s="42" t="n">
        <v>0</v>
      </c>
      <c r="AY137" s="42" t="n">
        <f aca="false">+AV137+AW137+AX137</f>
        <v>840</v>
      </c>
      <c r="AZ137" s="42" t="n">
        <f aca="false">+K137-AY137</f>
        <v>0</v>
      </c>
      <c r="BA137" s="56"/>
    </row>
    <row r="138" customFormat="false" ht="12.75" hidden="false" customHeight="false" outlineLevel="0" collapsed="false">
      <c r="A138" s="37" t="n">
        <v>11</v>
      </c>
      <c r="B138" s="39" t="s">
        <v>312</v>
      </c>
      <c r="C138" s="39" t="s">
        <v>311</v>
      </c>
      <c r="D138" s="40" t="n">
        <v>100873</v>
      </c>
      <c r="E138" s="41" t="n">
        <v>0</v>
      </c>
      <c r="F138" s="42" t="n">
        <v>0</v>
      </c>
      <c r="G138" s="42" t="n">
        <v>0</v>
      </c>
      <c r="H138" s="41" t="n">
        <v>0</v>
      </c>
      <c r="I138" s="41" t="n">
        <v>0</v>
      </c>
      <c r="J138" s="41" t="n">
        <v>0</v>
      </c>
      <c r="K138" s="42" t="n">
        <f aca="false">SUM(E138:J138)</f>
        <v>0</v>
      </c>
      <c r="L138" s="43"/>
      <c r="M138" s="41" t="s">
        <v>156</v>
      </c>
      <c r="N138" s="42" t="n">
        <v>0</v>
      </c>
      <c r="O138" s="42" t="n">
        <v>0</v>
      </c>
      <c r="P138" s="42" t="n">
        <v>0</v>
      </c>
      <c r="Q138" s="42" t="n">
        <v>0</v>
      </c>
      <c r="R138" s="42" t="n">
        <v>0</v>
      </c>
      <c r="S138" s="42" t="n">
        <v>0</v>
      </c>
      <c r="T138" s="42" t="n">
        <v>0</v>
      </c>
      <c r="U138" s="42" t="n">
        <v>0</v>
      </c>
      <c r="V138" s="42" t="n">
        <v>0</v>
      </c>
      <c r="W138" s="42" t="n">
        <v>0</v>
      </c>
      <c r="X138" s="42" t="n">
        <v>0</v>
      </c>
      <c r="Y138" s="42" t="n">
        <v>0</v>
      </c>
      <c r="Z138" s="42" t="n">
        <v>0</v>
      </c>
      <c r="AA138" s="42" t="n">
        <v>0</v>
      </c>
      <c r="AB138" s="42" t="n">
        <v>0</v>
      </c>
      <c r="AC138" s="42" t="n">
        <v>0</v>
      </c>
      <c r="AD138" s="42" t="n">
        <v>0</v>
      </c>
      <c r="AE138" s="42" t="n">
        <v>0</v>
      </c>
      <c r="AF138" s="42" t="n">
        <v>0</v>
      </c>
      <c r="AG138" s="42" t="n">
        <v>0</v>
      </c>
      <c r="AH138" s="42" t="n">
        <v>0</v>
      </c>
      <c r="AI138" s="42" t="n">
        <v>0</v>
      </c>
      <c r="AJ138" s="42" t="n">
        <v>0</v>
      </c>
      <c r="AK138" s="42" t="n">
        <v>0</v>
      </c>
      <c r="AL138" s="42" t="n">
        <v>0</v>
      </c>
      <c r="AM138" s="45" t="n">
        <v>0</v>
      </c>
      <c r="AN138" s="45" t="n">
        <v>0</v>
      </c>
      <c r="AO138" s="42" t="n">
        <v>0</v>
      </c>
      <c r="AP138" s="42" t="n">
        <v>0</v>
      </c>
      <c r="AQ138" s="42" t="n">
        <v>0</v>
      </c>
      <c r="AR138" s="42" t="n">
        <v>0</v>
      </c>
      <c r="AS138" s="42" t="n">
        <v>0</v>
      </c>
      <c r="AT138" s="42" t="n">
        <v>0</v>
      </c>
      <c r="AU138" s="42"/>
      <c r="AV138" s="45" t="n">
        <f aca="false">SUM(N138:AU138)</f>
        <v>0</v>
      </c>
      <c r="AW138" s="42" t="n">
        <v>0</v>
      </c>
      <c r="AX138" s="42" t="n">
        <v>0</v>
      </c>
      <c r="AY138" s="42" t="n">
        <f aca="false">+AV138+AW138+AX138</f>
        <v>0</v>
      </c>
      <c r="AZ138" s="42" t="n">
        <f aca="false">+K138-AY138</f>
        <v>0</v>
      </c>
      <c r="BA138" s="56"/>
    </row>
    <row r="139" customFormat="false" ht="12.75" hidden="false" customHeight="false" outlineLevel="0" collapsed="false">
      <c r="A139" s="37" t="n">
        <v>11</v>
      </c>
      <c r="B139" s="39" t="s">
        <v>313</v>
      </c>
      <c r="C139" s="39" t="s">
        <v>314</v>
      </c>
      <c r="D139" s="40" t="n">
        <v>100874</v>
      </c>
      <c r="E139" s="41" t="n">
        <f aca="false">436+52+66</f>
        <v>554</v>
      </c>
      <c r="F139" s="42" t="n">
        <v>77</v>
      </c>
      <c r="G139" s="42" t="n">
        <v>54</v>
      </c>
      <c r="H139" s="41" t="n">
        <v>17</v>
      </c>
      <c r="I139" s="41" t="n">
        <f aca="false">24+172</f>
        <v>196</v>
      </c>
      <c r="J139" s="41" t="n">
        <v>3</v>
      </c>
      <c r="K139" s="42" t="n">
        <f aca="false">SUM(E139:J139)</f>
        <v>901</v>
      </c>
      <c r="L139" s="43"/>
      <c r="M139" s="41" t="s">
        <v>134</v>
      </c>
      <c r="N139" s="42" t="n">
        <v>0</v>
      </c>
      <c r="O139" s="42" t="n">
        <v>0</v>
      </c>
      <c r="P139" s="42" t="n">
        <v>0</v>
      </c>
      <c r="Q139" s="42" t="n">
        <v>0</v>
      </c>
      <c r="R139" s="42" t="n">
        <v>0</v>
      </c>
      <c r="S139" s="42" t="n">
        <v>0</v>
      </c>
      <c r="T139" s="42" t="n">
        <v>0</v>
      </c>
      <c r="U139" s="42" t="n">
        <v>0</v>
      </c>
      <c r="V139" s="42" t="n">
        <v>0</v>
      </c>
      <c r="W139" s="42" t="n">
        <v>0</v>
      </c>
      <c r="X139" s="42" t="n">
        <v>0</v>
      </c>
      <c r="Y139" s="42" t="n">
        <v>0</v>
      </c>
      <c r="Z139" s="42" t="n">
        <v>0</v>
      </c>
      <c r="AA139" s="42" t="n">
        <v>0</v>
      </c>
      <c r="AB139" s="42" t="n">
        <v>0</v>
      </c>
      <c r="AC139" s="42" t="n">
        <v>0</v>
      </c>
      <c r="AD139" s="42" t="n">
        <v>0</v>
      </c>
      <c r="AE139" s="42" t="n">
        <v>0</v>
      </c>
      <c r="AF139" s="42" t="n">
        <v>0</v>
      </c>
      <c r="AG139" s="42" t="n">
        <v>0</v>
      </c>
      <c r="AH139" s="42" t="n">
        <v>0</v>
      </c>
      <c r="AI139" s="42" t="n">
        <v>0</v>
      </c>
      <c r="AJ139" s="42" t="n">
        <v>0</v>
      </c>
      <c r="AK139" s="42" t="n">
        <v>0</v>
      </c>
      <c r="AL139" s="42" t="n">
        <v>0</v>
      </c>
      <c r="AM139" s="45" t="n">
        <v>0</v>
      </c>
      <c r="AN139" s="45" t="n">
        <v>0</v>
      </c>
      <c r="AO139" s="42" t="n">
        <v>0</v>
      </c>
      <c r="AP139" s="42" t="n">
        <v>0</v>
      </c>
      <c r="AQ139" s="42" t="n">
        <v>0</v>
      </c>
      <c r="AR139" s="42" t="n">
        <v>0</v>
      </c>
      <c r="AS139" s="42" t="n">
        <v>0</v>
      </c>
      <c r="AT139" s="42" t="n">
        <v>0</v>
      </c>
      <c r="AU139" s="42"/>
      <c r="AV139" s="42" t="n">
        <f aca="false">SUM(N139:AU139)</f>
        <v>0</v>
      </c>
      <c r="AW139" s="42" t="n">
        <v>901</v>
      </c>
      <c r="AX139" s="42" t="n">
        <v>0</v>
      </c>
      <c r="AY139" s="42" t="n">
        <f aca="false">+AV139+AW139+AX139</f>
        <v>901</v>
      </c>
      <c r="AZ139" s="42" t="n">
        <f aca="false">+K139-AY139</f>
        <v>0</v>
      </c>
      <c r="BA139" s="56"/>
    </row>
    <row r="140" customFormat="false" ht="12.75" hidden="false" customHeight="false" outlineLevel="0" collapsed="false">
      <c r="A140" s="37" t="n">
        <v>11</v>
      </c>
      <c r="B140" s="39" t="s">
        <v>315</v>
      </c>
      <c r="C140" s="39" t="s">
        <v>314</v>
      </c>
      <c r="D140" s="40" t="n">
        <v>100875</v>
      </c>
      <c r="E140" s="41" t="n">
        <f aca="false">405+29+46</f>
        <v>480</v>
      </c>
      <c r="F140" s="42" t="n">
        <v>79</v>
      </c>
      <c r="G140" s="42" t="n">
        <v>0</v>
      </c>
      <c r="H140" s="41" t="n">
        <v>8</v>
      </c>
      <c r="I140" s="41" t="n">
        <f aca="false">3+26</f>
        <v>29</v>
      </c>
      <c r="J140" s="41" t="n">
        <v>8</v>
      </c>
      <c r="K140" s="42" t="n">
        <f aca="false">SUM(E140:J140)</f>
        <v>604</v>
      </c>
      <c r="L140" s="43"/>
      <c r="M140" s="41" t="s">
        <v>134</v>
      </c>
      <c r="N140" s="42" t="n">
        <v>0</v>
      </c>
      <c r="O140" s="42" t="n">
        <v>0</v>
      </c>
      <c r="P140" s="42" t="n">
        <v>0</v>
      </c>
      <c r="Q140" s="42" t="n">
        <v>0</v>
      </c>
      <c r="R140" s="42" t="n">
        <v>0</v>
      </c>
      <c r="S140" s="42" t="n">
        <v>0</v>
      </c>
      <c r="T140" s="42" t="n">
        <v>0</v>
      </c>
      <c r="U140" s="42" t="n">
        <v>0</v>
      </c>
      <c r="V140" s="42" t="n">
        <v>0</v>
      </c>
      <c r="W140" s="42" t="n">
        <v>0</v>
      </c>
      <c r="X140" s="42" t="n">
        <v>0</v>
      </c>
      <c r="Y140" s="42" t="n">
        <v>0</v>
      </c>
      <c r="Z140" s="42" t="n">
        <v>0</v>
      </c>
      <c r="AA140" s="42" t="n">
        <v>0</v>
      </c>
      <c r="AB140" s="42" t="n">
        <v>0</v>
      </c>
      <c r="AC140" s="42" t="n">
        <v>0</v>
      </c>
      <c r="AD140" s="42" t="n">
        <v>0</v>
      </c>
      <c r="AE140" s="42" t="n">
        <v>0</v>
      </c>
      <c r="AF140" s="42" t="n">
        <v>0</v>
      </c>
      <c r="AG140" s="42" t="n">
        <v>0</v>
      </c>
      <c r="AH140" s="42" t="n">
        <v>0</v>
      </c>
      <c r="AI140" s="42" t="n">
        <v>0</v>
      </c>
      <c r="AJ140" s="42" t="n">
        <v>0</v>
      </c>
      <c r="AK140" s="42" t="n">
        <v>0</v>
      </c>
      <c r="AL140" s="42" t="n">
        <v>0</v>
      </c>
      <c r="AM140" s="45" t="n">
        <v>0</v>
      </c>
      <c r="AN140" s="45" t="n">
        <v>0</v>
      </c>
      <c r="AO140" s="42" t="n">
        <v>0</v>
      </c>
      <c r="AP140" s="42" t="n">
        <v>0</v>
      </c>
      <c r="AQ140" s="42" t="n">
        <v>0</v>
      </c>
      <c r="AR140" s="42" t="n">
        <v>0</v>
      </c>
      <c r="AS140" s="42" t="n">
        <v>0</v>
      </c>
      <c r="AT140" s="42" t="n">
        <v>0</v>
      </c>
      <c r="AU140" s="42"/>
      <c r="AV140" s="42" t="n">
        <f aca="false">SUM(N140:AU140)</f>
        <v>0</v>
      </c>
      <c r="AW140" s="42" t="n">
        <v>604</v>
      </c>
      <c r="AX140" s="42" t="n">
        <v>0</v>
      </c>
      <c r="AY140" s="42" t="n">
        <f aca="false">+AV140+AW140+AX140</f>
        <v>604</v>
      </c>
      <c r="AZ140" s="42" t="n">
        <f aca="false">+K140-AY140</f>
        <v>0</v>
      </c>
      <c r="BA140" s="56"/>
    </row>
    <row r="141" customFormat="false" ht="12.75" hidden="false" customHeight="false" outlineLevel="0" collapsed="false">
      <c r="A141" s="37" t="n">
        <v>11</v>
      </c>
      <c r="B141" s="39" t="s">
        <v>316</v>
      </c>
      <c r="C141" s="39" t="s">
        <v>314</v>
      </c>
      <c r="D141" s="40" t="n">
        <v>100876</v>
      </c>
      <c r="E141" s="41" t="n">
        <f aca="false">2883+236+391</f>
        <v>3510</v>
      </c>
      <c r="F141" s="42" t="n">
        <v>176</v>
      </c>
      <c r="G141" s="42" t="n">
        <v>0</v>
      </c>
      <c r="H141" s="41" t="n">
        <f aca="false">-262+12</f>
        <v>-250</v>
      </c>
      <c r="I141" s="41" t="n">
        <f aca="false">36+299</f>
        <v>335</v>
      </c>
      <c r="J141" s="41" t="n">
        <v>-1089</v>
      </c>
      <c r="K141" s="42" t="n">
        <f aca="false">SUM(E141:J141)</f>
        <v>2682</v>
      </c>
      <c r="L141" s="43"/>
      <c r="M141" s="41" t="s">
        <v>134</v>
      </c>
      <c r="N141" s="42" t="n">
        <v>0</v>
      </c>
      <c r="O141" s="42" t="n">
        <v>0</v>
      </c>
      <c r="P141" s="42" t="n">
        <v>0</v>
      </c>
      <c r="Q141" s="42" t="n">
        <v>0</v>
      </c>
      <c r="R141" s="42" t="n">
        <v>0</v>
      </c>
      <c r="S141" s="42" t="n">
        <v>0</v>
      </c>
      <c r="T141" s="42" t="n">
        <v>0</v>
      </c>
      <c r="U141" s="42" t="n">
        <v>0</v>
      </c>
      <c r="V141" s="42" t="n">
        <v>0</v>
      </c>
      <c r="W141" s="42" t="n">
        <v>0</v>
      </c>
      <c r="X141" s="42" t="n">
        <v>0</v>
      </c>
      <c r="Y141" s="42" t="n">
        <v>0</v>
      </c>
      <c r="Z141" s="42" t="n">
        <v>0</v>
      </c>
      <c r="AA141" s="42" t="n">
        <v>0</v>
      </c>
      <c r="AB141" s="42" t="n">
        <v>0</v>
      </c>
      <c r="AC141" s="42" t="n">
        <v>0</v>
      </c>
      <c r="AD141" s="42" t="n">
        <v>0</v>
      </c>
      <c r="AE141" s="42" t="n">
        <v>0</v>
      </c>
      <c r="AF141" s="42" t="n">
        <v>0</v>
      </c>
      <c r="AG141" s="42" t="n">
        <v>0</v>
      </c>
      <c r="AH141" s="42" t="n">
        <v>0</v>
      </c>
      <c r="AI141" s="42" t="n">
        <v>0</v>
      </c>
      <c r="AJ141" s="42" t="n">
        <v>0</v>
      </c>
      <c r="AK141" s="42" t="n">
        <v>0</v>
      </c>
      <c r="AL141" s="42" t="n">
        <v>0</v>
      </c>
      <c r="AM141" s="45" t="n">
        <v>0</v>
      </c>
      <c r="AN141" s="45" t="n">
        <v>0</v>
      </c>
      <c r="AO141" s="42" t="n">
        <v>0</v>
      </c>
      <c r="AP141" s="42" t="n">
        <v>0</v>
      </c>
      <c r="AQ141" s="42" t="n">
        <v>0</v>
      </c>
      <c r="AR141" s="42" t="n">
        <v>0</v>
      </c>
      <c r="AS141" s="42" t="n">
        <v>0</v>
      </c>
      <c r="AT141" s="42" t="n">
        <v>0</v>
      </c>
      <c r="AU141" s="42"/>
      <c r="AV141" s="42" t="n">
        <f aca="false">SUM(N141:AU141)</f>
        <v>0</v>
      </c>
      <c r="AW141" s="42" t="n">
        <v>2682</v>
      </c>
      <c r="AX141" s="42" t="n">
        <v>0</v>
      </c>
      <c r="AY141" s="42" t="n">
        <f aca="false">+AV141+AW141+AX141</f>
        <v>2682</v>
      </c>
      <c r="AZ141" s="42" t="n">
        <f aca="false">+K141-AY141</f>
        <v>0</v>
      </c>
      <c r="BA141" s="56"/>
    </row>
    <row r="142" customFormat="false" ht="12.75" hidden="false" customHeight="false" outlineLevel="0" collapsed="false">
      <c r="A142" s="37" t="n">
        <v>11</v>
      </c>
      <c r="B142" s="39" t="s">
        <v>317</v>
      </c>
      <c r="C142" s="39" t="s">
        <v>314</v>
      </c>
      <c r="D142" s="40" t="n">
        <v>100877</v>
      </c>
      <c r="E142" s="41" t="n">
        <f aca="false">901+94+136</f>
        <v>1131</v>
      </c>
      <c r="F142" s="42" t="n">
        <v>74</v>
      </c>
      <c r="G142" s="42" t="n">
        <v>0</v>
      </c>
      <c r="H142" s="41" t="n">
        <v>420</v>
      </c>
      <c r="I142" s="41" t="n">
        <f aca="false">2+20</f>
        <v>22</v>
      </c>
      <c r="J142" s="41" t="n">
        <v>27</v>
      </c>
      <c r="K142" s="42" t="n">
        <f aca="false">SUM(E142:J142)</f>
        <v>1674</v>
      </c>
      <c r="L142" s="43"/>
      <c r="M142" s="41" t="s">
        <v>134</v>
      </c>
      <c r="N142" s="42" t="n">
        <v>0</v>
      </c>
      <c r="O142" s="42" t="n">
        <v>0</v>
      </c>
      <c r="P142" s="42" t="n">
        <v>0</v>
      </c>
      <c r="Q142" s="42" t="n">
        <v>0</v>
      </c>
      <c r="R142" s="42" t="n">
        <v>0</v>
      </c>
      <c r="S142" s="42" t="n">
        <v>0</v>
      </c>
      <c r="T142" s="42" t="n">
        <v>0</v>
      </c>
      <c r="U142" s="42" t="n">
        <v>0</v>
      </c>
      <c r="V142" s="42" t="n">
        <v>0</v>
      </c>
      <c r="W142" s="42" t="n">
        <v>0</v>
      </c>
      <c r="X142" s="42" t="n">
        <v>0</v>
      </c>
      <c r="Y142" s="42" t="n">
        <v>0</v>
      </c>
      <c r="Z142" s="42" t="n">
        <v>0</v>
      </c>
      <c r="AA142" s="42" t="n">
        <v>0</v>
      </c>
      <c r="AB142" s="42" t="n">
        <v>0</v>
      </c>
      <c r="AC142" s="42" t="n">
        <v>0</v>
      </c>
      <c r="AD142" s="42" t="n">
        <v>0</v>
      </c>
      <c r="AE142" s="42" t="n">
        <v>0</v>
      </c>
      <c r="AF142" s="42" t="n">
        <v>0</v>
      </c>
      <c r="AG142" s="42" t="n">
        <v>0</v>
      </c>
      <c r="AH142" s="42" t="n">
        <v>0</v>
      </c>
      <c r="AI142" s="42" t="n">
        <v>0</v>
      </c>
      <c r="AJ142" s="42" t="n">
        <v>0</v>
      </c>
      <c r="AK142" s="42" t="n">
        <v>0</v>
      </c>
      <c r="AL142" s="42" t="n">
        <v>0</v>
      </c>
      <c r="AM142" s="45" t="n">
        <v>0</v>
      </c>
      <c r="AN142" s="45" t="n">
        <v>0</v>
      </c>
      <c r="AO142" s="42" t="n">
        <v>0</v>
      </c>
      <c r="AP142" s="42" t="n">
        <v>0</v>
      </c>
      <c r="AQ142" s="42" t="n">
        <v>0</v>
      </c>
      <c r="AR142" s="42" t="n">
        <v>0</v>
      </c>
      <c r="AS142" s="42" t="n">
        <v>0</v>
      </c>
      <c r="AT142" s="42" t="n">
        <v>0</v>
      </c>
      <c r="AU142" s="42"/>
      <c r="AV142" s="42" t="n">
        <f aca="false">SUM(N142:AU142)</f>
        <v>0</v>
      </c>
      <c r="AW142" s="42" t="n">
        <v>1674</v>
      </c>
      <c r="AX142" s="42" t="n">
        <v>0</v>
      </c>
      <c r="AY142" s="42" t="n">
        <f aca="false">+AV142+AW142+AX142</f>
        <v>1674</v>
      </c>
      <c r="AZ142" s="42" t="n">
        <f aca="false">+K142-AY142</f>
        <v>0</v>
      </c>
      <c r="BA142" s="56"/>
    </row>
    <row r="143" customFormat="false" ht="12.75" hidden="false" customHeight="false" outlineLevel="0" collapsed="false">
      <c r="A143" s="37" t="n">
        <v>1</v>
      </c>
      <c r="B143" s="39" t="s">
        <v>318</v>
      </c>
      <c r="C143" s="39" t="s">
        <v>319</v>
      </c>
      <c r="D143" s="40" t="n">
        <v>100879</v>
      </c>
      <c r="E143" s="41" t="n">
        <f aca="false">797+77+130</f>
        <v>1004</v>
      </c>
      <c r="F143" s="42" t="n">
        <v>-198</v>
      </c>
      <c r="G143" s="42" t="n">
        <v>32</v>
      </c>
      <c r="H143" s="41" t="n">
        <f aca="false">473+2+6</f>
        <v>481</v>
      </c>
      <c r="I143" s="41" t="n">
        <f aca="false">43+187</f>
        <v>230</v>
      </c>
      <c r="J143" s="41" t="n">
        <v>-50</v>
      </c>
      <c r="K143" s="42" t="n">
        <f aca="false">SUM(E143:J143)</f>
        <v>1499</v>
      </c>
      <c r="L143" s="43"/>
      <c r="M143" s="41" t="s">
        <v>111</v>
      </c>
      <c r="N143" s="42" t="n">
        <v>24</v>
      </c>
      <c r="O143" s="42" t="n">
        <v>45</v>
      </c>
      <c r="P143" s="42" t="n">
        <v>48</v>
      </c>
      <c r="Q143" s="42" t="n">
        <v>51</v>
      </c>
      <c r="R143" s="42" t="n">
        <v>5</v>
      </c>
      <c r="S143" s="42" t="n">
        <v>0</v>
      </c>
      <c r="T143" s="42" t="n">
        <v>27</v>
      </c>
      <c r="U143" s="42" t="n">
        <v>175</v>
      </c>
      <c r="V143" s="42" t="n">
        <v>33</v>
      </c>
      <c r="W143" s="42" t="n">
        <v>13</v>
      </c>
      <c r="X143" s="42" t="n">
        <v>244</v>
      </c>
      <c r="Y143" s="42" t="n">
        <v>2</v>
      </c>
      <c r="Z143" s="42" t="n">
        <v>27</v>
      </c>
      <c r="AA143" s="42" t="n">
        <v>5</v>
      </c>
      <c r="AB143" s="42" t="n">
        <v>1</v>
      </c>
      <c r="AC143" s="42" t="n">
        <v>11</v>
      </c>
      <c r="AD143" s="42" t="n">
        <v>216</v>
      </c>
      <c r="AE143" s="42" t="n">
        <v>174</v>
      </c>
      <c r="AF143" s="42" t="n">
        <v>2</v>
      </c>
      <c r="AG143" s="42" t="n">
        <v>0</v>
      </c>
      <c r="AH143" s="42" t="n">
        <v>12</v>
      </c>
      <c r="AI143" s="42" t="n">
        <v>12</v>
      </c>
      <c r="AJ143" s="42" t="n">
        <v>6</v>
      </c>
      <c r="AK143" s="42" t="n">
        <v>14</v>
      </c>
      <c r="AL143" s="42" t="n">
        <v>5</v>
      </c>
      <c r="AM143" s="42" t="n">
        <v>112</v>
      </c>
      <c r="AN143" s="42" t="n">
        <v>0</v>
      </c>
      <c r="AO143" s="42" t="n">
        <v>65</v>
      </c>
      <c r="AP143" s="42" t="n">
        <v>18</v>
      </c>
      <c r="AQ143" s="42" t="n">
        <v>0</v>
      </c>
      <c r="AR143" s="42" t="n">
        <v>0</v>
      </c>
      <c r="AS143" s="42" t="n">
        <v>0</v>
      </c>
      <c r="AT143" s="42" t="n">
        <v>0</v>
      </c>
      <c r="AU143" s="42"/>
      <c r="AV143" s="45" t="n">
        <f aca="false">SUM(N143:AU143)</f>
        <v>1347</v>
      </c>
      <c r="AW143" s="42" t="n">
        <v>152</v>
      </c>
      <c r="AX143" s="42" t="n">
        <v>0</v>
      </c>
      <c r="AY143" s="42" t="n">
        <f aca="false">+AV143+AW143+AX143</f>
        <v>1499</v>
      </c>
      <c r="AZ143" s="42" t="n">
        <f aca="false">+K143-AY143</f>
        <v>0</v>
      </c>
      <c r="BA143" s="56"/>
    </row>
    <row r="144" customFormat="false" ht="12.75" hidden="false" customHeight="false" outlineLevel="0" collapsed="false">
      <c r="A144" s="37" t="n">
        <v>11</v>
      </c>
      <c r="B144" s="39" t="s">
        <v>320</v>
      </c>
      <c r="C144" s="39" t="s">
        <v>321</v>
      </c>
      <c r="D144" s="40" t="n">
        <v>100882</v>
      </c>
      <c r="E144" s="41" t="n">
        <f aca="false">212+28+29</f>
        <v>269</v>
      </c>
      <c r="F144" s="42" t="n">
        <v>214</v>
      </c>
      <c r="G144" s="42" t="n">
        <v>13</v>
      </c>
      <c r="H144" s="41" t="n">
        <f aca="false">1602+6</f>
        <v>1608</v>
      </c>
      <c r="I144" s="41" t="n">
        <f aca="false">5+50</f>
        <v>55</v>
      </c>
      <c r="J144" s="41" t="n">
        <v>99</v>
      </c>
      <c r="K144" s="42" t="n">
        <f aca="false">SUM(E144:J144)</f>
        <v>2258</v>
      </c>
      <c r="L144" s="43"/>
      <c r="M144" s="41" t="s">
        <v>156</v>
      </c>
      <c r="N144" s="42" t="n">
        <v>0</v>
      </c>
      <c r="O144" s="42" t="n">
        <v>0</v>
      </c>
      <c r="P144" s="42" t="n">
        <v>0</v>
      </c>
      <c r="Q144" s="42" t="n">
        <v>0</v>
      </c>
      <c r="R144" s="42" t="n">
        <v>0</v>
      </c>
      <c r="S144" s="42" t="n">
        <v>0</v>
      </c>
      <c r="T144" s="42" t="n">
        <v>0</v>
      </c>
      <c r="U144" s="42" t="n">
        <v>0</v>
      </c>
      <c r="V144" s="42" t="n">
        <v>0</v>
      </c>
      <c r="W144" s="42" t="n">
        <v>0</v>
      </c>
      <c r="X144" s="42" t="n">
        <v>317</v>
      </c>
      <c r="Y144" s="42" t="n">
        <v>0</v>
      </c>
      <c r="Z144" s="42" t="n">
        <v>0</v>
      </c>
      <c r="AA144" s="42" t="n">
        <v>0</v>
      </c>
      <c r="AB144" s="42" t="n">
        <v>317</v>
      </c>
      <c r="AC144" s="42" t="n">
        <v>0</v>
      </c>
      <c r="AD144" s="42" t="n">
        <v>317</v>
      </c>
      <c r="AE144" s="42" t="n">
        <v>317</v>
      </c>
      <c r="AF144" s="42" t="n">
        <v>90</v>
      </c>
      <c r="AG144" s="42" t="n">
        <v>0</v>
      </c>
      <c r="AH144" s="42" t="n">
        <v>90</v>
      </c>
      <c r="AI144" s="42" t="n">
        <v>90</v>
      </c>
      <c r="AJ144" s="42" t="n">
        <v>90</v>
      </c>
      <c r="AK144" s="42" t="n">
        <v>90</v>
      </c>
      <c r="AL144" s="42" t="n">
        <v>90</v>
      </c>
      <c r="AM144" s="45" t="n">
        <v>0</v>
      </c>
      <c r="AN144" s="45" t="n">
        <v>0</v>
      </c>
      <c r="AO144" s="42" t="n">
        <v>0</v>
      </c>
      <c r="AP144" s="42" t="n">
        <v>0</v>
      </c>
      <c r="AQ144" s="42" t="n">
        <v>0</v>
      </c>
      <c r="AR144" s="42" t="n">
        <v>0</v>
      </c>
      <c r="AS144" s="42" t="n">
        <v>0</v>
      </c>
      <c r="AT144" s="42" t="n">
        <v>0</v>
      </c>
      <c r="AU144" s="42"/>
      <c r="AV144" s="45" t="n">
        <f aca="false">SUM(N144:AU144)</f>
        <v>1808</v>
      </c>
      <c r="AW144" s="42" t="n">
        <v>450</v>
      </c>
      <c r="AX144" s="42" t="n">
        <v>0</v>
      </c>
      <c r="AY144" s="42" t="n">
        <f aca="false">+AV144+AW144+AX144</f>
        <v>2258</v>
      </c>
      <c r="AZ144" s="42" t="n">
        <f aca="false">+K144-AY144</f>
        <v>0</v>
      </c>
      <c r="BA144" s="56"/>
    </row>
    <row r="145" customFormat="false" ht="12.75" hidden="false" customHeight="false" outlineLevel="0" collapsed="false">
      <c r="A145" s="37" t="n">
        <v>11</v>
      </c>
      <c r="B145" s="39" t="s">
        <v>322</v>
      </c>
      <c r="C145" s="39" t="s">
        <v>321</v>
      </c>
      <c r="D145" s="40" t="n">
        <v>100883</v>
      </c>
      <c r="E145" s="41" t="n">
        <f aca="false">242+26+37</f>
        <v>305</v>
      </c>
      <c r="F145" s="42" t="n">
        <v>86</v>
      </c>
      <c r="G145" s="42" t="n">
        <v>10</v>
      </c>
      <c r="H145" s="41" t="n">
        <f aca="false">2+5</f>
        <v>7</v>
      </c>
      <c r="I145" s="41" t="n">
        <f aca="false">6+64</f>
        <v>70</v>
      </c>
      <c r="J145" s="41" t="n">
        <v>46</v>
      </c>
      <c r="K145" s="42" t="n">
        <f aca="false">SUM(E145:J145)</f>
        <v>524</v>
      </c>
      <c r="L145" s="43"/>
      <c r="M145" s="41" t="s">
        <v>153</v>
      </c>
      <c r="N145" s="42" t="n">
        <v>0</v>
      </c>
      <c r="O145" s="42" t="n">
        <v>0</v>
      </c>
      <c r="P145" s="42" t="n">
        <v>52</v>
      </c>
      <c r="Q145" s="42" t="n">
        <v>0</v>
      </c>
      <c r="R145" s="42" t="n">
        <v>0</v>
      </c>
      <c r="S145" s="42" t="n">
        <v>52</v>
      </c>
      <c r="T145" s="42" t="n">
        <v>0</v>
      </c>
      <c r="U145" s="42" t="n">
        <v>0</v>
      </c>
      <c r="V145" s="42" t="n">
        <v>104</v>
      </c>
      <c r="W145" s="42" t="n">
        <v>0</v>
      </c>
      <c r="X145" s="42" t="n">
        <v>52</v>
      </c>
      <c r="Y145" s="42" t="n">
        <v>0</v>
      </c>
      <c r="Z145" s="42" t="n">
        <v>0</v>
      </c>
      <c r="AA145" s="42" t="n">
        <v>0</v>
      </c>
      <c r="AB145" s="42" t="n">
        <v>26</v>
      </c>
      <c r="AC145" s="42" t="n">
        <v>0</v>
      </c>
      <c r="AD145" s="42" t="n">
        <v>52</v>
      </c>
      <c r="AE145" s="42" t="n">
        <v>26</v>
      </c>
      <c r="AF145" s="42" t="n">
        <v>26</v>
      </c>
      <c r="AG145" s="42" t="n">
        <v>26</v>
      </c>
      <c r="AH145" s="42" t="n">
        <v>0</v>
      </c>
      <c r="AI145" s="42" t="n">
        <v>26</v>
      </c>
      <c r="AJ145" s="42" t="n">
        <v>26</v>
      </c>
      <c r="AK145" s="42" t="n">
        <v>26</v>
      </c>
      <c r="AL145" s="42" t="n">
        <v>26</v>
      </c>
      <c r="AM145" s="45" t="n">
        <v>0</v>
      </c>
      <c r="AN145" s="45" t="n">
        <v>0</v>
      </c>
      <c r="AO145" s="42" t="n">
        <f aca="false">1+3</f>
        <v>4</v>
      </c>
      <c r="AP145" s="42" t="n">
        <v>0</v>
      </c>
      <c r="AQ145" s="42" t="n">
        <v>0</v>
      </c>
      <c r="AR145" s="42" t="n">
        <v>0</v>
      </c>
      <c r="AS145" s="42" t="n">
        <v>0</v>
      </c>
      <c r="AT145" s="42" t="n">
        <v>0</v>
      </c>
      <c r="AU145" s="42"/>
      <c r="AV145" s="45" t="n">
        <f aca="false">SUM(N145:AU145)</f>
        <v>524</v>
      </c>
      <c r="AW145" s="42" t="n">
        <v>0</v>
      </c>
      <c r="AX145" s="42" t="n">
        <v>0</v>
      </c>
      <c r="AY145" s="42" t="n">
        <f aca="false">+AV145+AW145+AX145</f>
        <v>524</v>
      </c>
      <c r="AZ145" s="42" t="n">
        <f aca="false">+K145-AY145</f>
        <v>0</v>
      </c>
      <c r="BA145" s="56"/>
    </row>
    <row r="146" customFormat="false" ht="12.75" hidden="false" customHeight="false" outlineLevel="0" collapsed="false">
      <c r="A146" s="47" t="n">
        <v>11</v>
      </c>
      <c r="B146" s="48" t="s">
        <v>323</v>
      </c>
      <c r="C146" s="48" t="s">
        <v>324</v>
      </c>
      <c r="D146" s="49" t="n">
        <v>102670</v>
      </c>
      <c r="E146" s="50" t="n">
        <f aca="false">1434+65+195</f>
        <v>1694</v>
      </c>
      <c r="F146" s="45" t="n">
        <f aca="false">174-100</f>
        <v>74</v>
      </c>
      <c r="G146" s="45" t="n">
        <v>6</v>
      </c>
      <c r="H146" s="50" t="n">
        <f aca="false">200-100</f>
        <v>100</v>
      </c>
      <c r="I146" s="50" t="n">
        <f aca="false">8+10</f>
        <v>18</v>
      </c>
      <c r="J146" s="50" t="n">
        <v>30</v>
      </c>
      <c r="K146" s="42" t="n">
        <f aca="false">SUM(E146:J146)</f>
        <v>1922</v>
      </c>
      <c r="L146" s="51"/>
      <c r="M146" s="41" t="s">
        <v>134</v>
      </c>
      <c r="N146" s="42" t="n">
        <v>0</v>
      </c>
      <c r="O146" s="42" t="n">
        <v>0</v>
      </c>
      <c r="P146" s="42" t="n">
        <v>0</v>
      </c>
      <c r="Q146" s="42" t="n">
        <v>0</v>
      </c>
      <c r="R146" s="42" t="n">
        <v>0</v>
      </c>
      <c r="S146" s="42" t="n">
        <v>0</v>
      </c>
      <c r="T146" s="42" t="n">
        <v>0</v>
      </c>
      <c r="U146" s="42" t="n">
        <v>0</v>
      </c>
      <c r="V146" s="42" t="n">
        <v>0</v>
      </c>
      <c r="W146" s="42" t="n">
        <v>0</v>
      </c>
      <c r="X146" s="42" t="n">
        <v>0</v>
      </c>
      <c r="Y146" s="42" t="n">
        <v>0</v>
      </c>
      <c r="Z146" s="42" t="n">
        <v>0</v>
      </c>
      <c r="AA146" s="42" t="n">
        <v>0</v>
      </c>
      <c r="AB146" s="42" t="n">
        <v>0</v>
      </c>
      <c r="AC146" s="42" t="n">
        <v>0</v>
      </c>
      <c r="AD146" s="42" t="n">
        <v>0</v>
      </c>
      <c r="AE146" s="42" t="n">
        <v>0</v>
      </c>
      <c r="AF146" s="42" t="n">
        <v>0</v>
      </c>
      <c r="AG146" s="42" t="n">
        <v>0</v>
      </c>
      <c r="AH146" s="42" t="n">
        <v>0</v>
      </c>
      <c r="AI146" s="42" t="n">
        <v>0</v>
      </c>
      <c r="AJ146" s="42" t="n">
        <v>0</v>
      </c>
      <c r="AK146" s="42" t="n">
        <v>0</v>
      </c>
      <c r="AL146" s="42" t="n">
        <v>0</v>
      </c>
      <c r="AM146" s="45" t="n">
        <v>0</v>
      </c>
      <c r="AN146" s="45" t="n">
        <v>0</v>
      </c>
      <c r="AO146" s="42" t="n">
        <v>0</v>
      </c>
      <c r="AP146" s="42" t="n">
        <v>0</v>
      </c>
      <c r="AQ146" s="42" t="n">
        <v>0</v>
      </c>
      <c r="AR146" s="42" t="n">
        <v>0</v>
      </c>
      <c r="AS146" s="42" t="n">
        <v>0</v>
      </c>
      <c r="AT146" s="42" t="n">
        <v>0</v>
      </c>
      <c r="AU146" s="45"/>
      <c r="AV146" s="42" t="n">
        <f aca="false">SUM(N146:AU146)</f>
        <v>0</v>
      </c>
      <c r="AW146" s="42" t="n">
        <v>1922</v>
      </c>
      <c r="AX146" s="42" t="n">
        <v>0</v>
      </c>
      <c r="AY146" s="42" t="n">
        <f aca="false">+AV146+AW146+AX146</f>
        <v>1922</v>
      </c>
      <c r="AZ146" s="42" t="n">
        <f aca="false">+K146-AY146</f>
        <v>0</v>
      </c>
      <c r="BA146" s="57"/>
    </row>
    <row r="147" customFormat="false" ht="12.75" hidden="false" customHeight="false" outlineLevel="0" collapsed="false">
      <c r="A147" s="47" t="n">
        <v>11</v>
      </c>
      <c r="B147" s="48" t="s">
        <v>325</v>
      </c>
      <c r="C147" s="48" t="s">
        <v>326</v>
      </c>
      <c r="D147" s="49" t="n">
        <v>102711</v>
      </c>
      <c r="E147" s="50" t="n">
        <v>0</v>
      </c>
      <c r="F147" s="45" t="n">
        <f aca="false">71+318</f>
        <v>389</v>
      </c>
      <c r="G147" s="45" t="n">
        <v>0</v>
      </c>
      <c r="H147" s="50" t="n">
        <v>120</v>
      </c>
      <c r="I147" s="50" t="n">
        <v>0</v>
      </c>
      <c r="J147" s="50" t="n">
        <v>0</v>
      </c>
      <c r="K147" s="42" t="n">
        <f aca="false">SUM(E147:J147)</f>
        <v>509</v>
      </c>
      <c r="L147" s="51"/>
      <c r="M147" s="41" t="s">
        <v>134</v>
      </c>
      <c r="N147" s="42" t="n">
        <v>0</v>
      </c>
      <c r="O147" s="42" t="n">
        <v>0</v>
      </c>
      <c r="P147" s="42" t="n">
        <v>0</v>
      </c>
      <c r="Q147" s="42" t="n">
        <v>0</v>
      </c>
      <c r="R147" s="42" t="n">
        <v>0</v>
      </c>
      <c r="S147" s="42" t="n">
        <v>0</v>
      </c>
      <c r="T147" s="42" t="n">
        <v>0</v>
      </c>
      <c r="U147" s="42" t="n">
        <v>0</v>
      </c>
      <c r="V147" s="42" t="n">
        <v>0</v>
      </c>
      <c r="W147" s="42" t="n">
        <v>0</v>
      </c>
      <c r="X147" s="42" t="n">
        <v>0</v>
      </c>
      <c r="Y147" s="42" t="n">
        <v>0</v>
      </c>
      <c r="Z147" s="42" t="n">
        <v>0</v>
      </c>
      <c r="AA147" s="42" t="n">
        <v>0</v>
      </c>
      <c r="AB147" s="42" t="n">
        <v>0</v>
      </c>
      <c r="AC147" s="42" t="n">
        <v>0</v>
      </c>
      <c r="AD147" s="42" t="n">
        <v>0</v>
      </c>
      <c r="AE147" s="42" t="n">
        <v>0</v>
      </c>
      <c r="AF147" s="42" t="n">
        <v>0</v>
      </c>
      <c r="AG147" s="42" t="n">
        <v>0</v>
      </c>
      <c r="AH147" s="42" t="n">
        <v>0</v>
      </c>
      <c r="AI147" s="42" t="n">
        <v>0</v>
      </c>
      <c r="AJ147" s="42" t="n">
        <v>0</v>
      </c>
      <c r="AK147" s="42" t="n">
        <v>0</v>
      </c>
      <c r="AL147" s="42" t="n">
        <v>0</v>
      </c>
      <c r="AM147" s="45" t="n">
        <v>0</v>
      </c>
      <c r="AN147" s="45" t="n">
        <v>0</v>
      </c>
      <c r="AO147" s="42" t="n">
        <v>0</v>
      </c>
      <c r="AP147" s="42" t="n">
        <v>0</v>
      </c>
      <c r="AQ147" s="42" t="n">
        <v>0</v>
      </c>
      <c r="AR147" s="42" t="n">
        <v>0</v>
      </c>
      <c r="AS147" s="42" t="n">
        <v>0</v>
      </c>
      <c r="AT147" s="42" t="n">
        <v>0</v>
      </c>
      <c r="AU147" s="45"/>
      <c r="AV147" s="42" t="n">
        <f aca="false">SUM(N147:AU147)</f>
        <v>0</v>
      </c>
      <c r="AW147" s="42" t="n">
        <v>509</v>
      </c>
      <c r="AX147" s="42" t="n">
        <v>0</v>
      </c>
      <c r="AY147" s="42" t="n">
        <f aca="false">+AV147+AW147+AX147</f>
        <v>509</v>
      </c>
      <c r="AZ147" s="42" t="n">
        <f aca="false">+K147-AY147</f>
        <v>0</v>
      </c>
      <c r="BA147" s="57"/>
    </row>
    <row r="148" customFormat="false" ht="12.75" hidden="false" customHeight="false" outlineLevel="0" collapsed="false">
      <c r="A148" s="47" t="n">
        <v>11</v>
      </c>
      <c r="B148" s="48" t="s">
        <v>327</v>
      </c>
      <c r="C148" s="48" t="s">
        <v>328</v>
      </c>
      <c r="D148" s="49" t="n">
        <v>102817</v>
      </c>
      <c r="E148" s="50" t="n">
        <f aca="false">364+16+43</f>
        <v>423</v>
      </c>
      <c r="F148" s="45" t="n">
        <f aca="false">30+350</f>
        <v>380</v>
      </c>
      <c r="G148" s="45" t="n">
        <f aca="false">1+10</f>
        <v>11</v>
      </c>
      <c r="H148" s="50" t="n">
        <f aca="false">12+250</f>
        <v>262</v>
      </c>
      <c r="I148" s="50" t="n">
        <f aca="false">7+48</f>
        <v>55</v>
      </c>
      <c r="J148" s="50" t="n">
        <f aca="false">9+410</f>
        <v>419</v>
      </c>
      <c r="K148" s="42" t="n">
        <f aca="false">SUM(E148:J148)</f>
        <v>1550</v>
      </c>
      <c r="L148" s="51"/>
      <c r="M148" s="41" t="s">
        <v>134</v>
      </c>
      <c r="N148" s="42" t="n">
        <v>0</v>
      </c>
      <c r="O148" s="42" t="n">
        <v>0</v>
      </c>
      <c r="P148" s="42" t="n">
        <v>0</v>
      </c>
      <c r="Q148" s="42" t="n">
        <v>0</v>
      </c>
      <c r="R148" s="42" t="n">
        <v>0</v>
      </c>
      <c r="S148" s="42" t="n">
        <v>0</v>
      </c>
      <c r="T148" s="42" t="n">
        <v>0</v>
      </c>
      <c r="U148" s="42" t="n">
        <v>0</v>
      </c>
      <c r="V148" s="42" t="n">
        <v>0</v>
      </c>
      <c r="W148" s="42" t="n">
        <v>0</v>
      </c>
      <c r="X148" s="42" t="n">
        <v>0</v>
      </c>
      <c r="Y148" s="42" t="n">
        <v>0</v>
      </c>
      <c r="Z148" s="42" t="n">
        <v>0</v>
      </c>
      <c r="AA148" s="42" t="n">
        <v>0</v>
      </c>
      <c r="AB148" s="42" t="n">
        <v>0</v>
      </c>
      <c r="AC148" s="42" t="n">
        <v>0</v>
      </c>
      <c r="AD148" s="42" t="n">
        <v>0</v>
      </c>
      <c r="AE148" s="42" t="n">
        <v>0</v>
      </c>
      <c r="AF148" s="42" t="n">
        <v>0</v>
      </c>
      <c r="AG148" s="42" t="n">
        <v>0</v>
      </c>
      <c r="AH148" s="42" t="n">
        <v>0</v>
      </c>
      <c r="AI148" s="42" t="n">
        <v>0</v>
      </c>
      <c r="AJ148" s="42" t="n">
        <v>0</v>
      </c>
      <c r="AK148" s="42" t="n">
        <v>0</v>
      </c>
      <c r="AL148" s="42" t="n">
        <v>0</v>
      </c>
      <c r="AM148" s="42" t="n">
        <v>0</v>
      </c>
      <c r="AN148" s="42" t="n">
        <v>0</v>
      </c>
      <c r="AO148" s="42" t="n">
        <v>0</v>
      </c>
      <c r="AP148" s="42" t="n">
        <v>0</v>
      </c>
      <c r="AQ148" s="42" t="n">
        <v>0</v>
      </c>
      <c r="AR148" s="42" t="n">
        <v>0</v>
      </c>
      <c r="AS148" s="42" t="n">
        <v>0</v>
      </c>
      <c r="AT148" s="42" t="n">
        <v>0</v>
      </c>
      <c r="AU148" s="45"/>
      <c r="AV148" s="42" t="n">
        <f aca="false">SUM(N148:AU148)</f>
        <v>0</v>
      </c>
      <c r="AW148" s="42" t="n">
        <v>1550</v>
      </c>
      <c r="AX148" s="42" t="n">
        <v>0</v>
      </c>
      <c r="AY148" s="42" t="n">
        <f aca="false">+AV148+AW148+AX148</f>
        <v>1550</v>
      </c>
      <c r="AZ148" s="42" t="n">
        <f aca="false">+K148-AY148</f>
        <v>0</v>
      </c>
      <c r="BA148" s="57"/>
    </row>
    <row r="149" customFormat="false" ht="12.75" hidden="false" customHeight="false" outlineLevel="0" collapsed="false">
      <c r="A149" s="47" t="n">
        <v>11</v>
      </c>
      <c r="B149" s="48" t="s">
        <v>329</v>
      </c>
      <c r="C149" s="48" t="s">
        <v>330</v>
      </c>
      <c r="D149" s="49" t="n">
        <v>102723</v>
      </c>
      <c r="E149" s="50" t="n">
        <v>0</v>
      </c>
      <c r="F149" s="45" t="n">
        <v>0</v>
      </c>
      <c r="G149" s="45" t="n">
        <v>300</v>
      </c>
      <c r="H149" s="50" t="n">
        <v>300</v>
      </c>
      <c r="I149" s="50" t="n">
        <v>0</v>
      </c>
      <c r="J149" s="50" t="n">
        <v>-300</v>
      </c>
      <c r="K149" s="42" t="n">
        <f aca="false">SUM(E149:J149)</f>
        <v>300</v>
      </c>
      <c r="L149" s="51"/>
      <c r="M149" s="50" t="s">
        <v>111</v>
      </c>
      <c r="N149" s="42" t="n">
        <v>5</v>
      </c>
      <c r="O149" s="42" t="n">
        <v>9</v>
      </c>
      <c r="P149" s="42" t="n">
        <v>10</v>
      </c>
      <c r="Q149" s="42" t="n">
        <v>10</v>
      </c>
      <c r="R149" s="42" t="n">
        <v>1</v>
      </c>
      <c r="S149" s="42" t="n">
        <v>0</v>
      </c>
      <c r="T149" s="42" t="n">
        <v>5</v>
      </c>
      <c r="U149" s="42" t="n">
        <v>35</v>
      </c>
      <c r="V149" s="42" t="n">
        <v>7</v>
      </c>
      <c r="W149" s="42" t="n">
        <v>3</v>
      </c>
      <c r="X149" s="42" t="n">
        <v>49</v>
      </c>
      <c r="Y149" s="42" t="n">
        <v>0</v>
      </c>
      <c r="Z149" s="42" t="n">
        <v>5</v>
      </c>
      <c r="AA149" s="42" t="n">
        <v>1</v>
      </c>
      <c r="AB149" s="42" t="n">
        <v>0</v>
      </c>
      <c r="AC149" s="42" t="n">
        <v>2</v>
      </c>
      <c r="AD149" s="42" t="n">
        <v>44</v>
      </c>
      <c r="AE149" s="42" t="n">
        <v>36</v>
      </c>
      <c r="AF149" s="42" t="n">
        <v>0</v>
      </c>
      <c r="AG149" s="42" t="n">
        <v>0</v>
      </c>
      <c r="AH149" s="42" t="n">
        <v>2</v>
      </c>
      <c r="AI149" s="42" t="n">
        <v>2</v>
      </c>
      <c r="AJ149" s="42" t="n">
        <v>1</v>
      </c>
      <c r="AK149" s="42" t="n">
        <v>3</v>
      </c>
      <c r="AL149" s="42" t="n">
        <v>1</v>
      </c>
      <c r="AM149" s="45" t="n">
        <v>22</v>
      </c>
      <c r="AN149" s="45" t="n">
        <v>0</v>
      </c>
      <c r="AO149" s="42" t="n">
        <v>13</v>
      </c>
      <c r="AP149" s="42" t="n">
        <v>4</v>
      </c>
      <c r="AQ149" s="42" t="n">
        <v>0</v>
      </c>
      <c r="AR149" s="42" t="n">
        <v>0</v>
      </c>
      <c r="AS149" s="42" t="n">
        <v>0</v>
      </c>
      <c r="AT149" s="42" t="n">
        <v>0</v>
      </c>
      <c r="AU149" s="45"/>
      <c r="AV149" s="42" t="n">
        <f aca="false">SUM(N149:AU149)</f>
        <v>270</v>
      </c>
      <c r="AW149" s="42" t="n">
        <v>30</v>
      </c>
      <c r="AX149" s="42" t="n">
        <v>0</v>
      </c>
      <c r="AY149" s="42" t="n">
        <f aca="false">+AV149+AW149+AX149</f>
        <v>300</v>
      </c>
      <c r="AZ149" s="42" t="n">
        <f aca="false">+K149-AY149</f>
        <v>0</v>
      </c>
      <c r="BA149" s="57"/>
    </row>
    <row r="150" customFormat="false" ht="12.75" hidden="false" customHeight="false" outlineLevel="0" collapsed="false">
      <c r="A150" s="47" t="n">
        <v>11</v>
      </c>
      <c r="B150" s="48" t="s">
        <v>331</v>
      </c>
      <c r="C150" s="48" t="s">
        <v>332</v>
      </c>
      <c r="D150" s="49" t="n">
        <v>102741</v>
      </c>
      <c r="E150" s="50" t="n">
        <f aca="false">160+15+24</f>
        <v>199</v>
      </c>
      <c r="F150" s="45" t="n">
        <v>130</v>
      </c>
      <c r="G150" s="45" t="n">
        <v>0</v>
      </c>
      <c r="H150" s="50" t="n">
        <f aca="false">200+19+20</f>
        <v>239</v>
      </c>
      <c r="I150" s="50" t="n">
        <v>12</v>
      </c>
      <c r="J150" s="50" t="n">
        <v>600</v>
      </c>
      <c r="K150" s="42" t="n">
        <f aca="false">SUM(E150:J150)</f>
        <v>1180</v>
      </c>
      <c r="L150" s="51"/>
      <c r="M150" s="50" t="s">
        <v>134</v>
      </c>
      <c r="N150" s="42" t="n">
        <v>0</v>
      </c>
      <c r="O150" s="42" t="n">
        <v>0</v>
      </c>
      <c r="P150" s="42" t="n">
        <v>0</v>
      </c>
      <c r="Q150" s="42" t="n">
        <v>0</v>
      </c>
      <c r="R150" s="42" t="n">
        <v>0</v>
      </c>
      <c r="S150" s="42" t="n">
        <v>0</v>
      </c>
      <c r="T150" s="42" t="n">
        <v>0</v>
      </c>
      <c r="U150" s="42" t="n">
        <v>0</v>
      </c>
      <c r="V150" s="42" t="n">
        <v>0</v>
      </c>
      <c r="W150" s="42" t="n">
        <v>0</v>
      </c>
      <c r="X150" s="42" t="n">
        <v>0</v>
      </c>
      <c r="Y150" s="42" t="n">
        <v>0</v>
      </c>
      <c r="Z150" s="42" t="n">
        <v>0</v>
      </c>
      <c r="AA150" s="42" t="n">
        <v>0</v>
      </c>
      <c r="AB150" s="42" t="n">
        <v>0</v>
      </c>
      <c r="AC150" s="42" t="n">
        <v>0</v>
      </c>
      <c r="AD150" s="42" t="n">
        <v>0</v>
      </c>
      <c r="AE150" s="42" t="n">
        <v>0</v>
      </c>
      <c r="AF150" s="42" t="n">
        <v>0</v>
      </c>
      <c r="AG150" s="42" t="n">
        <v>0</v>
      </c>
      <c r="AH150" s="42" t="n">
        <v>0</v>
      </c>
      <c r="AI150" s="42" t="n">
        <v>0</v>
      </c>
      <c r="AJ150" s="42" t="n">
        <v>0</v>
      </c>
      <c r="AK150" s="42" t="n">
        <v>0</v>
      </c>
      <c r="AL150" s="42" t="n">
        <v>0</v>
      </c>
      <c r="AM150" s="45" t="n">
        <v>0</v>
      </c>
      <c r="AN150" s="45" t="n">
        <v>0</v>
      </c>
      <c r="AO150" s="42" t="n">
        <v>0</v>
      </c>
      <c r="AP150" s="42" t="n">
        <v>0</v>
      </c>
      <c r="AQ150" s="42" t="n">
        <v>0</v>
      </c>
      <c r="AR150" s="42" t="n">
        <v>0</v>
      </c>
      <c r="AS150" s="42" t="n">
        <v>0</v>
      </c>
      <c r="AT150" s="42" t="n">
        <v>0</v>
      </c>
      <c r="AU150" s="45"/>
      <c r="AV150" s="42" t="n">
        <f aca="false">SUM(N150:AU150)</f>
        <v>0</v>
      </c>
      <c r="AW150" s="42" t="n">
        <v>1180</v>
      </c>
      <c r="AX150" s="42" t="n">
        <v>0</v>
      </c>
      <c r="AY150" s="42" t="n">
        <f aca="false">+AV150+AW150+AX150</f>
        <v>1180</v>
      </c>
      <c r="AZ150" s="42" t="n">
        <f aca="false">+K150-AY150</f>
        <v>0</v>
      </c>
      <c r="BA150" s="57"/>
    </row>
    <row r="151" customFormat="false" ht="12.75" hidden="false" customHeight="false" outlineLevel="0" collapsed="false">
      <c r="A151" s="47" t="n">
        <v>11</v>
      </c>
      <c r="B151" s="48" t="s">
        <v>333</v>
      </c>
      <c r="C151" s="48" t="s">
        <v>334</v>
      </c>
      <c r="D151" s="49" t="n">
        <v>102742</v>
      </c>
      <c r="E151" s="50" t="n">
        <f aca="false">495+52+80</f>
        <v>627</v>
      </c>
      <c r="F151" s="45" t="n">
        <v>18</v>
      </c>
      <c r="G151" s="45" t="n">
        <v>4</v>
      </c>
      <c r="H151" s="50" t="n">
        <f aca="false">24+1</f>
        <v>25</v>
      </c>
      <c r="I151" s="50" t="n">
        <f aca="false">24+96</f>
        <v>120</v>
      </c>
      <c r="J151" s="50" t="n">
        <v>-94</v>
      </c>
      <c r="K151" s="42" t="n">
        <f aca="false">SUM(E151:J151)</f>
        <v>700</v>
      </c>
      <c r="L151" s="51"/>
      <c r="M151" s="41" t="s">
        <v>108</v>
      </c>
      <c r="N151" s="42" t="n">
        <v>0</v>
      </c>
      <c r="O151" s="42" t="n">
        <v>0</v>
      </c>
      <c r="P151" s="42" t="n">
        <v>0</v>
      </c>
      <c r="Q151" s="42" t="n">
        <v>0</v>
      </c>
      <c r="R151" s="42" t="n">
        <v>0</v>
      </c>
      <c r="S151" s="42" t="n">
        <v>0</v>
      </c>
      <c r="T151" s="42" t="n">
        <v>0</v>
      </c>
      <c r="U151" s="42" t="n">
        <v>0</v>
      </c>
      <c r="V151" s="42" t="n">
        <v>0</v>
      </c>
      <c r="W151" s="42" t="n">
        <v>0</v>
      </c>
      <c r="X151" s="42" t="n">
        <v>0</v>
      </c>
      <c r="Y151" s="42" t="n">
        <v>0</v>
      </c>
      <c r="Z151" s="42" t="n">
        <v>0</v>
      </c>
      <c r="AA151" s="42" t="n">
        <v>0</v>
      </c>
      <c r="AB151" s="42" t="n">
        <v>0</v>
      </c>
      <c r="AC151" s="42" t="n">
        <v>0</v>
      </c>
      <c r="AD151" s="42" t="n">
        <v>0</v>
      </c>
      <c r="AE151" s="42" t="n">
        <v>0</v>
      </c>
      <c r="AF151" s="42" t="n">
        <v>0</v>
      </c>
      <c r="AG151" s="42" t="n">
        <v>0</v>
      </c>
      <c r="AH151" s="42" t="n">
        <v>0</v>
      </c>
      <c r="AI151" s="42" t="n">
        <v>0</v>
      </c>
      <c r="AJ151" s="42" t="n">
        <v>0</v>
      </c>
      <c r="AK151" s="42" t="n">
        <v>0</v>
      </c>
      <c r="AL151" s="42" t="n">
        <v>0</v>
      </c>
      <c r="AM151" s="42" t="n">
        <v>0</v>
      </c>
      <c r="AN151" s="42" t="n">
        <v>0</v>
      </c>
      <c r="AO151" s="42" t="n">
        <v>0</v>
      </c>
      <c r="AP151" s="42" t="n">
        <v>0</v>
      </c>
      <c r="AQ151" s="42" t="n">
        <v>0</v>
      </c>
      <c r="AR151" s="42" t="n">
        <v>0</v>
      </c>
      <c r="AS151" s="42" t="n">
        <v>0</v>
      </c>
      <c r="AT151" s="42" t="n">
        <v>0</v>
      </c>
      <c r="AU151" s="45"/>
      <c r="AV151" s="45" t="n">
        <f aca="false">SUM(N151:AU151)</f>
        <v>0</v>
      </c>
      <c r="AW151" s="42" t="n">
        <v>700</v>
      </c>
      <c r="AX151" s="42" t="n">
        <v>0</v>
      </c>
      <c r="AY151" s="42" t="n">
        <f aca="false">+AV151+AW151+AX151</f>
        <v>700</v>
      </c>
      <c r="AZ151" s="45" t="n">
        <f aca="false">+K151-AY151</f>
        <v>0</v>
      </c>
      <c r="BA151" s="57"/>
    </row>
    <row r="152" customFormat="false" ht="12.75" hidden="false" customHeight="false" outlineLevel="0" collapsed="false">
      <c r="A152" s="47" t="n">
        <v>11</v>
      </c>
      <c r="B152" s="48" t="s">
        <v>335</v>
      </c>
      <c r="C152" s="48" t="s">
        <v>326</v>
      </c>
      <c r="D152" s="49" t="n">
        <v>102757</v>
      </c>
      <c r="E152" s="50" t="n">
        <f aca="false">456+41+76</f>
        <v>573</v>
      </c>
      <c r="F152" s="45" t="n">
        <v>87</v>
      </c>
      <c r="G152" s="45" t="n">
        <v>6</v>
      </c>
      <c r="H152" s="50" t="n">
        <v>0</v>
      </c>
      <c r="I152" s="50" t="n">
        <f aca="false">34+43</f>
        <v>77</v>
      </c>
      <c r="J152" s="50" t="n">
        <v>1</v>
      </c>
      <c r="K152" s="42" t="n">
        <f aca="false">SUM(E152:J152)</f>
        <v>744</v>
      </c>
      <c r="L152" s="51"/>
      <c r="M152" s="41" t="s">
        <v>336</v>
      </c>
      <c r="N152" s="42" t="n">
        <v>0</v>
      </c>
      <c r="O152" s="42" t="n">
        <v>0</v>
      </c>
      <c r="P152" s="42" t="n">
        <v>0</v>
      </c>
      <c r="Q152" s="42" t="n">
        <v>0</v>
      </c>
      <c r="R152" s="42" t="n">
        <v>0</v>
      </c>
      <c r="S152" s="42" t="n">
        <v>0</v>
      </c>
      <c r="T152" s="42" t="n">
        <v>0</v>
      </c>
      <c r="U152" s="42" t="n">
        <v>0</v>
      </c>
      <c r="V152" s="42" t="n">
        <v>0</v>
      </c>
      <c r="W152" s="42" t="n">
        <v>0</v>
      </c>
      <c r="X152" s="42" t="n">
        <v>0</v>
      </c>
      <c r="Y152" s="42" t="n">
        <v>0</v>
      </c>
      <c r="Z152" s="42" t="n">
        <v>0</v>
      </c>
      <c r="AA152" s="42" t="n">
        <v>0</v>
      </c>
      <c r="AB152" s="42" t="n">
        <v>0</v>
      </c>
      <c r="AC152" s="42" t="n">
        <v>0</v>
      </c>
      <c r="AD152" s="42" t="n">
        <v>0</v>
      </c>
      <c r="AE152" s="42" t="n">
        <v>0</v>
      </c>
      <c r="AF152" s="42" t="n">
        <v>0</v>
      </c>
      <c r="AG152" s="42" t="n">
        <v>0</v>
      </c>
      <c r="AH152" s="42" t="n">
        <v>0</v>
      </c>
      <c r="AI152" s="42" t="n">
        <v>744</v>
      </c>
      <c r="AJ152" s="42" t="n">
        <v>0</v>
      </c>
      <c r="AK152" s="42" t="n">
        <v>0</v>
      </c>
      <c r="AL152" s="42" t="n">
        <v>0</v>
      </c>
      <c r="AM152" s="42" t="n">
        <v>0</v>
      </c>
      <c r="AN152" s="42" t="n">
        <v>0</v>
      </c>
      <c r="AO152" s="42" t="n">
        <v>0</v>
      </c>
      <c r="AP152" s="42" t="n">
        <v>0</v>
      </c>
      <c r="AQ152" s="42" t="n">
        <v>0</v>
      </c>
      <c r="AR152" s="42" t="n">
        <v>0</v>
      </c>
      <c r="AS152" s="42" t="n">
        <v>0</v>
      </c>
      <c r="AT152" s="42" t="n">
        <v>0</v>
      </c>
      <c r="AU152" s="45"/>
      <c r="AV152" s="45" t="n">
        <f aca="false">SUM(N152:AU152)</f>
        <v>744</v>
      </c>
      <c r="AW152" s="42" t="n">
        <v>0</v>
      </c>
      <c r="AX152" s="42" t="n">
        <v>0</v>
      </c>
      <c r="AY152" s="42" t="n">
        <f aca="false">+AV152+AW152+AX152</f>
        <v>744</v>
      </c>
      <c r="AZ152" s="45" t="n">
        <f aca="false">+K152-AY152</f>
        <v>0</v>
      </c>
      <c r="BA152" s="57"/>
    </row>
    <row r="153" customFormat="false" ht="12.75" hidden="false" customHeight="false" outlineLevel="0" collapsed="false">
      <c r="A153" s="47" t="n">
        <v>11</v>
      </c>
      <c r="B153" s="48" t="s">
        <v>337</v>
      </c>
      <c r="C153" s="39" t="s">
        <v>338</v>
      </c>
      <c r="D153" s="49" t="n">
        <v>102777</v>
      </c>
      <c r="E153" s="50" t="n">
        <f aca="false">14+1+2</f>
        <v>17</v>
      </c>
      <c r="F153" s="45" t="n">
        <v>0</v>
      </c>
      <c r="G153" s="45" t="n">
        <v>6</v>
      </c>
      <c r="H153" s="50" t="n">
        <v>0</v>
      </c>
      <c r="I153" s="50" t="n">
        <v>2</v>
      </c>
      <c r="J153" s="50" t="n">
        <v>1</v>
      </c>
      <c r="K153" s="42" t="n">
        <f aca="false">SUM(E153:J153)</f>
        <v>26</v>
      </c>
      <c r="L153" s="51"/>
      <c r="M153" s="41" t="s">
        <v>339</v>
      </c>
      <c r="N153" s="42" t="n">
        <v>0</v>
      </c>
      <c r="O153" s="42" t="n">
        <v>0</v>
      </c>
      <c r="P153" s="42" t="n">
        <v>1</v>
      </c>
      <c r="Q153" s="42" t="n">
        <v>1</v>
      </c>
      <c r="R153" s="42" t="n">
        <v>0</v>
      </c>
      <c r="S153" s="42" t="n">
        <v>0</v>
      </c>
      <c r="T153" s="42" t="n">
        <v>0</v>
      </c>
      <c r="U153" s="42" t="n">
        <v>2</v>
      </c>
      <c r="V153" s="42" t="n">
        <v>1</v>
      </c>
      <c r="W153" s="42" t="n">
        <v>0</v>
      </c>
      <c r="X153" s="42" t="n">
        <v>4</v>
      </c>
      <c r="Y153" s="42" t="n">
        <v>0</v>
      </c>
      <c r="Z153" s="42" t="n">
        <v>0</v>
      </c>
      <c r="AA153" s="42" t="n">
        <v>0</v>
      </c>
      <c r="AB153" s="42" t="n">
        <v>3</v>
      </c>
      <c r="AC153" s="42" t="n">
        <v>0</v>
      </c>
      <c r="AD153" s="42" t="n">
        <v>4</v>
      </c>
      <c r="AE153" s="42" t="n">
        <v>3</v>
      </c>
      <c r="AF153" s="42" t="n">
        <v>2</v>
      </c>
      <c r="AG153" s="42" t="n">
        <v>0</v>
      </c>
      <c r="AH153" s="42" t="n">
        <v>0</v>
      </c>
      <c r="AI153" s="42" t="n">
        <v>0</v>
      </c>
      <c r="AJ153" s="42" t="n">
        <v>1</v>
      </c>
      <c r="AK153" s="42" t="n">
        <v>0</v>
      </c>
      <c r="AL153" s="42" t="n">
        <v>0</v>
      </c>
      <c r="AM153" s="42" t="n">
        <v>1</v>
      </c>
      <c r="AN153" s="42" t="n">
        <v>0</v>
      </c>
      <c r="AO153" s="42" t="n">
        <v>1</v>
      </c>
      <c r="AP153" s="42" t="n">
        <v>0</v>
      </c>
      <c r="AQ153" s="42" t="n">
        <v>0</v>
      </c>
      <c r="AR153" s="42" t="n">
        <v>0</v>
      </c>
      <c r="AS153" s="42" t="n">
        <v>0</v>
      </c>
      <c r="AT153" s="42" t="n">
        <v>0</v>
      </c>
      <c r="AU153" s="45"/>
      <c r="AV153" s="42" t="n">
        <f aca="false">SUM(N153:AU153)</f>
        <v>24</v>
      </c>
      <c r="AW153" s="42" t="n">
        <v>2</v>
      </c>
      <c r="AX153" s="42" t="n">
        <v>0</v>
      </c>
      <c r="AY153" s="42" t="n">
        <f aca="false">+AV153+AW153+AX153</f>
        <v>26</v>
      </c>
      <c r="AZ153" s="42" t="n">
        <f aca="false">+K153-AY153</f>
        <v>0</v>
      </c>
      <c r="BA153" s="57"/>
    </row>
    <row r="154" customFormat="false" ht="12.75" hidden="false" customHeight="false" outlineLevel="0" collapsed="false">
      <c r="A154" s="37" t="n">
        <v>11</v>
      </c>
      <c r="B154" s="39" t="s">
        <v>340</v>
      </c>
      <c r="C154" s="39" t="s">
        <v>341</v>
      </c>
      <c r="D154" s="40" t="n">
        <v>102780</v>
      </c>
      <c r="E154" s="41" t="n">
        <f aca="false">226+28+35</f>
        <v>289</v>
      </c>
      <c r="F154" s="42" t="n">
        <v>56</v>
      </c>
      <c r="G154" s="42" t="n">
        <v>1</v>
      </c>
      <c r="H154" s="41" t="n">
        <v>25</v>
      </c>
      <c r="I154" s="41" t="n">
        <f aca="false">9+54</f>
        <v>63</v>
      </c>
      <c r="J154" s="41" t="n">
        <v>7</v>
      </c>
      <c r="K154" s="42" t="n">
        <f aca="false">SUM(E154:J154)</f>
        <v>441</v>
      </c>
      <c r="L154" s="43"/>
      <c r="M154" s="41" t="s">
        <v>111</v>
      </c>
      <c r="N154" s="42" t="n">
        <v>7</v>
      </c>
      <c r="O154" s="42" t="n">
        <v>13</v>
      </c>
      <c r="P154" s="42" t="n">
        <v>14</v>
      </c>
      <c r="Q154" s="42" t="n">
        <v>15</v>
      </c>
      <c r="R154" s="42" t="n">
        <v>1</v>
      </c>
      <c r="S154" s="42" t="n">
        <v>0</v>
      </c>
      <c r="T154" s="42" t="n">
        <v>8</v>
      </c>
      <c r="U154" s="42" t="n">
        <v>51</v>
      </c>
      <c r="V154" s="42" t="n">
        <v>12</v>
      </c>
      <c r="W154" s="42" t="n">
        <v>0</v>
      </c>
      <c r="X154" s="42" t="n">
        <v>73</v>
      </c>
      <c r="Y154" s="42" t="n">
        <v>1</v>
      </c>
      <c r="Z154" s="42" t="n">
        <v>8</v>
      </c>
      <c r="AA154" s="42" t="n">
        <v>2</v>
      </c>
      <c r="AB154" s="42" t="n">
        <v>0</v>
      </c>
      <c r="AC154" s="42" t="n">
        <v>3</v>
      </c>
      <c r="AD154" s="42" t="n">
        <v>64</v>
      </c>
      <c r="AE154" s="42" t="n">
        <v>51</v>
      </c>
      <c r="AF154" s="42" t="n">
        <v>1</v>
      </c>
      <c r="AG154" s="42" t="n">
        <v>0</v>
      </c>
      <c r="AH154" s="42" t="n">
        <v>4</v>
      </c>
      <c r="AI154" s="42" t="n">
        <v>3</v>
      </c>
      <c r="AJ154" s="42" t="n">
        <v>2</v>
      </c>
      <c r="AK154" s="42" t="n">
        <v>4</v>
      </c>
      <c r="AL154" s="42" t="n">
        <v>2</v>
      </c>
      <c r="AM154" s="42" t="n">
        <v>33</v>
      </c>
      <c r="AN154" s="42" t="n">
        <v>0</v>
      </c>
      <c r="AO154" s="42" t="n">
        <v>19</v>
      </c>
      <c r="AP154" s="42" t="n">
        <v>5</v>
      </c>
      <c r="AQ154" s="42" t="n">
        <v>0</v>
      </c>
      <c r="AR154" s="42" t="n">
        <v>0</v>
      </c>
      <c r="AS154" s="42" t="n">
        <v>0</v>
      </c>
      <c r="AT154" s="42" t="n">
        <v>0</v>
      </c>
      <c r="AU154" s="42"/>
      <c r="AV154" s="42" t="n">
        <f aca="false">SUM(N154:AU154)</f>
        <v>396</v>
      </c>
      <c r="AW154" s="42" t="n">
        <v>45</v>
      </c>
      <c r="AX154" s="42" t="n">
        <v>0</v>
      </c>
      <c r="AY154" s="42" t="n">
        <f aca="false">+AV154+AW154+AX154</f>
        <v>441</v>
      </c>
      <c r="AZ154" s="42" t="n">
        <f aca="false">+K154-AY154</f>
        <v>0</v>
      </c>
      <c r="BA154" s="56"/>
    </row>
    <row r="155" customFormat="false" ht="12.75" hidden="false" customHeight="false" outlineLevel="0" collapsed="false">
      <c r="A155" s="37" t="n">
        <v>11</v>
      </c>
      <c r="B155" s="39" t="s">
        <v>342</v>
      </c>
      <c r="C155" s="39" t="s">
        <v>341</v>
      </c>
      <c r="D155" s="40" t="n">
        <v>102781</v>
      </c>
      <c r="E155" s="41" t="n">
        <f aca="false">172+20+26</f>
        <v>218</v>
      </c>
      <c r="F155" s="42" t="n">
        <v>29</v>
      </c>
      <c r="G155" s="42" t="n">
        <v>1</v>
      </c>
      <c r="H155" s="41" t="n">
        <v>5</v>
      </c>
      <c r="I155" s="41" t="n">
        <f aca="false">6+36</f>
        <v>42</v>
      </c>
      <c r="J155" s="41" t="n">
        <v>4</v>
      </c>
      <c r="K155" s="42" t="n">
        <f aca="false">SUM(E155:J155)</f>
        <v>299</v>
      </c>
      <c r="L155" s="43"/>
      <c r="M155" s="41" t="s">
        <v>111</v>
      </c>
      <c r="N155" s="42" t="n">
        <v>5</v>
      </c>
      <c r="O155" s="42" t="n">
        <v>9</v>
      </c>
      <c r="P155" s="42" t="n">
        <v>10</v>
      </c>
      <c r="Q155" s="42" t="n">
        <v>10</v>
      </c>
      <c r="R155" s="42" t="n">
        <v>1</v>
      </c>
      <c r="S155" s="42" t="n">
        <v>0</v>
      </c>
      <c r="T155" s="42" t="n">
        <v>5</v>
      </c>
      <c r="U155" s="42" t="n">
        <v>35</v>
      </c>
      <c r="V155" s="42" t="n">
        <v>8</v>
      </c>
      <c r="W155" s="42" t="n">
        <v>0</v>
      </c>
      <c r="X155" s="42" t="n">
        <v>51</v>
      </c>
      <c r="Y155" s="42" t="n">
        <v>0</v>
      </c>
      <c r="Z155" s="42" t="n">
        <v>5</v>
      </c>
      <c r="AA155" s="42" t="n">
        <v>1</v>
      </c>
      <c r="AB155" s="42" t="n">
        <v>0</v>
      </c>
      <c r="AC155" s="42" t="n">
        <v>2</v>
      </c>
      <c r="AD155" s="42" t="n">
        <v>44</v>
      </c>
      <c r="AE155" s="42" t="n">
        <v>35</v>
      </c>
      <c r="AF155" s="42" t="n">
        <v>0</v>
      </c>
      <c r="AG155" s="42" t="n">
        <v>0</v>
      </c>
      <c r="AH155" s="42" t="n">
        <v>2</v>
      </c>
      <c r="AI155" s="42" t="n">
        <v>2</v>
      </c>
      <c r="AJ155" s="42" t="n">
        <v>1</v>
      </c>
      <c r="AK155" s="42" t="n">
        <v>3</v>
      </c>
      <c r="AL155" s="42" t="n">
        <v>1</v>
      </c>
      <c r="AM155" s="42" t="n">
        <v>22</v>
      </c>
      <c r="AN155" s="42" t="n">
        <v>0</v>
      </c>
      <c r="AO155" s="42" t="n">
        <v>13</v>
      </c>
      <c r="AP155" s="42" t="n">
        <v>3</v>
      </c>
      <c r="AQ155" s="42" t="n">
        <v>0</v>
      </c>
      <c r="AR155" s="42" t="n">
        <v>0</v>
      </c>
      <c r="AS155" s="42" t="n">
        <v>0</v>
      </c>
      <c r="AT155" s="42" t="n">
        <v>0</v>
      </c>
      <c r="AU155" s="42"/>
      <c r="AV155" s="45" t="n">
        <f aca="false">SUM(N155:AU155)</f>
        <v>268</v>
      </c>
      <c r="AW155" s="42" t="n">
        <v>31</v>
      </c>
      <c r="AX155" s="42" t="n">
        <v>0</v>
      </c>
      <c r="AY155" s="42" t="n">
        <f aca="false">+AV155+AW155+AX155</f>
        <v>299</v>
      </c>
      <c r="AZ155" s="42" t="n">
        <f aca="false">+K155-AY155</f>
        <v>0</v>
      </c>
      <c r="BA155" s="56"/>
    </row>
    <row r="156" customFormat="false" ht="12.75" hidden="false" customHeight="false" outlineLevel="0" collapsed="false">
      <c r="A156" s="37" t="n">
        <v>11</v>
      </c>
      <c r="B156" s="39" t="s">
        <v>343</v>
      </c>
      <c r="C156" s="39" t="s">
        <v>341</v>
      </c>
      <c r="D156" s="40" t="n">
        <v>102782</v>
      </c>
      <c r="E156" s="41" t="n">
        <f aca="false">82+11+12</f>
        <v>105</v>
      </c>
      <c r="F156" s="42" t="n">
        <v>33</v>
      </c>
      <c r="G156" s="42" t="n">
        <v>5</v>
      </c>
      <c r="H156" s="41" t="n">
        <v>10</v>
      </c>
      <c r="I156" s="41" t="n">
        <f aca="false">3+18</f>
        <v>21</v>
      </c>
      <c r="J156" s="41" t="n">
        <v>9</v>
      </c>
      <c r="K156" s="42" t="n">
        <f aca="false">SUM(E156:J156)</f>
        <v>183</v>
      </c>
      <c r="L156" s="43"/>
      <c r="M156" s="41" t="s">
        <v>111</v>
      </c>
      <c r="N156" s="42" t="n">
        <v>3</v>
      </c>
      <c r="O156" s="42" t="n">
        <v>6</v>
      </c>
      <c r="P156" s="42" t="n">
        <v>6</v>
      </c>
      <c r="Q156" s="42" t="n">
        <v>6</v>
      </c>
      <c r="R156" s="42" t="n">
        <v>1</v>
      </c>
      <c r="S156" s="42" t="n">
        <v>0</v>
      </c>
      <c r="T156" s="42" t="n">
        <v>3</v>
      </c>
      <c r="U156" s="42" t="n">
        <v>21</v>
      </c>
      <c r="V156" s="42" t="n">
        <v>5</v>
      </c>
      <c r="W156" s="42" t="n">
        <v>0</v>
      </c>
      <c r="X156" s="42" t="n">
        <v>31</v>
      </c>
      <c r="Y156" s="42" t="n">
        <v>0</v>
      </c>
      <c r="Z156" s="42" t="n">
        <v>3</v>
      </c>
      <c r="AA156" s="42" t="n">
        <v>1</v>
      </c>
      <c r="AB156" s="42" t="n">
        <v>0</v>
      </c>
      <c r="AC156" s="42" t="n">
        <v>1</v>
      </c>
      <c r="AD156" s="42" t="n">
        <v>26</v>
      </c>
      <c r="AE156" s="42" t="n">
        <v>21</v>
      </c>
      <c r="AF156" s="42" t="n">
        <v>0</v>
      </c>
      <c r="AG156" s="42" t="n">
        <v>0</v>
      </c>
      <c r="AH156" s="42" t="n">
        <v>1</v>
      </c>
      <c r="AI156" s="42" t="n">
        <v>1</v>
      </c>
      <c r="AJ156" s="42" t="n">
        <v>1</v>
      </c>
      <c r="AK156" s="42" t="n">
        <v>2</v>
      </c>
      <c r="AL156" s="42" t="n">
        <f aca="false">3-2</f>
        <v>1</v>
      </c>
      <c r="AM156" s="42" t="n">
        <v>14</v>
      </c>
      <c r="AN156" s="42" t="n">
        <v>0</v>
      </c>
      <c r="AO156" s="42" t="n">
        <v>8</v>
      </c>
      <c r="AP156" s="42" t="n">
        <v>2</v>
      </c>
      <c r="AQ156" s="42" t="n">
        <v>0</v>
      </c>
      <c r="AR156" s="42" t="n">
        <v>0</v>
      </c>
      <c r="AS156" s="42" t="n">
        <v>0</v>
      </c>
      <c r="AT156" s="42" t="n">
        <v>0</v>
      </c>
      <c r="AU156" s="42"/>
      <c r="AV156" s="42" t="n">
        <f aca="false">SUM(N156:AU156)</f>
        <v>164</v>
      </c>
      <c r="AW156" s="42" t="n">
        <v>19</v>
      </c>
      <c r="AX156" s="42" t="n">
        <v>0</v>
      </c>
      <c r="AY156" s="42" t="n">
        <f aca="false">+AV156+AW156+AX156</f>
        <v>183</v>
      </c>
      <c r="AZ156" s="42" t="n">
        <f aca="false">+K156-AY156</f>
        <v>0</v>
      </c>
      <c r="BA156" s="56"/>
    </row>
    <row r="157" customFormat="false" ht="12.75" hidden="false" customHeight="false" outlineLevel="0" collapsed="false">
      <c r="A157" s="37" t="n">
        <v>11</v>
      </c>
      <c r="B157" s="39" t="s">
        <v>344</v>
      </c>
      <c r="C157" s="39" t="s">
        <v>345</v>
      </c>
      <c r="D157" s="40" t="n">
        <v>102795</v>
      </c>
      <c r="E157" s="41" t="n">
        <f aca="false">94+10+13</f>
        <v>117</v>
      </c>
      <c r="F157" s="42" t="n">
        <v>28</v>
      </c>
      <c r="G157" s="42" t="n">
        <v>5</v>
      </c>
      <c r="H157" s="41" t="n">
        <v>13</v>
      </c>
      <c r="I157" s="41" t="n">
        <f aca="false">3+18</f>
        <v>21</v>
      </c>
      <c r="J157" s="41" t="n">
        <v>-94</v>
      </c>
      <c r="K157" s="42" t="n">
        <f aca="false">SUM(E157:J157)</f>
        <v>90</v>
      </c>
      <c r="L157" s="43"/>
      <c r="M157" s="41" t="s">
        <v>111</v>
      </c>
      <c r="N157" s="42" t="n">
        <v>1</v>
      </c>
      <c r="O157" s="42" t="n">
        <v>3</v>
      </c>
      <c r="P157" s="42" t="n">
        <v>3</v>
      </c>
      <c r="Q157" s="42" t="n">
        <v>3</v>
      </c>
      <c r="R157" s="42" t="n">
        <v>0</v>
      </c>
      <c r="S157" s="42" t="n">
        <v>0</v>
      </c>
      <c r="T157" s="42" t="n">
        <v>2</v>
      </c>
      <c r="U157" s="42" t="n">
        <v>10</v>
      </c>
      <c r="V157" s="42" t="n">
        <v>3</v>
      </c>
      <c r="W157" s="42" t="n">
        <v>1</v>
      </c>
      <c r="X157" s="42" t="n">
        <v>14</v>
      </c>
      <c r="Y157" s="42" t="n">
        <v>0</v>
      </c>
      <c r="Z157" s="42" t="n">
        <v>2</v>
      </c>
      <c r="AA157" s="42" t="n">
        <v>0</v>
      </c>
      <c r="AB157" s="42" t="n">
        <v>0</v>
      </c>
      <c r="AC157" s="42" t="n">
        <v>1</v>
      </c>
      <c r="AD157" s="42" t="n">
        <v>13</v>
      </c>
      <c r="AE157" s="42" t="n">
        <v>10</v>
      </c>
      <c r="AF157" s="42" t="n">
        <v>0</v>
      </c>
      <c r="AG157" s="42" t="n">
        <v>0</v>
      </c>
      <c r="AH157" s="42" t="n">
        <v>1</v>
      </c>
      <c r="AI157" s="42" t="n">
        <v>1</v>
      </c>
      <c r="AJ157" s="42" t="n">
        <v>0</v>
      </c>
      <c r="AK157" s="42" t="n">
        <v>1</v>
      </c>
      <c r="AL157" s="42" t="n">
        <v>0</v>
      </c>
      <c r="AM157" s="42" t="n">
        <v>7</v>
      </c>
      <c r="AN157" s="42" t="n">
        <v>0</v>
      </c>
      <c r="AO157" s="42" t="n">
        <v>4</v>
      </c>
      <c r="AP157" s="42" t="n">
        <v>1</v>
      </c>
      <c r="AQ157" s="42" t="n">
        <v>0</v>
      </c>
      <c r="AR157" s="42" t="n">
        <v>0</v>
      </c>
      <c r="AS157" s="42" t="n">
        <v>0</v>
      </c>
      <c r="AT157" s="42" t="n">
        <v>0</v>
      </c>
      <c r="AU157" s="42"/>
      <c r="AV157" s="45" t="n">
        <f aca="false">SUM(N157:AU157)</f>
        <v>81</v>
      </c>
      <c r="AW157" s="42" t="n">
        <v>9</v>
      </c>
      <c r="AX157" s="42" t="n">
        <v>0</v>
      </c>
      <c r="AY157" s="42" t="n">
        <f aca="false">+AV157+AW157+AX157</f>
        <v>90</v>
      </c>
      <c r="AZ157" s="42" t="n">
        <f aca="false">+K157-AY157</f>
        <v>0</v>
      </c>
      <c r="BA157" s="56"/>
    </row>
    <row r="158" customFormat="false" ht="12.75" hidden="false" customHeight="false" outlineLevel="0" collapsed="false">
      <c r="A158" s="37" t="n">
        <v>11</v>
      </c>
      <c r="B158" s="39" t="s">
        <v>346</v>
      </c>
      <c r="C158" s="39" t="s">
        <v>347</v>
      </c>
      <c r="D158" s="40" t="n">
        <v>102878</v>
      </c>
      <c r="E158" s="41" t="n">
        <f aca="false">180+16+26</f>
        <v>222</v>
      </c>
      <c r="F158" s="42" t="n">
        <v>18</v>
      </c>
      <c r="G158" s="42" t="n">
        <v>0</v>
      </c>
      <c r="H158" s="41" t="n">
        <v>0</v>
      </c>
      <c r="I158" s="41" t="n">
        <f aca="false">5+28</f>
        <v>33</v>
      </c>
      <c r="J158" s="41" t="n">
        <v>0</v>
      </c>
      <c r="K158" s="42" t="n">
        <f aca="false">SUM(E158:J158)</f>
        <v>273</v>
      </c>
      <c r="L158" s="43"/>
      <c r="M158" s="41" t="s">
        <v>134</v>
      </c>
      <c r="N158" s="42" t="n">
        <v>0</v>
      </c>
      <c r="O158" s="42" t="n">
        <v>0</v>
      </c>
      <c r="P158" s="42" t="n">
        <v>0</v>
      </c>
      <c r="Q158" s="42" t="n">
        <v>0</v>
      </c>
      <c r="R158" s="42" t="n">
        <v>0</v>
      </c>
      <c r="S158" s="42" t="n">
        <v>0</v>
      </c>
      <c r="T158" s="42" t="n">
        <v>0</v>
      </c>
      <c r="U158" s="42" t="n">
        <v>0</v>
      </c>
      <c r="V158" s="42" t="n">
        <v>0</v>
      </c>
      <c r="W158" s="42" t="n">
        <v>0</v>
      </c>
      <c r="X158" s="42" t="n">
        <v>0</v>
      </c>
      <c r="Y158" s="42" t="n">
        <v>0</v>
      </c>
      <c r="Z158" s="42" t="n">
        <v>0</v>
      </c>
      <c r="AA158" s="42" t="n">
        <v>0</v>
      </c>
      <c r="AB158" s="42" t="n">
        <v>0</v>
      </c>
      <c r="AC158" s="42" t="n">
        <v>0</v>
      </c>
      <c r="AD158" s="42" t="n">
        <v>0</v>
      </c>
      <c r="AE158" s="42" t="n">
        <v>0</v>
      </c>
      <c r="AF158" s="42" t="n">
        <v>0</v>
      </c>
      <c r="AG158" s="42" t="n">
        <v>0</v>
      </c>
      <c r="AH158" s="42" t="n">
        <v>0</v>
      </c>
      <c r="AI158" s="42" t="n">
        <v>0</v>
      </c>
      <c r="AJ158" s="42" t="n">
        <v>0</v>
      </c>
      <c r="AK158" s="42" t="n">
        <v>0</v>
      </c>
      <c r="AL158" s="42" t="n">
        <v>0</v>
      </c>
      <c r="AM158" s="42" t="n">
        <v>0</v>
      </c>
      <c r="AN158" s="42" t="n">
        <v>0</v>
      </c>
      <c r="AO158" s="42" t="n">
        <v>0</v>
      </c>
      <c r="AP158" s="42" t="n">
        <v>0</v>
      </c>
      <c r="AQ158" s="42" t="n">
        <v>0</v>
      </c>
      <c r="AR158" s="42" t="n">
        <v>0</v>
      </c>
      <c r="AS158" s="42" t="n">
        <v>0</v>
      </c>
      <c r="AT158" s="42" t="n">
        <v>0</v>
      </c>
      <c r="AU158" s="42"/>
      <c r="AV158" s="42" t="n">
        <f aca="false">SUM(N158:AU158)</f>
        <v>0</v>
      </c>
      <c r="AW158" s="42" t="n">
        <v>273</v>
      </c>
      <c r="AX158" s="42" t="n">
        <v>0</v>
      </c>
      <c r="AY158" s="42" t="n">
        <f aca="false">+AV158+AW158+AX158</f>
        <v>273</v>
      </c>
      <c r="AZ158" s="42" t="n">
        <f aca="false">+K158-AY158</f>
        <v>0</v>
      </c>
      <c r="BA158" s="56"/>
    </row>
    <row r="159" customFormat="false" ht="12.75" hidden="false" customHeight="false" outlineLevel="0" collapsed="false">
      <c r="A159" s="37" t="n">
        <v>11</v>
      </c>
      <c r="B159" s="39" t="s">
        <v>348</v>
      </c>
      <c r="C159" s="39" t="s">
        <v>94</v>
      </c>
      <c r="D159" s="40" t="n">
        <v>102918</v>
      </c>
      <c r="E159" s="41" t="n">
        <v>0</v>
      </c>
      <c r="F159" s="42" t="n">
        <v>0</v>
      </c>
      <c r="G159" s="42" t="n">
        <v>0</v>
      </c>
      <c r="H159" s="41" t="n">
        <v>0</v>
      </c>
      <c r="I159" s="41" t="n">
        <v>0</v>
      </c>
      <c r="J159" s="41" t="n">
        <v>2671</v>
      </c>
      <c r="K159" s="42" t="n">
        <f aca="false">SUM(E159:J159)</f>
        <v>2671</v>
      </c>
      <c r="L159" s="43"/>
      <c r="M159" s="41" t="s">
        <v>349</v>
      </c>
      <c r="N159" s="42" t="n">
        <v>0</v>
      </c>
      <c r="O159" s="42" t="n">
        <v>0</v>
      </c>
      <c r="P159" s="42" t="n">
        <v>0</v>
      </c>
      <c r="Q159" s="42" t="n">
        <v>0</v>
      </c>
      <c r="R159" s="42" t="n">
        <v>0</v>
      </c>
      <c r="S159" s="42" t="n">
        <v>0</v>
      </c>
      <c r="T159" s="42" t="n">
        <v>0</v>
      </c>
      <c r="U159" s="42" t="n">
        <v>0</v>
      </c>
      <c r="V159" s="42" t="n">
        <v>0</v>
      </c>
      <c r="W159" s="42" t="n">
        <v>0</v>
      </c>
      <c r="X159" s="42" t="n">
        <v>0</v>
      </c>
      <c r="Y159" s="42" t="n">
        <v>0</v>
      </c>
      <c r="Z159" s="42" t="n">
        <v>0</v>
      </c>
      <c r="AA159" s="42" t="n">
        <v>0</v>
      </c>
      <c r="AB159" s="42" t="n">
        <v>0</v>
      </c>
      <c r="AC159" s="42" t="n">
        <v>0</v>
      </c>
      <c r="AD159" s="42" t="n">
        <v>0</v>
      </c>
      <c r="AE159" s="42" t="n">
        <v>0</v>
      </c>
      <c r="AF159" s="42" t="n">
        <v>0</v>
      </c>
      <c r="AG159" s="42" t="n">
        <v>0</v>
      </c>
      <c r="AH159" s="42" t="n">
        <v>0</v>
      </c>
      <c r="AI159" s="42" t="n">
        <v>0</v>
      </c>
      <c r="AJ159" s="42" t="n">
        <v>0</v>
      </c>
      <c r="AK159" s="42" t="n">
        <v>0</v>
      </c>
      <c r="AL159" s="42" t="n">
        <v>0</v>
      </c>
      <c r="AM159" s="42" t="n">
        <v>0</v>
      </c>
      <c r="AN159" s="42" t="n">
        <v>0</v>
      </c>
      <c r="AO159" s="42" t="n">
        <v>0</v>
      </c>
      <c r="AP159" s="42" t="n">
        <v>0</v>
      </c>
      <c r="AQ159" s="42" t="n">
        <v>0</v>
      </c>
      <c r="AR159" s="42" t="n">
        <v>0</v>
      </c>
      <c r="AS159" s="42" t="n">
        <v>0</v>
      </c>
      <c r="AT159" s="42" t="n">
        <v>0</v>
      </c>
      <c r="AU159" s="42"/>
      <c r="AV159" s="42" t="n">
        <f aca="false">SUM(N159:AU159)</f>
        <v>0</v>
      </c>
      <c r="AW159" s="42" t="n">
        <v>2671</v>
      </c>
      <c r="AX159" s="42" t="n">
        <v>0</v>
      </c>
      <c r="AY159" s="42" t="n">
        <f aca="false">+AV159+AW159+AX159</f>
        <v>2671</v>
      </c>
      <c r="AZ159" s="42" t="n">
        <f aca="false">+K159-AY159</f>
        <v>0</v>
      </c>
      <c r="BA159" s="56"/>
    </row>
    <row r="160" customFormat="false" ht="12.75" hidden="false" customHeight="false" outlineLevel="0" collapsed="false">
      <c r="A160" s="37" t="n">
        <v>11</v>
      </c>
      <c r="B160" s="39" t="s">
        <v>350</v>
      </c>
      <c r="C160" s="39" t="s">
        <v>94</v>
      </c>
      <c r="D160" s="40" t="n">
        <v>102919</v>
      </c>
      <c r="E160" s="41" t="n">
        <v>0</v>
      </c>
      <c r="F160" s="42" t="n">
        <v>0</v>
      </c>
      <c r="G160" s="42" t="n">
        <v>0</v>
      </c>
      <c r="H160" s="41" t="n">
        <v>0</v>
      </c>
      <c r="I160" s="41" t="n">
        <v>0</v>
      </c>
      <c r="J160" s="41" t="n">
        <v>398</v>
      </c>
      <c r="K160" s="42" t="n">
        <f aca="false">SUM(E160:J160)</f>
        <v>398</v>
      </c>
      <c r="L160" s="43"/>
      <c r="M160" s="41" t="s">
        <v>108</v>
      </c>
      <c r="N160" s="42" t="n">
        <v>0</v>
      </c>
      <c r="O160" s="42" t="n">
        <v>0</v>
      </c>
      <c r="P160" s="42" t="n">
        <v>0</v>
      </c>
      <c r="Q160" s="42" t="n">
        <v>0</v>
      </c>
      <c r="R160" s="42" t="n">
        <v>0</v>
      </c>
      <c r="S160" s="42" t="n">
        <v>0</v>
      </c>
      <c r="T160" s="42" t="n">
        <v>0</v>
      </c>
      <c r="U160" s="42" t="n">
        <v>0</v>
      </c>
      <c r="V160" s="42" t="n">
        <v>0</v>
      </c>
      <c r="W160" s="42" t="n">
        <v>0</v>
      </c>
      <c r="X160" s="42" t="n">
        <v>0</v>
      </c>
      <c r="Y160" s="42" t="n">
        <v>0</v>
      </c>
      <c r="Z160" s="42" t="n">
        <v>0</v>
      </c>
      <c r="AA160" s="42" t="n">
        <v>0</v>
      </c>
      <c r="AB160" s="42" t="n">
        <v>0</v>
      </c>
      <c r="AC160" s="42" t="n">
        <v>0</v>
      </c>
      <c r="AD160" s="42" t="n">
        <v>0</v>
      </c>
      <c r="AE160" s="42" t="n">
        <v>0</v>
      </c>
      <c r="AF160" s="42" t="n">
        <v>0</v>
      </c>
      <c r="AG160" s="42" t="n">
        <v>0</v>
      </c>
      <c r="AH160" s="42" t="n">
        <v>0</v>
      </c>
      <c r="AI160" s="42" t="n">
        <v>0</v>
      </c>
      <c r="AJ160" s="42" t="n">
        <v>0</v>
      </c>
      <c r="AK160" s="42" t="n">
        <v>0</v>
      </c>
      <c r="AL160" s="42" t="n">
        <v>0</v>
      </c>
      <c r="AM160" s="42" t="n">
        <v>0</v>
      </c>
      <c r="AN160" s="42" t="n">
        <v>0</v>
      </c>
      <c r="AO160" s="42" t="n">
        <v>0</v>
      </c>
      <c r="AP160" s="42" t="n">
        <v>0</v>
      </c>
      <c r="AQ160" s="42" t="n">
        <v>0</v>
      </c>
      <c r="AR160" s="42" t="n">
        <v>0</v>
      </c>
      <c r="AS160" s="42" t="n">
        <v>0</v>
      </c>
      <c r="AT160" s="42" t="n">
        <v>0</v>
      </c>
      <c r="AU160" s="42"/>
      <c r="AV160" s="42" t="n">
        <f aca="false">SUM(N160:AU160)</f>
        <v>0</v>
      </c>
      <c r="AW160" s="42" t="n">
        <v>398</v>
      </c>
      <c r="AX160" s="42" t="n">
        <v>0</v>
      </c>
      <c r="AY160" s="42" t="n">
        <f aca="false">+AV160+AW160+AX160</f>
        <v>398</v>
      </c>
      <c r="AZ160" s="42" t="n">
        <f aca="false">+K160-AY160</f>
        <v>0</v>
      </c>
      <c r="BA160" s="56"/>
    </row>
    <row r="161" customFormat="false" ht="12.75" hidden="false" customHeight="false" outlineLevel="0" collapsed="false">
      <c r="A161" s="37" t="n">
        <v>11</v>
      </c>
      <c r="B161" s="39" t="s">
        <v>351</v>
      </c>
      <c r="C161" s="39" t="s">
        <v>352</v>
      </c>
      <c r="D161" s="40" t="n">
        <v>103064</v>
      </c>
      <c r="E161" s="41" t="n">
        <f aca="false">43+4+6</f>
        <v>53</v>
      </c>
      <c r="F161" s="42" t="n">
        <v>16</v>
      </c>
      <c r="G161" s="42" t="n">
        <v>1</v>
      </c>
      <c r="H161" s="41" t="n">
        <v>0</v>
      </c>
      <c r="I161" s="41" t="n">
        <f aca="false">1+6</f>
        <v>7</v>
      </c>
      <c r="J161" s="41" t="n">
        <v>2</v>
      </c>
      <c r="K161" s="42" t="n">
        <f aca="false">SUM(E161:J161)</f>
        <v>79</v>
      </c>
      <c r="L161" s="43"/>
      <c r="M161" s="41" t="s">
        <v>111</v>
      </c>
      <c r="N161" s="42" t="n">
        <v>1</v>
      </c>
      <c r="O161" s="42" t="n">
        <v>2</v>
      </c>
      <c r="P161" s="42" t="n">
        <v>3</v>
      </c>
      <c r="Q161" s="42" t="n">
        <v>3</v>
      </c>
      <c r="R161" s="42" t="n">
        <v>0</v>
      </c>
      <c r="S161" s="42" t="n">
        <v>0</v>
      </c>
      <c r="T161" s="42" t="n">
        <v>1</v>
      </c>
      <c r="U161" s="42" t="n">
        <v>9</v>
      </c>
      <c r="V161" s="42" t="n">
        <v>2</v>
      </c>
      <c r="W161" s="42" t="n">
        <v>0</v>
      </c>
      <c r="X161" s="42" t="n">
        <v>13</v>
      </c>
      <c r="Y161" s="42" t="n">
        <v>0</v>
      </c>
      <c r="Z161" s="42" t="n">
        <v>1</v>
      </c>
      <c r="AA161" s="42" t="n">
        <v>0</v>
      </c>
      <c r="AB161" s="42" t="n">
        <v>0</v>
      </c>
      <c r="AC161" s="42" t="n">
        <v>1</v>
      </c>
      <c r="AD161" s="42" t="n">
        <v>12</v>
      </c>
      <c r="AE161" s="42" t="n">
        <v>10</v>
      </c>
      <c r="AF161" s="42" t="n">
        <v>0</v>
      </c>
      <c r="AG161" s="42" t="n">
        <v>0</v>
      </c>
      <c r="AH161" s="42" t="n">
        <v>1</v>
      </c>
      <c r="AI161" s="42" t="n">
        <v>1</v>
      </c>
      <c r="AJ161" s="42" t="n">
        <v>0</v>
      </c>
      <c r="AK161" s="42" t="n">
        <v>1</v>
      </c>
      <c r="AL161" s="42" t="n">
        <f aca="false">1-1</f>
        <v>0</v>
      </c>
      <c r="AM161" s="42" t="n">
        <v>6</v>
      </c>
      <c r="AN161" s="42" t="n">
        <v>0</v>
      </c>
      <c r="AO161" s="42" t="n">
        <v>3</v>
      </c>
      <c r="AP161" s="42" t="n">
        <v>1</v>
      </c>
      <c r="AQ161" s="42" t="n">
        <v>0</v>
      </c>
      <c r="AR161" s="42" t="n">
        <v>0</v>
      </c>
      <c r="AS161" s="42" t="n">
        <v>0</v>
      </c>
      <c r="AT161" s="42" t="n">
        <v>0</v>
      </c>
      <c r="AU161" s="42"/>
      <c r="AV161" s="45" t="n">
        <f aca="false">SUM(N161:AU161)</f>
        <v>71</v>
      </c>
      <c r="AW161" s="42" t="n">
        <v>8</v>
      </c>
      <c r="AX161" s="42" t="n">
        <v>0</v>
      </c>
      <c r="AY161" s="42" t="n">
        <f aca="false">+AV161+AW161+AX161</f>
        <v>79</v>
      </c>
      <c r="AZ161" s="42" t="n">
        <f aca="false">+K161-AY161</f>
        <v>0</v>
      </c>
      <c r="BA161" s="56"/>
    </row>
    <row r="162" customFormat="false" ht="12.75" hidden="false" customHeight="false" outlineLevel="0" collapsed="false">
      <c r="A162" s="37" t="n">
        <v>11</v>
      </c>
      <c r="B162" s="39" t="s">
        <v>353</v>
      </c>
      <c r="C162" s="39" t="s">
        <v>354</v>
      </c>
      <c r="D162" s="40" t="n">
        <v>103080</v>
      </c>
      <c r="E162" s="41" t="n">
        <f aca="false">149+21+23</f>
        <v>193</v>
      </c>
      <c r="F162" s="42" t="n">
        <v>12</v>
      </c>
      <c r="G162" s="42" t="n">
        <v>2</v>
      </c>
      <c r="H162" s="41" t="n">
        <v>1</v>
      </c>
      <c r="I162" s="41" t="n">
        <f aca="false">6+26</f>
        <v>32</v>
      </c>
      <c r="J162" s="41" t="n">
        <v>292</v>
      </c>
      <c r="K162" s="42" t="n">
        <f aca="false">SUM(E162:J162)</f>
        <v>532</v>
      </c>
      <c r="L162" s="43"/>
      <c r="M162" s="41" t="s">
        <v>339</v>
      </c>
      <c r="N162" s="42" t="n">
        <v>6</v>
      </c>
      <c r="O162" s="42" t="n">
        <v>12</v>
      </c>
      <c r="P162" s="42" t="n">
        <v>18</v>
      </c>
      <c r="Q162" s="42" t="n">
        <v>14</v>
      </c>
      <c r="R162" s="42" t="n">
        <v>1</v>
      </c>
      <c r="S162" s="42" t="n">
        <v>0</v>
      </c>
      <c r="T162" s="42" t="n">
        <v>7</v>
      </c>
      <c r="U162" s="42" t="n">
        <v>47</v>
      </c>
      <c r="V162" s="42" t="n">
        <v>9</v>
      </c>
      <c r="W162" s="42" t="n">
        <v>4</v>
      </c>
      <c r="X162" s="42" t="n">
        <v>67</v>
      </c>
      <c r="Y162" s="42" t="n">
        <v>1</v>
      </c>
      <c r="Z162" s="42" t="n">
        <v>7</v>
      </c>
      <c r="AA162" s="42" t="n">
        <v>1</v>
      </c>
      <c r="AB162" s="42" t="n">
        <v>68</v>
      </c>
      <c r="AC162" s="42" t="n">
        <v>3</v>
      </c>
      <c r="AD162" s="42" t="n">
        <v>61</v>
      </c>
      <c r="AE162" s="42" t="n">
        <v>47</v>
      </c>
      <c r="AF162" s="42" t="n">
        <v>32</v>
      </c>
      <c r="AG162" s="42" t="n">
        <v>0</v>
      </c>
      <c r="AH162" s="42" t="n">
        <v>3</v>
      </c>
      <c r="AI162" s="42" t="n">
        <v>9</v>
      </c>
      <c r="AJ162" s="42" t="n">
        <v>14</v>
      </c>
      <c r="AK162" s="42" t="n">
        <v>5</v>
      </c>
      <c r="AL162" s="42" t="n">
        <v>1</v>
      </c>
      <c r="AM162" s="42" t="n">
        <v>30</v>
      </c>
      <c r="AN162" s="42" t="n">
        <v>0</v>
      </c>
      <c r="AO162" s="42" t="n">
        <v>18</v>
      </c>
      <c r="AP162" s="42" t="n">
        <v>5</v>
      </c>
      <c r="AQ162" s="42" t="n">
        <v>0</v>
      </c>
      <c r="AR162" s="42" t="n">
        <v>0</v>
      </c>
      <c r="AS162" s="42" t="n">
        <v>0</v>
      </c>
      <c r="AT162" s="42" t="n">
        <v>0</v>
      </c>
      <c r="AU162" s="42"/>
      <c r="AV162" s="42" t="n">
        <f aca="false">SUM(N162:AU162)</f>
        <v>490</v>
      </c>
      <c r="AW162" s="42" t="n">
        <v>42</v>
      </c>
      <c r="AX162" s="42" t="n">
        <v>0</v>
      </c>
      <c r="AY162" s="42" t="n">
        <f aca="false">+AV162+AW162+AX162</f>
        <v>532</v>
      </c>
      <c r="AZ162" s="42" t="n">
        <f aca="false">+K162-AY162</f>
        <v>0</v>
      </c>
      <c r="BA162" s="56"/>
    </row>
    <row r="163" customFormat="false" ht="12.75" hidden="false" customHeight="false" outlineLevel="0" collapsed="false">
      <c r="A163" s="37" t="n">
        <v>11</v>
      </c>
      <c r="B163" s="39" t="s">
        <v>355</v>
      </c>
      <c r="C163" s="39" t="s">
        <v>352</v>
      </c>
      <c r="D163" s="40" t="n">
        <v>103082</v>
      </c>
      <c r="E163" s="41" t="n">
        <f aca="false">51+5+8</f>
        <v>64</v>
      </c>
      <c r="F163" s="42" t="n">
        <v>7</v>
      </c>
      <c r="G163" s="42" t="n">
        <v>2</v>
      </c>
      <c r="H163" s="41" t="n">
        <f aca="false">84+13</f>
        <v>97</v>
      </c>
      <c r="I163" s="41" t="n">
        <f aca="false">4+9</f>
        <v>13</v>
      </c>
      <c r="J163" s="41" t="n">
        <v>18</v>
      </c>
      <c r="K163" s="42" t="n">
        <f aca="false">SUM(E163:J163)</f>
        <v>201</v>
      </c>
      <c r="L163" s="43"/>
      <c r="M163" s="41" t="s">
        <v>339</v>
      </c>
      <c r="N163" s="42" t="n">
        <v>2</v>
      </c>
      <c r="O163" s="42" t="n">
        <v>5</v>
      </c>
      <c r="P163" s="42" t="n">
        <v>7</v>
      </c>
      <c r="Q163" s="42" t="n">
        <v>5</v>
      </c>
      <c r="R163" s="42" t="n">
        <v>0</v>
      </c>
      <c r="S163" s="42" t="n">
        <v>0</v>
      </c>
      <c r="T163" s="42" t="n">
        <v>3</v>
      </c>
      <c r="U163" s="42" t="n">
        <v>18</v>
      </c>
      <c r="V163" s="42" t="n">
        <v>4</v>
      </c>
      <c r="W163" s="42" t="n">
        <v>0</v>
      </c>
      <c r="X163" s="42" t="n">
        <v>25</v>
      </c>
      <c r="Y163" s="42" t="n">
        <v>0</v>
      </c>
      <c r="Z163" s="42" t="n">
        <v>3</v>
      </c>
      <c r="AA163" s="42" t="n">
        <v>1</v>
      </c>
      <c r="AB163" s="42" t="n">
        <v>26</v>
      </c>
      <c r="AC163" s="42" t="n">
        <v>1</v>
      </c>
      <c r="AD163" s="42" t="n">
        <v>23</v>
      </c>
      <c r="AE163" s="42" t="n">
        <v>18</v>
      </c>
      <c r="AF163" s="42" t="n">
        <v>12</v>
      </c>
      <c r="AG163" s="42" t="n">
        <v>0</v>
      </c>
      <c r="AH163" s="42" t="n">
        <v>1</v>
      </c>
      <c r="AI163" s="42" t="n">
        <v>3</v>
      </c>
      <c r="AJ163" s="42" t="n">
        <v>5</v>
      </c>
      <c r="AK163" s="42" t="n">
        <v>2</v>
      </c>
      <c r="AL163" s="42" t="n">
        <f aca="false">3-2</f>
        <v>1</v>
      </c>
      <c r="AM163" s="42" t="n">
        <v>11</v>
      </c>
      <c r="AN163" s="42" t="n">
        <v>0</v>
      </c>
      <c r="AO163" s="42" t="n">
        <v>7</v>
      </c>
      <c r="AP163" s="42" t="n">
        <v>2</v>
      </c>
      <c r="AQ163" s="42" t="n">
        <v>0</v>
      </c>
      <c r="AR163" s="42" t="n">
        <v>0</v>
      </c>
      <c r="AS163" s="42" t="n">
        <v>0</v>
      </c>
      <c r="AT163" s="42" t="n">
        <v>0</v>
      </c>
      <c r="AU163" s="42"/>
      <c r="AV163" s="45" t="n">
        <f aca="false">SUM(N163:AU163)</f>
        <v>185</v>
      </c>
      <c r="AW163" s="42" t="n">
        <v>16</v>
      </c>
      <c r="AX163" s="42" t="n">
        <v>0</v>
      </c>
      <c r="AY163" s="42" t="n">
        <f aca="false">+AV163+AW163+AX163</f>
        <v>201</v>
      </c>
      <c r="AZ163" s="42" t="n">
        <f aca="false">+K163-AY163</f>
        <v>0</v>
      </c>
      <c r="BA163" s="56"/>
    </row>
    <row r="164" customFormat="false" ht="12.75" hidden="false" customHeight="false" outlineLevel="0" collapsed="false">
      <c r="A164" s="47" t="n">
        <v>11</v>
      </c>
      <c r="B164" s="48" t="s">
        <v>356</v>
      </c>
      <c r="C164" s="48" t="s">
        <v>357</v>
      </c>
      <c r="D164" s="49" t="n">
        <v>103083</v>
      </c>
      <c r="E164" s="50" t="n">
        <v>0</v>
      </c>
      <c r="F164" s="45" t="n">
        <v>0</v>
      </c>
      <c r="G164" s="45" t="n">
        <v>0</v>
      </c>
      <c r="H164" s="50" t="n">
        <v>11031</v>
      </c>
      <c r="I164" s="50" t="n">
        <v>0</v>
      </c>
      <c r="J164" s="50" t="n">
        <v>-8</v>
      </c>
      <c r="K164" s="42" t="n">
        <f aca="false">SUM(E164:J164)</f>
        <v>11023</v>
      </c>
      <c r="L164" s="51"/>
      <c r="M164" s="41" t="s">
        <v>339</v>
      </c>
      <c r="N164" s="42" t="n">
        <v>142</v>
      </c>
      <c r="O164" s="42" t="n">
        <v>270</v>
      </c>
      <c r="P164" s="42" t="n">
        <v>407</v>
      </c>
      <c r="Q164" s="42" t="n">
        <v>305</v>
      </c>
      <c r="R164" s="42" t="n">
        <v>28</v>
      </c>
      <c r="S164" s="42" t="n">
        <v>0</v>
      </c>
      <c r="T164" s="42" t="n">
        <v>162</v>
      </c>
      <c r="U164" s="42" t="n">
        <v>1047</v>
      </c>
      <c r="V164" s="42" t="n">
        <v>201</v>
      </c>
      <c r="W164" s="42" t="n">
        <v>80</v>
      </c>
      <c r="X164" s="42" t="n">
        <v>1483</v>
      </c>
      <c r="Y164" s="42" t="n">
        <v>13</v>
      </c>
      <c r="Z164" s="42" t="n">
        <v>163</v>
      </c>
      <c r="AA164" s="42" t="n">
        <v>33</v>
      </c>
      <c r="AB164" s="42" t="n">
        <v>1512</v>
      </c>
      <c r="AC164" s="42" t="n">
        <v>66</v>
      </c>
      <c r="AD164" s="42" t="n">
        <v>1358</v>
      </c>
      <c r="AE164" s="42" t="n">
        <v>1038</v>
      </c>
      <c r="AF164" s="42" t="n">
        <v>0</v>
      </c>
      <c r="AG164" s="42" t="n">
        <v>0</v>
      </c>
      <c r="AH164" s="42" t="n">
        <v>72</v>
      </c>
      <c r="AI164" s="42" t="n">
        <v>207</v>
      </c>
      <c r="AJ164" s="42" t="n">
        <v>311</v>
      </c>
      <c r="AK164" s="42" t="n">
        <v>0</v>
      </c>
      <c r="AL164" s="42" t="n">
        <v>31</v>
      </c>
      <c r="AM164" s="42" t="n">
        <v>667</v>
      </c>
      <c r="AN164" s="42" t="n">
        <v>0</v>
      </c>
      <c r="AO164" s="42" t="n">
        <v>389</v>
      </c>
      <c r="AP164" s="42" t="n">
        <v>105</v>
      </c>
      <c r="AQ164" s="42" t="n">
        <v>0</v>
      </c>
      <c r="AR164" s="42" t="n">
        <v>0</v>
      </c>
      <c r="AS164" s="42" t="n">
        <v>0</v>
      </c>
      <c r="AT164" s="42" t="n">
        <v>0</v>
      </c>
      <c r="AU164" s="45"/>
      <c r="AV164" s="45" t="n">
        <f aca="false">SUM(N164:AU164)</f>
        <v>10090</v>
      </c>
      <c r="AW164" s="42" t="n">
        <f aca="false">923+10</f>
        <v>933</v>
      </c>
      <c r="AX164" s="42" t="n">
        <v>0</v>
      </c>
      <c r="AY164" s="42" t="n">
        <f aca="false">+AV164+AW164+AX164</f>
        <v>11023</v>
      </c>
      <c r="AZ164" s="45" t="n">
        <f aca="false">+K164-AY164</f>
        <v>0</v>
      </c>
      <c r="BA164" s="57"/>
    </row>
    <row r="165" customFormat="false" ht="12.75" hidden="false" customHeight="false" outlineLevel="0" collapsed="false">
      <c r="A165" s="47" t="n">
        <v>11</v>
      </c>
      <c r="B165" s="48" t="s">
        <v>358</v>
      </c>
      <c r="C165" s="48" t="s">
        <v>359</v>
      </c>
      <c r="D165" s="49" t="n">
        <v>103088</v>
      </c>
      <c r="E165" s="50" t="n">
        <f aca="false">979+86+153</f>
        <v>1218</v>
      </c>
      <c r="F165" s="45" t="n">
        <v>86</v>
      </c>
      <c r="G165" s="45" t="n">
        <v>0</v>
      </c>
      <c r="H165" s="50" t="n">
        <f aca="false">1276+6+1</f>
        <v>1283</v>
      </c>
      <c r="I165" s="50" t="n">
        <v>0</v>
      </c>
      <c r="J165" s="50" t="n">
        <v>0</v>
      </c>
      <c r="K165" s="45" t="n">
        <f aca="false">SUM(E165:J165)</f>
        <v>2587</v>
      </c>
      <c r="L165" s="51"/>
      <c r="M165" s="50" t="s">
        <v>360</v>
      </c>
      <c r="N165" s="45" t="n">
        <v>0</v>
      </c>
      <c r="O165" s="45" t="n">
        <v>0</v>
      </c>
      <c r="P165" s="45" t="n">
        <f aca="false">ROUND($K165*0.065,0)-86</f>
        <v>82</v>
      </c>
      <c r="Q165" s="42" t="n">
        <v>86</v>
      </c>
      <c r="R165" s="45" t="n">
        <v>0</v>
      </c>
      <c r="S165" s="45" t="n">
        <v>0</v>
      </c>
      <c r="T165" s="45" t="n">
        <v>0</v>
      </c>
      <c r="U165" s="45" t="n">
        <v>0</v>
      </c>
      <c r="V165" s="45" t="n">
        <f aca="false">ROUND($K165*0.125,0)</f>
        <v>323</v>
      </c>
      <c r="W165" s="42" t="n">
        <v>0</v>
      </c>
      <c r="X165" s="45" t="n">
        <f aca="false">ROUND($K165*0.125,0)</f>
        <v>323</v>
      </c>
      <c r="Y165" s="45" t="n">
        <v>0</v>
      </c>
      <c r="Z165" s="45" t="n">
        <v>0</v>
      </c>
      <c r="AA165" s="45" t="n">
        <f aca="false">ROUND($K165*0.015,0)</f>
        <v>39</v>
      </c>
      <c r="AB165" s="45" t="n">
        <f aca="false">ROUND($K165*0.125,0)</f>
        <v>323</v>
      </c>
      <c r="AC165" s="45" t="n">
        <v>0</v>
      </c>
      <c r="AD165" s="45" t="n">
        <f aca="false">ROUND($K165*0.125,0)</f>
        <v>323</v>
      </c>
      <c r="AE165" s="45" t="n">
        <f aca="false">ROUND($K165*0.125,0)</f>
        <v>323</v>
      </c>
      <c r="AF165" s="45" t="n">
        <v>0</v>
      </c>
      <c r="AG165" s="45" t="n">
        <v>0</v>
      </c>
      <c r="AH165" s="45" t="n">
        <f aca="false">ROUND($K165*0.015,0)</f>
        <v>39</v>
      </c>
      <c r="AI165" s="45" t="n">
        <f aca="false">ROUND($K165*0.03,0)</f>
        <v>78</v>
      </c>
      <c r="AJ165" s="45" t="n">
        <f aca="false">ROUND($K165*0.03,0)</f>
        <v>78</v>
      </c>
      <c r="AK165" s="45" t="n">
        <f aca="false">ROUND($K165*0.015,0)</f>
        <v>39</v>
      </c>
      <c r="AL165" s="45" t="n">
        <f aca="false">ROUND($K165*0.015,0)</f>
        <v>39</v>
      </c>
      <c r="AM165" s="45" t="n">
        <f aca="false">ROUND($K165*0.015,0)</f>
        <v>39</v>
      </c>
      <c r="AN165" s="45" t="n">
        <v>0</v>
      </c>
      <c r="AO165" s="45" t="n">
        <f aca="false">ROUND($K165*0.035,0)</f>
        <v>91</v>
      </c>
      <c r="AP165" s="45" t="n">
        <f aca="false">ROUND($K165*0.015,0)</f>
        <v>39</v>
      </c>
      <c r="AQ165" s="45" t="n">
        <v>0</v>
      </c>
      <c r="AR165" s="45" t="n">
        <v>0</v>
      </c>
      <c r="AS165" s="45" t="n">
        <v>0</v>
      </c>
      <c r="AT165" s="45" t="n">
        <v>0</v>
      </c>
      <c r="AU165" s="45"/>
      <c r="AV165" s="45" t="n">
        <f aca="false">SUM(N165:AU165)</f>
        <v>2264</v>
      </c>
      <c r="AW165" s="45" t="n">
        <f aca="false">K165-AV165</f>
        <v>323</v>
      </c>
      <c r="AX165" s="45" t="n">
        <v>0</v>
      </c>
      <c r="AY165" s="45" t="n">
        <f aca="false">+AV165+AW165+AX165</f>
        <v>2587</v>
      </c>
      <c r="AZ165" s="45" t="n">
        <f aca="false">+K165-AY165</f>
        <v>0</v>
      </c>
      <c r="BA165" s="57"/>
    </row>
    <row r="166" customFormat="false" ht="12.75" hidden="false" customHeight="false" outlineLevel="0" collapsed="false">
      <c r="A166" s="47" t="n">
        <v>11</v>
      </c>
      <c r="B166" s="48" t="s">
        <v>361</v>
      </c>
      <c r="C166" s="48" t="s">
        <v>362</v>
      </c>
      <c r="D166" s="49" t="n">
        <v>103089</v>
      </c>
      <c r="E166" s="50" t="n">
        <f aca="false">1930+179+122</f>
        <v>2231</v>
      </c>
      <c r="F166" s="45" t="n">
        <v>29</v>
      </c>
      <c r="G166" s="45" t="n">
        <v>0</v>
      </c>
      <c r="H166" s="50" t="n">
        <v>433</v>
      </c>
      <c r="I166" s="50" t="n">
        <v>0</v>
      </c>
      <c r="J166" s="50" t="n">
        <v>0</v>
      </c>
      <c r="K166" s="45" t="n">
        <f aca="false">SUM(E166:J166)</f>
        <v>2693</v>
      </c>
      <c r="L166" s="51"/>
      <c r="M166" s="50" t="s">
        <v>360</v>
      </c>
      <c r="N166" s="45" t="n">
        <v>0</v>
      </c>
      <c r="O166" s="45" t="n">
        <v>0</v>
      </c>
      <c r="P166" s="45" t="n">
        <f aca="false">ROUND($K166*0.065,0)-89</f>
        <v>86</v>
      </c>
      <c r="Q166" s="42" t="n">
        <v>89</v>
      </c>
      <c r="R166" s="45" t="n">
        <v>0</v>
      </c>
      <c r="S166" s="45" t="n">
        <v>0</v>
      </c>
      <c r="T166" s="45" t="n">
        <v>0</v>
      </c>
      <c r="U166" s="45" t="n">
        <v>0</v>
      </c>
      <c r="V166" s="45" t="n">
        <f aca="false">ROUND($K166*0.125,0)</f>
        <v>337</v>
      </c>
      <c r="W166" s="42" t="n">
        <v>0</v>
      </c>
      <c r="X166" s="45" t="n">
        <f aca="false">ROUND($K166*0.125,0)</f>
        <v>337</v>
      </c>
      <c r="Y166" s="45" t="n">
        <v>0</v>
      </c>
      <c r="Z166" s="45" t="n">
        <v>0</v>
      </c>
      <c r="AA166" s="45" t="n">
        <f aca="false">ROUND($K166*0.015,0)</f>
        <v>40</v>
      </c>
      <c r="AB166" s="45" t="n">
        <f aca="false">ROUND($K166*0.125,0)</f>
        <v>337</v>
      </c>
      <c r="AC166" s="45" t="n">
        <v>0</v>
      </c>
      <c r="AD166" s="45" t="n">
        <f aca="false">ROUND($K166*0.125,0)</f>
        <v>337</v>
      </c>
      <c r="AE166" s="45" t="n">
        <f aca="false">ROUND($K166*0.125,0)</f>
        <v>337</v>
      </c>
      <c r="AF166" s="45" t="n">
        <v>0</v>
      </c>
      <c r="AG166" s="45" t="n">
        <v>0</v>
      </c>
      <c r="AH166" s="45" t="n">
        <f aca="false">ROUND($K166*0.015,0)</f>
        <v>40</v>
      </c>
      <c r="AI166" s="45" t="n">
        <f aca="false">ROUND($K166*0.03,0)</f>
        <v>81</v>
      </c>
      <c r="AJ166" s="45" t="n">
        <f aca="false">ROUND($K166*0.03,0)</f>
        <v>81</v>
      </c>
      <c r="AK166" s="45" t="n">
        <f aca="false">ROUND($K166*0.015,0)</f>
        <v>40</v>
      </c>
      <c r="AL166" s="45" t="n">
        <f aca="false">ROUND($K166*0.015,0)</f>
        <v>40</v>
      </c>
      <c r="AM166" s="45" t="n">
        <f aca="false">ROUND($K166*0.015,0)</f>
        <v>40</v>
      </c>
      <c r="AN166" s="45" t="n">
        <v>0</v>
      </c>
      <c r="AO166" s="45" t="n">
        <f aca="false">ROUND($K166*0.035,0)</f>
        <v>94</v>
      </c>
      <c r="AP166" s="45" t="n">
        <f aca="false">ROUND($K166*0.015,0)</f>
        <v>40</v>
      </c>
      <c r="AQ166" s="45" t="n">
        <v>0</v>
      </c>
      <c r="AR166" s="45" t="n">
        <v>0</v>
      </c>
      <c r="AS166" s="45" t="n">
        <v>0</v>
      </c>
      <c r="AT166" s="45" t="n">
        <v>0</v>
      </c>
      <c r="AU166" s="45"/>
      <c r="AV166" s="45" t="n">
        <f aca="false">SUM(N166:AU166)</f>
        <v>2356</v>
      </c>
      <c r="AW166" s="45" t="n">
        <f aca="false">K166-AV166</f>
        <v>337</v>
      </c>
      <c r="AX166" s="45" t="n">
        <v>0</v>
      </c>
      <c r="AY166" s="45" t="n">
        <f aca="false">+AV166+AW166+AX166</f>
        <v>2693</v>
      </c>
      <c r="AZ166" s="45" t="n">
        <f aca="false">+K166-AY166</f>
        <v>0</v>
      </c>
      <c r="BA166" s="57"/>
    </row>
    <row r="167" customFormat="false" ht="12.75" hidden="false" customHeight="false" outlineLevel="0" collapsed="false">
      <c r="A167" s="47" t="n">
        <v>11</v>
      </c>
      <c r="B167" s="48" t="s">
        <v>363</v>
      </c>
      <c r="C167" s="48" t="s">
        <v>364</v>
      </c>
      <c r="D167" s="49" t="n">
        <v>103090</v>
      </c>
      <c r="E167" s="50" t="n">
        <f aca="false">824+71+124</f>
        <v>1019</v>
      </c>
      <c r="F167" s="45" t="n">
        <v>59</v>
      </c>
      <c r="G167" s="45" t="n">
        <v>0</v>
      </c>
      <c r="H167" s="50" t="n">
        <v>163</v>
      </c>
      <c r="I167" s="50" t="n">
        <v>0</v>
      </c>
      <c r="J167" s="50" t="n">
        <v>0</v>
      </c>
      <c r="K167" s="45" t="n">
        <f aca="false">SUM(E167:J167)</f>
        <v>1241</v>
      </c>
      <c r="L167" s="51"/>
      <c r="M167" s="50" t="s">
        <v>360</v>
      </c>
      <c r="N167" s="45" t="n">
        <v>0</v>
      </c>
      <c r="O167" s="45" t="n">
        <v>0</v>
      </c>
      <c r="P167" s="45" t="n">
        <f aca="false">ROUND($K167*0.065,0)-41</f>
        <v>40</v>
      </c>
      <c r="Q167" s="42" t="n">
        <v>41</v>
      </c>
      <c r="R167" s="45" t="n">
        <v>0</v>
      </c>
      <c r="S167" s="45" t="n">
        <v>0</v>
      </c>
      <c r="T167" s="45" t="n">
        <v>0</v>
      </c>
      <c r="U167" s="45" t="n">
        <v>0</v>
      </c>
      <c r="V167" s="45" t="n">
        <f aca="false">ROUND($K167*0.125,0)</f>
        <v>155</v>
      </c>
      <c r="W167" s="42" t="n">
        <v>0</v>
      </c>
      <c r="X167" s="45" t="n">
        <f aca="false">ROUND($K167*0.125,0)</f>
        <v>155</v>
      </c>
      <c r="Y167" s="45" t="n">
        <v>0</v>
      </c>
      <c r="Z167" s="45" t="n">
        <v>0</v>
      </c>
      <c r="AA167" s="45" t="n">
        <f aca="false">ROUND($K167*0.015,0)</f>
        <v>19</v>
      </c>
      <c r="AB167" s="45" t="n">
        <f aca="false">ROUND($K167*0.125,0)</f>
        <v>155</v>
      </c>
      <c r="AC167" s="45" t="n">
        <v>0</v>
      </c>
      <c r="AD167" s="45" t="n">
        <f aca="false">ROUND($K167*0.125,0)</f>
        <v>155</v>
      </c>
      <c r="AE167" s="45" t="n">
        <f aca="false">ROUND($K167*0.125,0)</f>
        <v>155</v>
      </c>
      <c r="AF167" s="45" t="n">
        <v>0</v>
      </c>
      <c r="AG167" s="45" t="n">
        <v>0</v>
      </c>
      <c r="AH167" s="45" t="n">
        <f aca="false">ROUND($K167*0.015,0)</f>
        <v>19</v>
      </c>
      <c r="AI167" s="45" t="n">
        <f aca="false">ROUND($K167*0.03,0)</f>
        <v>37</v>
      </c>
      <c r="AJ167" s="45" t="n">
        <f aca="false">ROUND($K167*0.03,0)</f>
        <v>37</v>
      </c>
      <c r="AK167" s="45" t="n">
        <f aca="false">ROUND($K167*0.015,0)</f>
        <v>19</v>
      </c>
      <c r="AL167" s="45" t="n">
        <f aca="false">ROUND($K167*0.015,0)</f>
        <v>19</v>
      </c>
      <c r="AM167" s="45" t="n">
        <f aca="false">ROUND($K167*0.015,0)</f>
        <v>19</v>
      </c>
      <c r="AN167" s="45" t="n">
        <v>0</v>
      </c>
      <c r="AO167" s="45" t="n">
        <f aca="false">ROUND($K167*0.035,0)</f>
        <v>43</v>
      </c>
      <c r="AP167" s="45" t="n">
        <f aca="false">ROUND($K167*0.015,0)</f>
        <v>19</v>
      </c>
      <c r="AQ167" s="45" t="n">
        <v>0</v>
      </c>
      <c r="AR167" s="45" t="n">
        <v>0</v>
      </c>
      <c r="AS167" s="45" t="n">
        <v>0</v>
      </c>
      <c r="AT167" s="45" t="n">
        <v>0</v>
      </c>
      <c r="AU167" s="45"/>
      <c r="AV167" s="45" t="n">
        <f aca="false">SUM(N167:AU167)</f>
        <v>1087</v>
      </c>
      <c r="AW167" s="45" t="n">
        <f aca="false">K167-AV167</f>
        <v>154</v>
      </c>
      <c r="AX167" s="45" t="n">
        <v>0</v>
      </c>
      <c r="AY167" s="45" t="n">
        <f aca="false">+AV167+AW167+AX167</f>
        <v>1241</v>
      </c>
      <c r="AZ167" s="45" t="n">
        <f aca="false">+K167-AY167</f>
        <v>0</v>
      </c>
      <c r="BA167" s="57"/>
    </row>
    <row r="168" customFormat="false" ht="12.75" hidden="false" customHeight="false" outlineLevel="0" collapsed="false">
      <c r="A168" s="47" t="n">
        <v>11</v>
      </c>
      <c r="B168" s="48" t="s">
        <v>365</v>
      </c>
      <c r="C168" s="48" t="s">
        <v>366</v>
      </c>
      <c r="D168" s="49" t="n">
        <v>103091</v>
      </c>
      <c r="E168" s="50" t="n">
        <f aca="false">763+81+123</f>
        <v>967</v>
      </c>
      <c r="F168" s="45" t="n">
        <v>30</v>
      </c>
      <c r="G168" s="45" t="n">
        <v>0</v>
      </c>
      <c r="H168" s="50" t="n">
        <v>0</v>
      </c>
      <c r="I168" s="50" t="n">
        <v>0</v>
      </c>
      <c r="J168" s="50" t="n">
        <v>0</v>
      </c>
      <c r="K168" s="45" t="n">
        <f aca="false">SUM(E168:J168)</f>
        <v>997</v>
      </c>
      <c r="L168" s="51"/>
      <c r="M168" s="50" t="s">
        <v>360</v>
      </c>
      <c r="N168" s="45" t="n">
        <v>0</v>
      </c>
      <c r="O168" s="45" t="n">
        <v>0</v>
      </c>
      <c r="P168" s="45" t="n">
        <f aca="false">ROUND($K168*0.065,0)-33</f>
        <v>32</v>
      </c>
      <c r="Q168" s="42" t="n">
        <v>33</v>
      </c>
      <c r="R168" s="45" t="n">
        <v>0</v>
      </c>
      <c r="S168" s="45" t="n">
        <v>0</v>
      </c>
      <c r="T168" s="45" t="n">
        <v>0</v>
      </c>
      <c r="U168" s="45" t="n">
        <v>0</v>
      </c>
      <c r="V168" s="45" t="n">
        <f aca="false">ROUND($K168*0.125,0)</f>
        <v>125</v>
      </c>
      <c r="W168" s="42" t="n">
        <v>0</v>
      </c>
      <c r="X168" s="45" t="n">
        <f aca="false">ROUND($K168*0.125,0)</f>
        <v>125</v>
      </c>
      <c r="Y168" s="45" t="n">
        <v>0</v>
      </c>
      <c r="Z168" s="45" t="n">
        <v>0</v>
      </c>
      <c r="AA168" s="45" t="n">
        <f aca="false">ROUND($K168*0.015,0)</f>
        <v>15</v>
      </c>
      <c r="AB168" s="45" t="n">
        <f aca="false">ROUND($K168*0.125,0)</f>
        <v>125</v>
      </c>
      <c r="AC168" s="45" t="n">
        <v>0</v>
      </c>
      <c r="AD168" s="45" t="n">
        <f aca="false">ROUND($K168*0.125,0)</f>
        <v>125</v>
      </c>
      <c r="AE168" s="45" t="n">
        <f aca="false">ROUND($K168*0.125,0)</f>
        <v>125</v>
      </c>
      <c r="AF168" s="45" t="n">
        <v>0</v>
      </c>
      <c r="AG168" s="45" t="n">
        <v>0</v>
      </c>
      <c r="AH168" s="45" t="n">
        <f aca="false">ROUND($K168*0.015,0)</f>
        <v>15</v>
      </c>
      <c r="AI168" s="45" t="n">
        <f aca="false">ROUND($K168*0.03,0)</f>
        <v>30</v>
      </c>
      <c r="AJ168" s="45" t="n">
        <f aca="false">ROUND($K168*0.03,0)</f>
        <v>30</v>
      </c>
      <c r="AK168" s="45" t="n">
        <f aca="false">ROUND($K168*0.015,0)</f>
        <v>15</v>
      </c>
      <c r="AL168" s="45" t="n">
        <f aca="false">ROUND($K168*0.015,0)</f>
        <v>15</v>
      </c>
      <c r="AM168" s="45" t="n">
        <f aca="false">ROUND($K168*0.015,0)</f>
        <v>15</v>
      </c>
      <c r="AN168" s="45" t="n">
        <v>0</v>
      </c>
      <c r="AO168" s="45" t="n">
        <f aca="false">ROUND($K168*0.035,0)</f>
        <v>35</v>
      </c>
      <c r="AP168" s="45" t="n">
        <f aca="false">ROUND($K168*0.015,0)</f>
        <v>15</v>
      </c>
      <c r="AQ168" s="45" t="n">
        <v>0</v>
      </c>
      <c r="AR168" s="45" t="n">
        <v>0</v>
      </c>
      <c r="AS168" s="45" t="n">
        <v>0</v>
      </c>
      <c r="AT168" s="45" t="n">
        <v>0</v>
      </c>
      <c r="AU168" s="45"/>
      <c r="AV168" s="45" t="n">
        <f aca="false">SUM(N168:AU168)</f>
        <v>875</v>
      </c>
      <c r="AW168" s="45" t="n">
        <f aca="false">K168-AV168</f>
        <v>122</v>
      </c>
      <c r="AX168" s="45" t="n">
        <v>0</v>
      </c>
      <c r="AY168" s="45" t="n">
        <f aca="false">+AV168+AW168+AX168</f>
        <v>997</v>
      </c>
      <c r="AZ168" s="45" t="n">
        <f aca="false">+K168-AY168</f>
        <v>0</v>
      </c>
      <c r="BA168" s="57"/>
    </row>
    <row r="169" customFormat="false" ht="12.75" hidden="false" customHeight="false" outlineLevel="0" collapsed="false">
      <c r="A169" s="47" t="n">
        <v>11</v>
      </c>
      <c r="B169" s="48" t="s">
        <v>367</v>
      </c>
      <c r="C169" s="48" t="s">
        <v>366</v>
      </c>
      <c r="D169" s="49" t="n">
        <v>103092</v>
      </c>
      <c r="E169" s="50" t="n">
        <f aca="false">1217+120+188</f>
        <v>1525</v>
      </c>
      <c r="F169" s="45" t="n">
        <v>43</v>
      </c>
      <c r="G169" s="45" t="n">
        <v>0</v>
      </c>
      <c r="H169" s="50" t="n">
        <v>53</v>
      </c>
      <c r="I169" s="50" t="n">
        <v>0</v>
      </c>
      <c r="J169" s="50" t="n">
        <v>0</v>
      </c>
      <c r="K169" s="45" t="n">
        <f aca="false">SUM(E169:J169)</f>
        <v>1621</v>
      </c>
      <c r="L169" s="51"/>
      <c r="M169" s="50" t="s">
        <v>360</v>
      </c>
      <c r="N169" s="45" t="n">
        <v>0</v>
      </c>
      <c r="O169" s="45" t="n">
        <v>0</v>
      </c>
      <c r="P169" s="45" t="n">
        <f aca="false">ROUND($K169*0.065,0)-54</f>
        <v>51</v>
      </c>
      <c r="Q169" s="42" t="n">
        <v>54</v>
      </c>
      <c r="R169" s="45" t="n">
        <v>0</v>
      </c>
      <c r="S169" s="45" t="n">
        <v>0</v>
      </c>
      <c r="T169" s="45" t="n">
        <v>0</v>
      </c>
      <c r="U169" s="45" t="n">
        <v>0</v>
      </c>
      <c r="V169" s="45" t="n">
        <f aca="false">ROUND($K169*0.125,0)</f>
        <v>203</v>
      </c>
      <c r="W169" s="42" t="n">
        <v>0</v>
      </c>
      <c r="X169" s="45" t="n">
        <f aca="false">ROUND($K169*0.125,0)</f>
        <v>203</v>
      </c>
      <c r="Y169" s="45" t="n">
        <v>0</v>
      </c>
      <c r="Z169" s="45" t="n">
        <v>0</v>
      </c>
      <c r="AA169" s="45" t="n">
        <f aca="false">ROUND($K169*0.015,0)</f>
        <v>24</v>
      </c>
      <c r="AB169" s="45" t="n">
        <f aca="false">ROUND($K169*0.125,0)</f>
        <v>203</v>
      </c>
      <c r="AC169" s="45" t="n">
        <v>0</v>
      </c>
      <c r="AD169" s="45" t="n">
        <f aca="false">ROUND($K169*0.125,0)</f>
        <v>203</v>
      </c>
      <c r="AE169" s="45" t="n">
        <f aca="false">ROUND($K169*0.125,0)</f>
        <v>203</v>
      </c>
      <c r="AF169" s="45" t="n">
        <v>0</v>
      </c>
      <c r="AG169" s="45" t="n">
        <v>0</v>
      </c>
      <c r="AH169" s="45" t="n">
        <f aca="false">ROUND($K169*0.015,0)</f>
        <v>24</v>
      </c>
      <c r="AI169" s="45" t="n">
        <f aca="false">ROUND($K169*0.03,0)</f>
        <v>49</v>
      </c>
      <c r="AJ169" s="45" t="n">
        <f aca="false">ROUND($K169*0.03,0)</f>
        <v>49</v>
      </c>
      <c r="AK169" s="45" t="n">
        <f aca="false">ROUND($K169*0.015,0)</f>
        <v>24</v>
      </c>
      <c r="AL169" s="45" t="n">
        <f aca="false">ROUND($K169*0.015,0)</f>
        <v>24</v>
      </c>
      <c r="AM169" s="45" t="n">
        <f aca="false">ROUND($K169*0.015,0)</f>
        <v>24</v>
      </c>
      <c r="AN169" s="45" t="n">
        <v>0</v>
      </c>
      <c r="AO169" s="45" t="n">
        <f aca="false">ROUND($K169*0.035,0)</f>
        <v>57</v>
      </c>
      <c r="AP169" s="45" t="n">
        <f aca="false">ROUND($K169*0.015,0)</f>
        <v>24</v>
      </c>
      <c r="AQ169" s="45" t="n">
        <v>0</v>
      </c>
      <c r="AR169" s="45" t="n">
        <v>0</v>
      </c>
      <c r="AS169" s="45" t="n">
        <v>0</v>
      </c>
      <c r="AT169" s="45" t="n">
        <v>0</v>
      </c>
      <c r="AU169" s="45"/>
      <c r="AV169" s="45" t="n">
        <f aca="false">SUM(N169:AU169)</f>
        <v>1419</v>
      </c>
      <c r="AW169" s="45" t="n">
        <f aca="false">K169-AV169</f>
        <v>202</v>
      </c>
      <c r="AX169" s="45" t="n">
        <v>0</v>
      </c>
      <c r="AY169" s="45" t="n">
        <f aca="false">+AV169+AW169+AX169</f>
        <v>1621</v>
      </c>
      <c r="AZ169" s="45" t="n">
        <f aca="false">+K169-AY169</f>
        <v>0</v>
      </c>
      <c r="BA169" s="57"/>
    </row>
    <row r="170" customFormat="false" ht="12.75" hidden="false" customHeight="false" outlineLevel="0" collapsed="false">
      <c r="A170" s="47" t="n">
        <v>11</v>
      </c>
      <c r="B170" s="48" t="s">
        <v>368</v>
      </c>
      <c r="C170" s="48" t="s">
        <v>369</v>
      </c>
      <c r="D170" s="49" t="n">
        <v>103093</v>
      </c>
      <c r="E170" s="50" t="n">
        <f aca="false">1937+164+288</f>
        <v>2389</v>
      </c>
      <c r="F170" s="45" t="n">
        <v>145</v>
      </c>
      <c r="G170" s="45" t="n">
        <v>0</v>
      </c>
      <c r="H170" s="50" t="n">
        <f aca="false">1252-660</f>
        <v>592</v>
      </c>
      <c r="I170" s="50" t="n">
        <v>0</v>
      </c>
      <c r="J170" s="50" t="n">
        <v>0</v>
      </c>
      <c r="K170" s="45" t="n">
        <f aca="false">SUM(E170:J170)</f>
        <v>3126</v>
      </c>
      <c r="L170" s="51"/>
      <c r="M170" s="50" t="s">
        <v>360</v>
      </c>
      <c r="N170" s="45" t="n">
        <v>0</v>
      </c>
      <c r="O170" s="45" t="n">
        <v>0</v>
      </c>
      <c r="P170" s="45" t="n">
        <f aca="false">ROUND($K170*0.065,0)-87</f>
        <v>116</v>
      </c>
      <c r="Q170" s="42" t="n">
        <v>87</v>
      </c>
      <c r="R170" s="45" t="n">
        <v>0</v>
      </c>
      <c r="S170" s="45" t="n">
        <v>0</v>
      </c>
      <c r="T170" s="45" t="n">
        <v>0</v>
      </c>
      <c r="U170" s="45" t="n">
        <v>0</v>
      </c>
      <c r="V170" s="45" t="n">
        <f aca="false">ROUND($K170*0.125,0)</f>
        <v>391</v>
      </c>
      <c r="W170" s="42" t="n">
        <v>0</v>
      </c>
      <c r="X170" s="45" t="n">
        <f aca="false">ROUND($K170*0.125,0)</f>
        <v>391</v>
      </c>
      <c r="Y170" s="45" t="n">
        <v>0</v>
      </c>
      <c r="Z170" s="45" t="n">
        <v>0</v>
      </c>
      <c r="AA170" s="45" t="n">
        <f aca="false">ROUND($K170*0.015,0)</f>
        <v>47</v>
      </c>
      <c r="AB170" s="45" t="n">
        <f aca="false">ROUND($K170*0.125,0)</f>
        <v>391</v>
      </c>
      <c r="AC170" s="45" t="n">
        <v>0</v>
      </c>
      <c r="AD170" s="45" t="n">
        <f aca="false">ROUND($K170*0.125,0)</f>
        <v>391</v>
      </c>
      <c r="AE170" s="45" t="n">
        <f aca="false">ROUND($K170*0.125,0)</f>
        <v>391</v>
      </c>
      <c r="AF170" s="45" t="n">
        <v>0</v>
      </c>
      <c r="AG170" s="45" t="n">
        <v>0</v>
      </c>
      <c r="AH170" s="45" t="n">
        <f aca="false">ROUND($K170*0.015,0)</f>
        <v>47</v>
      </c>
      <c r="AI170" s="45" t="n">
        <f aca="false">ROUND($K170*0.03,0)</f>
        <v>94</v>
      </c>
      <c r="AJ170" s="45" t="n">
        <f aca="false">ROUND($K170*0.03,0)</f>
        <v>94</v>
      </c>
      <c r="AK170" s="45" t="n">
        <f aca="false">ROUND($K170*0.015,0)</f>
        <v>47</v>
      </c>
      <c r="AL170" s="45" t="n">
        <f aca="false">ROUND($K170*0.015,0)</f>
        <v>47</v>
      </c>
      <c r="AM170" s="45" t="n">
        <f aca="false">ROUND($K170*0.015,0)</f>
        <v>47</v>
      </c>
      <c r="AN170" s="45" t="n">
        <v>0</v>
      </c>
      <c r="AO170" s="45" t="n">
        <f aca="false">ROUND($K170*0.035,0)</f>
        <v>109</v>
      </c>
      <c r="AP170" s="45" t="n">
        <f aca="false">ROUND($K170*0.015,0)</f>
        <v>47</v>
      </c>
      <c r="AQ170" s="45" t="n">
        <v>0</v>
      </c>
      <c r="AR170" s="45" t="n">
        <v>0</v>
      </c>
      <c r="AS170" s="45" t="n">
        <v>0</v>
      </c>
      <c r="AT170" s="45" t="n">
        <v>0</v>
      </c>
      <c r="AU170" s="45"/>
      <c r="AV170" s="45" t="n">
        <f aca="false">SUM(N170:AU170)</f>
        <v>2737</v>
      </c>
      <c r="AW170" s="45" t="n">
        <f aca="false">K170-AV170</f>
        <v>389</v>
      </c>
      <c r="AX170" s="45" t="n">
        <v>0</v>
      </c>
      <c r="AY170" s="45" t="n">
        <f aca="false">+AV170+AW170+AX170</f>
        <v>3126</v>
      </c>
      <c r="AZ170" s="45" t="n">
        <f aca="false">+K170-AY170</f>
        <v>0</v>
      </c>
      <c r="BA170" s="57"/>
    </row>
    <row r="171" customFormat="false" ht="12.75" hidden="false" customHeight="false" outlineLevel="0" collapsed="false">
      <c r="A171" s="47" t="n">
        <v>11</v>
      </c>
      <c r="B171" s="48" t="s">
        <v>370</v>
      </c>
      <c r="C171" s="48" t="s">
        <v>267</v>
      </c>
      <c r="D171" s="49" t="n">
        <v>103094</v>
      </c>
      <c r="E171" s="50" t="n">
        <v>0</v>
      </c>
      <c r="F171" s="45" t="n">
        <v>61</v>
      </c>
      <c r="G171" s="45" t="n">
        <v>62</v>
      </c>
      <c r="H171" s="50" t="n">
        <v>0</v>
      </c>
      <c r="I171" s="50" t="n">
        <f aca="false">1006+795</f>
        <v>1801</v>
      </c>
      <c r="J171" s="50" t="n">
        <v>46</v>
      </c>
      <c r="K171" s="45" t="n">
        <f aca="false">SUM(E171:J171)</f>
        <v>1970</v>
      </c>
      <c r="L171" s="51"/>
      <c r="M171" s="50" t="s">
        <v>360</v>
      </c>
      <c r="N171" s="45" t="n">
        <v>0</v>
      </c>
      <c r="O171" s="45" t="n">
        <v>0</v>
      </c>
      <c r="P171" s="45" t="n">
        <f aca="false">ROUND($K171*0.065,0)-65</f>
        <v>63</v>
      </c>
      <c r="Q171" s="42" t="n">
        <v>65</v>
      </c>
      <c r="R171" s="45" t="n">
        <v>0</v>
      </c>
      <c r="S171" s="45" t="n">
        <v>0</v>
      </c>
      <c r="T171" s="45" t="n">
        <v>0</v>
      </c>
      <c r="U171" s="45" t="n">
        <v>0</v>
      </c>
      <c r="V171" s="45" t="n">
        <f aca="false">ROUND($K171*0.125,0)</f>
        <v>246</v>
      </c>
      <c r="W171" s="42" t="n">
        <v>0</v>
      </c>
      <c r="X171" s="45" t="n">
        <f aca="false">ROUND($K171*0.125,0)</f>
        <v>246</v>
      </c>
      <c r="Y171" s="45" t="n">
        <v>0</v>
      </c>
      <c r="Z171" s="45" t="n">
        <v>0</v>
      </c>
      <c r="AA171" s="45" t="n">
        <f aca="false">ROUND($K171*0.015,0)</f>
        <v>30</v>
      </c>
      <c r="AB171" s="45" t="n">
        <f aca="false">ROUND($K171*0.125,0)</f>
        <v>246</v>
      </c>
      <c r="AC171" s="45" t="n">
        <v>0</v>
      </c>
      <c r="AD171" s="45" t="n">
        <f aca="false">ROUND($K171*0.125,0)</f>
        <v>246</v>
      </c>
      <c r="AE171" s="45" t="n">
        <f aca="false">ROUND($K171*0.125,0)</f>
        <v>246</v>
      </c>
      <c r="AF171" s="45" t="n">
        <v>0</v>
      </c>
      <c r="AG171" s="45" t="n">
        <v>0</v>
      </c>
      <c r="AH171" s="45" t="n">
        <f aca="false">ROUND($K171*0.015,0)</f>
        <v>30</v>
      </c>
      <c r="AI171" s="45" t="n">
        <f aca="false">ROUND($K171*0.03,0)</f>
        <v>59</v>
      </c>
      <c r="AJ171" s="45" t="n">
        <f aca="false">ROUND($K171*0.03,0)</f>
        <v>59</v>
      </c>
      <c r="AK171" s="45" t="n">
        <f aca="false">ROUND($K171*0.015,0)</f>
        <v>30</v>
      </c>
      <c r="AL171" s="45" t="n">
        <f aca="false">ROUND($K171*0.015,0)</f>
        <v>30</v>
      </c>
      <c r="AM171" s="45" t="n">
        <f aca="false">ROUND($K171*0.015,0)</f>
        <v>30</v>
      </c>
      <c r="AN171" s="45" t="n">
        <v>0</v>
      </c>
      <c r="AO171" s="45" t="n">
        <f aca="false">ROUND($K171*0.035,0)</f>
        <v>69</v>
      </c>
      <c r="AP171" s="45" t="n">
        <f aca="false">ROUND($K171*0.015,0)</f>
        <v>30</v>
      </c>
      <c r="AQ171" s="45" t="n">
        <v>0</v>
      </c>
      <c r="AR171" s="45" t="n">
        <v>0</v>
      </c>
      <c r="AS171" s="45" t="n">
        <v>0</v>
      </c>
      <c r="AT171" s="45" t="n">
        <v>0</v>
      </c>
      <c r="AU171" s="45"/>
      <c r="AV171" s="45" t="n">
        <f aca="false">SUM(N171:AU171)</f>
        <v>1725</v>
      </c>
      <c r="AW171" s="45" t="n">
        <f aca="false">K171-AV171</f>
        <v>245</v>
      </c>
      <c r="AX171" s="45" t="n">
        <v>0</v>
      </c>
      <c r="AY171" s="45" t="n">
        <f aca="false">+AV171+AW171+AX171</f>
        <v>1970</v>
      </c>
      <c r="AZ171" s="45" t="n">
        <f aca="false">+K171-AY171</f>
        <v>0</v>
      </c>
      <c r="BA171" s="57"/>
    </row>
    <row r="172" customFormat="false" ht="12.75" hidden="false" customHeight="false" outlineLevel="0" collapsed="false">
      <c r="A172" s="47" t="n">
        <v>11</v>
      </c>
      <c r="B172" s="48" t="s">
        <v>371</v>
      </c>
      <c r="C172" s="48" t="s">
        <v>372</v>
      </c>
      <c r="D172" s="49" t="n">
        <v>103095</v>
      </c>
      <c r="E172" s="50" t="n">
        <v>0</v>
      </c>
      <c r="F172" s="45" t="n">
        <v>943</v>
      </c>
      <c r="G172" s="45" t="n">
        <v>89</v>
      </c>
      <c r="H172" s="50" t="n">
        <f aca="false">315+2531</f>
        <v>2846</v>
      </c>
      <c r="I172" s="50" t="n">
        <v>0</v>
      </c>
      <c r="J172" s="50" t="n">
        <v>161</v>
      </c>
      <c r="K172" s="45" t="n">
        <f aca="false">SUM(E172:J172)</f>
        <v>4039</v>
      </c>
      <c r="L172" s="51"/>
      <c r="M172" s="50" t="s">
        <v>360</v>
      </c>
      <c r="N172" s="45" t="n">
        <v>0</v>
      </c>
      <c r="O172" s="45" t="n">
        <v>0</v>
      </c>
      <c r="P172" s="45" t="n">
        <f aca="false">ROUND($K172*0.065,0)-155</f>
        <v>108</v>
      </c>
      <c r="Q172" s="42" t="n">
        <v>155</v>
      </c>
      <c r="R172" s="45" t="n">
        <v>0</v>
      </c>
      <c r="S172" s="45" t="n">
        <v>0</v>
      </c>
      <c r="T172" s="45" t="n">
        <v>0</v>
      </c>
      <c r="U172" s="45" t="n">
        <v>0</v>
      </c>
      <c r="V172" s="45" t="n">
        <f aca="false">ROUND($K172*0.125,0)</f>
        <v>505</v>
      </c>
      <c r="W172" s="42" t="n">
        <v>0</v>
      </c>
      <c r="X172" s="45" t="n">
        <f aca="false">ROUND($K172*0.125,0)</f>
        <v>505</v>
      </c>
      <c r="Y172" s="45" t="n">
        <v>0</v>
      </c>
      <c r="Z172" s="45" t="n">
        <v>0</v>
      </c>
      <c r="AA172" s="45" t="n">
        <f aca="false">ROUND($K172*0.015,0)</f>
        <v>61</v>
      </c>
      <c r="AB172" s="45" t="n">
        <f aca="false">ROUND($K172*0.125,0)</f>
        <v>505</v>
      </c>
      <c r="AC172" s="45" t="n">
        <v>0</v>
      </c>
      <c r="AD172" s="45" t="n">
        <f aca="false">ROUND($K172*0.125,0)</f>
        <v>505</v>
      </c>
      <c r="AE172" s="45" t="n">
        <f aca="false">ROUND($K172*0.125,0)</f>
        <v>505</v>
      </c>
      <c r="AF172" s="45" t="n">
        <v>0</v>
      </c>
      <c r="AG172" s="45" t="n">
        <v>0</v>
      </c>
      <c r="AH172" s="45" t="n">
        <f aca="false">ROUND($K172*0.015,0)</f>
        <v>61</v>
      </c>
      <c r="AI172" s="45" t="n">
        <f aca="false">ROUND($K172*0.03,0)</f>
        <v>121</v>
      </c>
      <c r="AJ172" s="45" t="n">
        <f aca="false">ROUND($K172*0.03,0)</f>
        <v>121</v>
      </c>
      <c r="AK172" s="45" t="n">
        <f aca="false">ROUND($K172*0.015,0)</f>
        <v>61</v>
      </c>
      <c r="AL172" s="45" t="n">
        <f aca="false">ROUND($K172*0.015,0)</f>
        <v>61</v>
      </c>
      <c r="AM172" s="45" t="n">
        <f aca="false">ROUND($K172*0.015,0)</f>
        <v>61</v>
      </c>
      <c r="AN172" s="45" t="n">
        <v>0</v>
      </c>
      <c r="AO172" s="45" t="n">
        <f aca="false">ROUND($K172*0.035,0)</f>
        <v>141</v>
      </c>
      <c r="AP172" s="45" t="n">
        <f aca="false">ROUND($K172*0.015,0)</f>
        <v>61</v>
      </c>
      <c r="AQ172" s="45" t="n">
        <v>0</v>
      </c>
      <c r="AR172" s="45" t="n">
        <v>0</v>
      </c>
      <c r="AS172" s="45" t="n">
        <v>0</v>
      </c>
      <c r="AT172" s="45" t="n">
        <v>0</v>
      </c>
      <c r="AU172" s="45"/>
      <c r="AV172" s="45" t="n">
        <f aca="false">SUM(N172:AU172)</f>
        <v>3537</v>
      </c>
      <c r="AW172" s="45" t="n">
        <f aca="false">K172-AV172</f>
        <v>502</v>
      </c>
      <c r="AX172" s="45" t="n">
        <v>0</v>
      </c>
      <c r="AY172" s="45" t="n">
        <f aca="false">+AV172+AW172+AX172</f>
        <v>4039</v>
      </c>
      <c r="AZ172" s="45" t="n">
        <f aca="false">+K172-AY172</f>
        <v>0</v>
      </c>
      <c r="BA172" s="57"/>
    </row>
    <row r="173" customFormat="false" ht="12.75" hidden="false" customHeight="false" outlineLevel="0" collapsed="false">
      <c r="A173" s="47" t="n">
        <v>11</v>
      </c>
      <c r="B173" s="48" t="s">
        <v>373</v>
      </c>
      <c r="C173" s="48" t="s">
        <v>374</v>
      </c>
      <c r="D173" s="49" t="n">
        <v>103096</v>
      </c>
      <c r="E173" s="50" t="n">
        <v>0</v>
      </c>
      <c r="F173" s="45" t="n">
        <v>0</v>
      </c>
      <c r="G173" s="45" t="n">
        <v>0</v>
      </c>
      <c r="H173" s="50" t="n">
        <v>0</v>
      </c>
      <c r="I173" s="50" t="n">
        <v>0</v>
      </c>
      <c r="J173" s="50" t="n">
        <v>0</v>
      </c>
      <c r="K173" s="45" t="n">
        <f aca="false">SUM(E173:J173)</f>
        <v>0</v>
      </c>
      <c r="L173" s="51"/>
      <c r="M173" s="50" t="s">
        <v>360</v>
      </c>
      <c r="N173" s="45" t="n">
        <v>0</v>
      </c>
      <c r="O173" s="45" t="n">
        <v>0</v>
      </c>
      <c r="P173" s="45" t="n">
        <f aca="false">ROUND($K173*0.065,0)</f>
        <v>0</v>
      </c>
      <c r="Q173" s="42" t="n">
        <f aca="false">ROUND(P173*0.51,0)</f>
        <v>0</v>
      </c>
      <c r="R173" s="45" t="n">
        <v>0</v>
      </c>
      <c r="S173" s="45" t="n">
        <v>0</v>
      </c>
      <c r="T173" s="45" t="n">
        <v>0</v>
      </c>
      <c r="U173" s="45" t="n">
        <v>0</v>
      </c>
      <c r="V173" s="45" t="n">
        <f aca="false">ROUND($K173*0.125,0)</f>
        <v>0</v>
      </c>
      <c r="W173" s="42" t="n">
        <v>0</v>
      </c>
      <c r="X173" s="45" t="n">
        <f aca="false">ROUND($K173*0.125,0)</f>
        <v>0</v>
      </c>
      <c r="Y173" s="45" t="n">
        <v>0</v>
      </c>
      <c r="Z173" s="45" t="n">
        <v>0</v>
      </c>
      <c r="AA173" s="45" t="n">
        <f aca="false">ROUND($K173*0.015,0)</f>
        <v>0</v>
      </c>
      <c r="AB173" s="45" t="n">
        <f aca="false">ROUND($K173*0.125,0)</f>
        <v>0</v>
      </c>
      <c r="AC173" s="45" t="n">
        <v>0</v>
      </c>
      <c r="AD173" s="45" t="n">
        <f aca="false">ROUND($K173*0.125,0)</f>
        <v>0</v>
      </c>
      <c r="AE173" s="45" t="n">
        <f aca="false">ROUND($K173*0.125,0)</f>
        <v>0</v>
      </c>
      <c r="AF173" s="45" t="n">
        <v>0</v>
      </c>
      <c r="AG173" s="45" t="n">
        <v>0</v>
      </c>
      <c r="AH173" s="45" t="n">
        <f aca="false">ROUND($K173*0.015,0)</f>
        <v>0</v>
      </c>
      <c r="AI173" s="45" t="n">
        <f aca="false">ROUND($K173*0.03,0)</f>
        <v>0</v>
      </c>
      <c r="AJ173" s="45" t="n">
        <f aca="false">ROUND($K173*0.03,0)</f>
        <v>0</v>
      </c>
      <c r="AK173" s="45" t="n">
        <f aca="false">ROUND($K173*0.015,0)</f>
        <v>0</v>
      </c>
      <c r="AL173" s="45" t="n">
        <f aca="false">ROUND($K173*0.015,0)</f>
        <v>0</v>
      </c>
      <c r="AM173" s="45" t="n">
        <f aca="false">ROUND($K173*0.015,0)</f>
        <v>0</v>
      </c>
      <c r="AN173" s="45" t="n">
        <v>0</v>
      </c>
      <c r="AO173" s="45" t="n">
        <f aca="false">ROUND($K173*0.035,0)</f>
        <v>0</v>
      </c>
      <c r="AP173" s="45" t="n">
        <f aca="false">ROUND($K173*0.015,0)</f>
        <v>0</v>
      </c>
      <c r="AQ173" s="45" t="n">
        <v>0</v>
      </c>
      <c r="AR173" s="45" t="n">
        <v>0</v>
      </c>
      <c r="AS173" s="45" t="n">
        <v>0</v>
      </c>
      <c r="AT173" s="45" t="n">
        <v>0</v>
      </c>
      <c r="AU173" s="45"/>
      <c r="AV173" s="45" t="n">
        <f aca="false">SUM(N173:AU173)</f>
        <v>0</v>
      </c>
      <c r="AW173" s="45" t="n">
        <f aca="false">K173-AV173</f>
        <v>0</v>
      </c>
      <c r="AX173" s="45" t="n">
        <v>0</v>
      </c>
      <c r="AY173" s="45" t="n">
        <f aca="false">+AV173+AW173+AX173</f>
        <v>0</v>
      </c>
      <c r="AZ173" s="45" t="n">
        <f aca="false">+K173-AY173</f>
        <v>0</v>
      </c>
      <c r="BA173" s="57"/>
    </row>
    <row r="174" customFormat="false" ht="12.75" hidden="false" customHeight="false" outlineLevel="0" collapsed="false">
      <c r="A174" s="47" t="n">
        <v>11</v>
      </c>
      <c r="B174" s="48" t="s">
        <v>375</v>
      </c>
      <c r="C174" s="48" t="s">
        <v>94</v>
      </c>
      <c r="D174" s="49" t="n">
        <v>100216</v>
      </c>
      <c r="E174" s="50" t="n">
        <v>0</v>
      </c>
      <c r="F174" s="45" t="n">
        <v>0</v>
      </c>
      <c r="G174" s="45" t="n">
        <v>0</v>
      </c>
      <c r="H174" s="50" t="n">
        <v>0</v>
      </c>
      <c r="I174" s="50" t="n">
        <v>0</v>
      </c>
      <c r="J174" s="50" t="n">
        <v>20908</v>
      </c>
      <c r="K174" s="45" t="n">
        <f aca="false">SUM(E174:J174)</f>
        <v>20908</v>
      </c>
      <c r="L174" s="51"/>
      <c r="M174" s="50" t="s">
        <v>360</v>
      </c>
      <c r="N174" s="45" t="n">
        <v>0</v>
      </c>
      <c r="O174" s="45" t="n">
        <v>0</v>
      </c>
      <c r="P174" s="45" t="n">
        <f aca="false">ROUND($K174*0.065,0)-693</f>
        <v>666</v>
      </c>
      <c r="Q174" s="42" t="n">
        <v>693</v>
      </c>
      <c r="R174" s="45" t="n">
        <v>0</v>
      </c>
      <c r="S174" s="45" t="n">
        <v>0</v>
      </c>
      <c r="T174" s="45" t="n">
        <v>0</v>
      </c>
      <c r="U174" s="45" t="n">
        <v>0</v>
      </c>
      <c r="V174" s="45" t="n">
        <f aca="false">ROUND($K174*0.125,0)</f>
        <v>2614</v>
      </c>
      <c r="W174" s="42" t="n">
        <v>0</v>
      </c>
      <c r="X174" s="45" t="n">
        <f aca="false">ROUND($K174*0.125,0)</f>
        <v>2614</v>
      </c>
      <c r="Y174" s="45" t="n">
        <v>0</v>
      </c>
      <c r="Z174" s="45" t="n">
        <v>0</v>
      </c>
      <c r="AA174" s="45" t="n">
        <f aca="false">ROUND($K174*0.015,0)</f>
        <v>314</v>
      </c>
      <c r="AB174" s="45" t="n">
        <f aca="false">ROUND($K174*0.125,0)</f>
        <v>2614</v>
      </c>
      <c r="AC174" s="45" t="n">
        <v>0</v>
      </c>
      <c r="AD174" s="45" t="n">
        <f aca="false">ROUND($K174*0.125,0)</f>
        <v>2614</v>
      </c>
      <c r="AE174" s="45" t="n">
        <f aca="false">ROUND($K174*0.125,0)</f>
        <v>2614</v>
      </c>
      <c r="AF174" s="45" t="n">
        <v>0</v>
      </c>
      <c r="AG174" s="45" t="n">
        <v>0</v>
      </c>
      <c r="AH174" s="45" t="n">
        <f aca="false">ROUND($K174*0.015,0)</f>
        <v>314</v>
      </c>
      <c r="AI174" s="45" t="n">
        <f aca="false">ROUND($K174*0.03,0)</f>
        <v>627</v>
      </c>
      <c r="AJ174" s="45" t="n">
        <f aca="false">ROUND($K174*0.03,0)</f>
        <v>627</v>
      </c>
      <c r="AK174" s="45" t="n">
        <f aca="false">ROUND($K174*0.015,0)</f>
        <v>314</v>
      </c>
      <c r="AL174" s="45" t="n">
        <f aca="false">ROUND($K174*0.015,0)</f>
        <v>314</v>
      </c>
      <c r="AM174" s="45" t="n">
        <f aca="false">ROUND($K174*0.015,0)</f>
        <v>314</v>
      </c>
      <c r="AN174" s="45" t="n">
        <v>0</v>
      </c>
      <c r="AO174" s="45" t="n">
        <f aca="false">ROUND($K174*0.035,0)</f>
        <v>732</v>
      </c>
      <c r="AP174" s="45" t="n">
        <f aca="false">ROUND($K174*0.015,0)</f>
        <v>314</v>
      </c>
      <c r="AQ174" s="45" t="n">
        <v>0</v>
      </c>
      <c r="AR174" s="45" t="n">
        <v>0</v>
      </c>
      <c r="AS174" s="45" t="n">
        <v>0</v>
      </c>
      <c r="AT174" s="45" t="n">
        <v>0</v>
      </c>
      <c r="AU174" s="45"/>
      <c r="AV174" s="45" t="n">
        <f aca="false">SUM(N174:AU174)</f>
        <v>18299</v>
      </c>
      <c r="AW174" s="45" t="n">
        <f aca="false">K174-AV174</f>
        <v>2609</v>
      </c>
      <c r="AX174" s="45" t="n">
        <v>0</v>
      </c>
      <c r="AY174" s="45" t="n">
        <f aca="false">+AV174+AW174+AX174</f>
        <v>20908</v>
      </c>
      <c r="AZ174" s="45" t="n">
        <f aca="false">+K174-AY174</f>
        <v>0</v>
      </c>
      <c r="BA174" s="57"/>
    </row>
    <row r="175" customFormat="false" ht="12.75" hidden="false" customHeight="false" outlineLevel="0" collapsed="false">
      <c r="A175" s="37" t="n">
        <v>11</v>
      </c>
      <c r="B175" s="39" t="s">
        <v>376</v>
      </c>
      <c r="C175" s="39" t="s">
        <v>302</v>
      </c>
      <c r="D175" s="40" t="n">
        <v>103102</v>
      </c>
      <c r="E175" s="41" t="n">
        <f aca="false">248+27+43</f>
        <v>318</v>
      </c>
      <c r="F175" s="42" t="n">
        <v>18</v>
      </c>
      <c r="G175" s="42" t="n">
        <v>0</v>
      </c>
      <c r="H175" s="41" t="n">
        <v>43</v>
      </c>
      <c r="I175" s="41" t="n">
        <v>2</v>
      </c>
      <c r="J175" s="41" t="n">
        <v>2</v>
      </c>
      <c r="K175" s="42" t="n">
        <f aca="false">SUM(E175:J175)</f>
        <v>383</v>
      </c>
      <c r="L175" s="43"/>
      <c r="M175" s="41" t="s">
        <v>134</v>
      </c>
      <c r="N175" s="42" t="n">
        <v>0</v>
      </c>
      <c r="O175" s="42" t="n">
        <v>0</v>
      </c>
      <c r="P175" s="42" t="n">
        <v>0</v>
      </c>
      <c r="Q175" s="42" t="n">
        <v>0</v>
      </c>
      <c r="R175" s="42" t="n">
        <v>0</v>
      </c>
      <c r="S175" s="42" t="n">
        <v>0</v>
      </c>
      <c r="T175" s="42" t="n">
        <v>0</v>
      </c>
      <c r="U175" s="42" t="n">
        <v>0</v>
      </c>
      <c r="V175" s="42" t="n">
        <v>0</v>
      </c>
      <c r="W175" s="42" t="n">
        <v>0</v>
      </c>
      <c r="X175" s="42" t="n">
        <v>0</v>
      </c>
      <c r="Y175" s="42" t="n">
        <v>0</v>
      </c>
      <c r="Z175" s="42" t="n">
        <v>0</v>
      </c>
      <c r="AA175" s="42" t="n">
        <v>0</v>
      </c>
      <c r="AB175" s="42" t="n">
        <v>0</v>
      </c>
      <c r="AC175" s="42" t="n">
        <v>0</v>
      </c>
      <c r="AD175" s="42" t="n">
        <v>0</v>
      </c>
      <c r="AE175" s="42" t="n">
        <v>0</v>
      </c>
      <c r="AF175" s="42" t="n">
        <v>0</v>
      </c>
      <c r="AG175" s="42" t="n">
        <v>0</v>
      </c>
      <c r="AH175" s="42" t="n">
        <v>0</v>
      </c>
      <c r="AI175" s="42" t="n">
        <v>0</v>
      </c>
      <c r="AJ175" s="42" t="n">
        <v>0</v>
      </c>
      <c r="AK175" s="42" t="n">
        <v>0</v>
      </c>
      <c r="AL175" s="42" t="n">
        <v>0</v>
      </c>
      <c r="AM175" s="45" t="n">
        <v>0</v>
      </c>
      <c r="AN175" s="45" t="n">
        <v>0</v>
      </c>
      <c r="AO175" s="42" t="n">
        <v>0</v>
      </c>
      <c r="AP175" s="42" t="n">
        <v>0</v>
      </c>
      <c r="AQ175" s="42" t="n">
        <v>0</v>
      </c>
      <c r="AR175" s="42" t="n">
        <v>0</v>
      </c>
      <c r="AS175" s="42" t="n">
        <v>0</v>
      </c>
      <c r="AT175" s="42" t="n">
        <v>0</v>
      </c>
      <c r="AU175" s="42"/>
      <c r="AV175" s="42" t="n">
        <f aca="false">SUM(N175:AU175)</f>
        <v>0</v>
      </c>
      <c r="AW175" s="42" t="n">
        <v>383</v>
      </c>
      <c r="AX175" s="42" t="n">
        <v>0</v>
      </c>
      <c r="AY175" s="42" t="n">
        <f aca="false">+AV175+AW175+AX175</f>
        <v>383</v>
      </c>
      <c r="AZ175" s="42" t="n">
        <f aca="false">+K175-AY175</f>
        <v>0</v>
      </c>
      <c r="BA175" s="46"/>
    </row>
    <row r="176" customFormat="false" ht="12.75" hidden="false" customHeight="false" outlineLevel="0" collapsed="false">
      <c r="A176" s="47" t="n">
        <v>11</v>
      </c>
      <c r="B176" s="48" t="s">
        <v>377</v>
      </c>
      <c r="C176" s="48" t="s">
        <v>267</v>
      </c>
      <c r="D176" s="49" t="n">
        <v>103176</v>
      </c>
      <c r="E176" s="50" t="n">
        <v>40</v>
      </c>
      <c r="F176" s="45" t="n">
        <v>23</v>
      </c>
      <c r="G176" s="45" t="n">
        <v>0</v>
      </c>
      <c r="H176" s="50" t="n">
        <v>0</v>
      </c>
      <c r="I176" s="50" t="n">
        <v>0</v>
      </c>
      <c r="J176" s="50" t="n">
        <v>2</v>
      </c>
      <c r="K176" s="42" t="n">
        <f aca="false">SUM(E176:J176)</f>
        <v>65</v>
      </c>
      <c r="L176" s="51"/>
      <c r="M176" s="50" t="s">
        <v>134</v>
      </c>
      <c r="N176" s="45" t="n">
        <v>0</v>
      </c>
      <c r="O176" s="45" t="n">
        <v>0</v>
      </c>
      <c r="P176" s="45" t="n">
        <v>0</v>
      </c>
      <c r="Q176" s="45" t="n">
        <v>0</v>
      </c>
      <c r="R176" s="45" t="n">
        <v>0</v>
      </c>
      <c r="S176" s="45" t="n">
        <v>0</v>
      </c>
      <c r="T176" s="45" t="n">
        <v>0</v>
      </c>
      <c r="U176" s="45" t="n">
        <v>0</v>
      </c>
      <c r="V176" s="45" t="n">
        <v>0</v>
      </c>
      <c r="W176" s="42" t="n">
        <v>0</v>
      </c>
      <c r="X176" s="45" t="n">
        <v>0</v>
      </c>
      <c r="Y176" s="45" t="n">
        <v>0</v>
      </c>
      <c r="Z176" s="45" t="n">
        <v>0</v>
      </c>
      <c r="AA176" s="45" t="n">
        <v>0</v>
      </c>
      <c r="AB176" s="45" t="n">
        <v>0</v>
      </c>
      <c r="AC176" s="45" t="n">
        <v>0</v>
      </c>
      <c r="AD176" s="45" t="n">
        <v>0</v>
      </c>
      <c r="AE176" s="45" t="n">
        <v>0</v>
      </c>
      <c r="AF176" s="45" t="n">
        <v>0</v>
      </c>
      <c r="AG176" s="45" t="n">
        <v>0</v>
      </c>
      <c r="AH176" s="45" t="n">
        <v>0</v>
      </c>
      <c r="AI176" s="45" t="n">
        <v>0</v>
      </c>
      <c r="AJ176" s="45" t="n">
        <v>0</v>
      </c>
      <c r="AK176" s="45" t="n">
        <v>0</v>
      </c>
      <c r="AL176" s="45" t="n">
        <v>0</v>
      </c>
      <c r="AM176" s="45" t="n">
        <v>0</v>
      </c>
      <c r="AN176" s="45" t="n">
        <v>0</v>
      </c>
      <c r="AO176" s="42" t="n">
        <v>0</v>
      </c>
      <c r="AP176" s="42" t="n">
        <v>0</v>
      </c>
      <c r="AQ176" s="42" t="n">
        <v>0</v>
      </c>
      <c r="AR176" s="42" t="n">
        <v>0</v>
      </c>
      <c r="AS176" s="42" t="n">
        <v>0</v>
      </c>
      <c r="AT176" s="42" t="n">
        <v>0</v>
      </c>
      <c r="AU176" s="45"/>
      <c r="AV176" s="45" t="n">
        <f aca="false">SUM(N176:AU176)</f>
        <v>0</v>
      </c>
      <c r="AW176" s="45" t="n">
        <v>65</v>
      </c>
      <c r="AX176" s="42" t="n">
        <v>0</v>
      </c>
      <c r="AY176" s="42" t="n">
        <f aca="false">+AV176+AW176+AX176</f>
        <v>65</v>
      </c>
      <c r="AZ176" s="45" t="n">
        <f aca="false">+K176-AY176</f>
        <v>0</v>
      </c>
      <c r="BA176" s="52"/>
    </row>
    <row r="177" customFormat="false" ht="12.75" hidden="false" customHeight="false" outlineLevel="0" collapsed="false">
      <c r="A177" s="47" t="n">
        <v>11</v>
      </c>
      <c r="B177" s="48" t="s">
        <v>378</v>
      </c>
      <c r="C177" s="48" t="s">
        <v>372</v>
      </c>
      <c r="D177" s="49" t="n">
        <v>103413</v>
      </c>
      <c r="E177" s="50" t="n">
        <f aca="false">611+55+107</f>
        <v>773</v>
      </c>
      <c r="F177" s="45" t="n">
        <v>33</v>
      </c>
      <c r="G177" s="45" t="n">
        <v>0</v>
      </c>
      <c r="H177" s="50" t="n">
        <v>139</v>
      </c>
      <c r="I177" s="50" t="n">
        <v>0</v>
      </c>
      <c r="J177" s="50" t="n">
        <v>0</v>
      </c>
      <c r="K177" s="45" t="n">
        <f aca="false">SUM(E177:J177)</f>
        <v>945</v>
      </c>
      <c r="L177" s="51"/>
      <c r="M177" s="50" t="s">
        <v>360</v>
      </c>
      <c r="N177" s="45" t="n">
        <v>0</v>
      </c>
      <c r="O177" s="45" t="n">
        <v>0</v>
      </c>
      <c r="P177" s="45" t="n">
        <f aca="false">ROUND($K177*0.065,0)-31</f>
        <v>30</v>
      </c>
      <c r="Q177" s="42" t="n">
        <v>31</v>
      </c>
      <c r="R177" s="45" t="n">
        <v>0</v>
      </c>
      <c r="S177" s="45" t="n">
        <v>0</v>
      </c>
      <c r="T177" s="45" t="n">
        <v>0</v>
      </c>
      <c r="U177" s="45" t="n">
        <v>0</v>
      </c>
      <c r="V177" s="45" t="n">
        <f aca="false">ROUND($K177*0.125,0)</f>
        <v>118</v>
      </c>
      <c r="W177" s="42" t="n">
        <v>0</v>
      </c>
      <c r="X177" s="45" t="n">
        <f aca="false">ROUND($K177*0.125,0)</f>
        <v>118</v>
      </c>
      <c r="Y177" s="45" t="n">
        <v>0</v>
      </c>
      <c r="Z177" s="45" t="n">
        <v>0</v>
      </c>
      <c r="AA177" s="45" t="n">
        <f aca="false">ROUND($K177*0.015,0)</f>
        <v>14</v>
      </c>
      <c r="AB177" s="45" t="n">
        <f aca="false">ROUND($K177*0.125,0)</f>
        <v>118</v>
      </c>
      <c r="AC177" s="45" t="n">
        <v>0</v>
      </c>
      <c r="AD177" s="45" t="n">
        <f aca="false">ROUND($K177*0.125,0)</f>
        <v>118</v>
      </c>
      <c r="AE177" s="45" t="n">
        <f aca="false">ROUND($K177*0.125,0)</f>
        <v>118</v>
      </c>
      <c r="AF177" s="45" t="n">
        <v>0</v>
      </c>
      <c r="AG177" s="45" t="n">
        <v>0</v>
      </c>
      <c r="AH177" s="45" t="n">
        <f aca="false">ROUND($K177*0.015,0)</f>
        <v>14</v>
      </c>
      <c r="AI177" s="45" t="n">
        <f aca="false">ROUND($K177*0.03,0)</f>
        <v>28</v>
      </c>
      <c r="AJ177" s="45" t="n">
        <f aca="false">ROUND($K177*0.03,0)</f>
        <v>28</v>
      </c>
      <c r="AK177" s="45" t="n">
        <f aca="false">ROUND($K177*0.015,0)</f>
        <v>14</v>
      </c>
      <c r="AL177" s="45" t="n">
        <f aca="false">ROUND($K177*0.015,0)</f>
        <v>14</v>
      </c>
      <c r="AM177" s="45" t="n">
        <f aca="false">ROUND($K177*0.015,0)</f>
        <v>14</v>
      </c>
      <c r="AN177" s="45" t="n">
        <v>0</v>
      </c>
      <c r="AO177" s="45" t="n">
        <f aca="false">ROUND($K177*0.035,0)</f>
        <v>33</v>
      </c>
      <c r="AP177" s="45" t="n">
        <f aca="false">ROUND($K177*0.015,0)</f>
        <v>14</v>
      </c>
      <c r="AQ177" s="45" t="n">
        <v>0</v>
      </c>
      <c r="AR177" s="45" t="n">
        <v>0</v>
      </c>
      <c r="AS177" s="45" t="n">
        <v>0</v>
      </c>
      <c r="AT177" s="45" t="n">
        <v>0</v>
      </c>
      <c r="AU177" s="45"/>
      <c r="AV177" s="45" t="n">
        <f aca="false">SUM(N177:AU177)</f>
        <v>824</v>
      </c>
      <c r="AW177" s="45" t="n">
        <f aca="false">K177-AV177</f>
        <v>121</v>
      </c>
      <c r="AX177" s="45" t="n">
        <v>0</v>
      </c>
      <c r="AY177" s="45" t="n">
        <f aca="false">+AV177+AW177+AX177</f>
        <v>945</v>
      </c>
      <c r="AZ177" s="45" t="n">
        <f aca="false">+K177-AY177</f>
        <v>0</v>
      </c>
      <c r="BA177" s="57"/>
    </row>
    <row r="178" customFormat="false" ht="12.75" hidden="false" customHeight="false" outlineLevel="0" collapsed="false">
      <c r="A178" s="47" t="n">
        <v>11</v>
      </c>
      <c r="B178" s="48" t="s">
        <v>379</v>
      </c>
      <c r="C178" s="48" t="s">
        <v>372</v>
      </c>
      <c r="D178" s="49" t="n">
        <v>103415</v>
      </c>
      <c r="E178" s="50" t="n">
        <f aca="false">335+23+15</f>
        <v>373</v>
      </c>
      <c r="F178" s="45" t="n">
        <v>9</v>
      </c>
      <c r="G178" s="45" t="n">
        <v>0</v>
      </c>
      <c r="H178" s="50" t="n">
        <v>337</v>
      </c>
      <c r="I178" s="50" t="n">
        <v>0</v>
      </c>
      <c r="J178" s="50" t="n">
        <v>0</v>
      </c>
      <c r="K178" s="45" t="n">
        <f aca="false">SUM(E178:J178)</f>
        <v>719</v>
      </c>
      <c r="L178" s="51"/>
      <c r="M178" s="50" t="s">
        <v>360</v>
      </c>
      <c r="N178" s="45" t="n">
        <v>0</v>
      </c>
      <c r="O178" s="45" t="n">
        <v>0</v>
      </c>
      <c r="P178" s="45" t="n">
        <f aca="false">ROUND($K178*0.065,0)-22</f>
        <v>25</v>
      </c>
      <c r="Q178" s="42" t="n">
        <v>22</v>
      </c>
      <c r="R178" s="45" t="n">
        <v>0</v>
      </c>
      <c r="S178" s="45" t="n">
        <v>0</v>
      </c>
      <c r="T178" s="45" t="n">
        <v>0</v>
      </c>
      <c r="U178" s="45" t="n">
        <v>0</v>
      </c>
      <c r="V178" s="45" t="n">
        <f aca="false">ROUND($K178*0.125,0)</f>
        <v>90</v>
      </c>
      <c r="W178" s="42" t="n">
        <v>0</v>
      </c>
      <c r="X178" s="45" t="n">
        <f aca="false">ROUND($K178*0.125,0)</f>
        <v>90</v>
      </c>
      <c r="Y178" s="45" t="n">
        <v>0</v>
      </c>
      <c r="Z178" s="45" t="n">
        <v>0</v>
      </c>
      <c r="AA178" s="45" t="n">
        <f aca="false">ROUND($K178*0.015,0)</f>
        <v>11</v>
      </c>
      <c r="AB178" s="45" t="n">
        <f aca="false">ROUND($K178*0.125,0)</f>
        <v>90</v>
      </c>
      <c r="AC178" s="45" t="n">
        <v>0</v>
      </c>
      <c r="AD178" s="45" t="n">
        <f aca="false">ROUND($K178*0.125,0)</f>
        <v>90</v>
      </c>
      <c r="AE178" s="45" t="n">
        <f aca="false">ROUND($K178*0.125,0)</f>
        <v>90</v>
      </c>
      <c r="AF178" s="45" t="n">
        <v>0</v>
      </c>
      <c r="AG178" s="45" t="n">
        <v>0</v>
      </c>
      <c r="AH178" s="45" t="n">
        <f aca="false">ROUND($K178*0.015,0)</f>
        <v>11</v>
      </c>
      <c r="AI178" s="45" t="n">
        <f aca="false">ROUND($K178*0.03,0)</f>
        <v>22</v>
      </c>
      <c r="AJ178" s="45" t="n">
        <f aca="false">ROUND($K178*0.03,0)</f>
        <v>22</v>
      </c>
      <c r="AK178" s="45" t="n">
        <f aca="false">ROUND($K178*0.015,0)</f>
        <v>11</v>
      </c>
      <c r="AL178" s="45" t="n">
        <f aca="false">ROUND($K178*0.015,0)</f>
        <v>11</v>
      </c>
      <c r="AM178" s="45" t="n">
        <f aca="false">ROUND($K178*0.015,0)</f>
        <v>11</v>
      </c>
      <c r="AN178" s="45" t="n">
        <v>0</v>
      </c>
      <c r="AO178" s="45" t="n">
        <f aca="false">ROUND($K178*0.035,0)</f>
        <v>25</v>
      </c>
      <c r="AP178" s="45" t="n">
        <f aca="false">ROUND($K178*0.015,0)</f>
        <v>11</v>
      </c>
      <c r="AQ178" s="45" t="n">
        <v>0</v>
      </c>
      <c r="AR178" s="45" t="n">
        <v>0</v>
      </c>
      <c r="AS178" s="45" t="n">
        <v>0</v>
      </c>
      <c r="AT178" s="45" t="n">
        <v>0</v>
      </c>
      <c r="AU178" s="45"/>
      <c r="AV178" s="45" t="n">
        <f aca="false">SUM(N178:AU178)</f>
        <v>632</v>
      </c>
      <c r="AW178" s="45" t="n">
        <f aca="false">K178-AV178</f>
        <v>87</v>
      </c>
      <c r="AX178" s="45" t="n">
        <v>0</v>
      </c>
      <c r="AY178" s="45" t="n">
        <f aca="false">+AV178+AW178+AX178</f>
        <v>719</v>
      </c>
      <c r="AZ178" s="45" t="n">
        <f aca="false">+K178-AY178</f>
        <v>0</v>
      </c>
      <c r="BA178" s="57"/>
    </row>
    <row r="179" customFormat="false" ht="12.75" hidden="false" customHeight="false" outlineLevel="0" collapsed="false">
      <c r="A179" s="47" t="n">
        <v>11</v>
      </c>
      <c r="B179" s="48" t="s">
        <v>380</v>
      </c>
      <c r="C179" s="48" t="s">
        <v>381</v>
      </c>
      <c r="D179" s="49" t="n">
        <v>103185</v>
      </c>
      <c r="E179" s="50" t="n">
        <f aca="false">260+27+48</f>
        <v>335</v>
      </c>
      <c r="F179" s="45" t="n">
        <v>23</v>
      </c>
      <c r="G179" s="45" t="n">
        <v>7</v>
      </c>
      <c r="H179" s="50" t="n">
        <v>2</v>
      </c>
      <c r="I179" s="50" t="n">
        <f aca="false">90+18</f>
        <v>108</v>
      </c>
      <c r="J179" s="50" t="n">
        <v>11</v>
      </c>
      <c r="K179" s="42" t="n">
        <f aca="false">SUM(E179:J179)</f>
        <v>486</v>
      </c>
      <c r="L179" s="51"/>
      <c r="M179" s="50" t="s">
        <v>134</v>
      </c>
      <c r="N179" s="45" t="n">
        <v>0</v>
      </c>
      <c r="O179" s="45" t="n">
        <v>0</v>
      </c>
      <c r="P179" s="45" t="n">
        <v>0</v>
      </c>
      <c r="Q179" s="45" t="n">
        <v>0</v>
      </c>
      <c r="R179" s="45" t="n">
        <v>0</v>
      </c>
      <c r="S179" s="45" t="n">
        <v>0</v>
      </c>
      <c r="T179" s="45" t="n">
        <v>0</v>
      </c>
      <c r="U179" s="45" t="n">
        <v>0</v>
      </c>
      <c r="V179" s="45" t="n">
        <v>0</v>
      </c>
      <c r="W179" s="42" t="n">
        <v>0</v>
      </c>
      <c r="X179" s="45" t="n">
        <v>0</v>
      </c>
      <c r="Y179" s="45" t="n">
        <v>0</v>
      </c>
      <c r="Z179" s="45" t="n">
        <v>0</v>
      </c>
      <c r="AA179" s="45" t="n">
        <v>0</v>
      </c>
      <c r="AB179" s="45" t="n">
        <v>0</v>
      </c>
      <c r="AC179" s="45" t="n">
        <v>0</v>
      </c>
      <c r="AD179" s="45" t="n">
        <v>0</v>
      </c>
      <c r="AE179" s="45" t="n">
        <v>0</v>
      </c>
      <c r="AF179" s="45" t="n">
        <v>0</v>
      </c>
      <c r="AG179" s="45" t="n">
        <v>0</v>
      </c>
      <c r="AH179" s="45" t="n">
        <v>0</v>
      </c>
      <c r="AI179" s="45" t="n">
        <v>0</v>
      </c>
      <c r="AJ179" s="45" t="n">
        <v>0</v>
      </c>
      <c r="AK179" s="45" t="n">
        <v>0</v>
      </c>
      <c r="AL179" s="45" t="n">
        <v>0</v>
      </c>
      <c r="AM179" s="45" t="n">
        <v>0</v>
      </c>
      <c r="AN179" s="45" t="n">
        <v>0</v>
      </c>
      <c r="AO179" s="45" t="n">
        <v>0</v>
      </c>
      <c r="AP179" s="45" t="n">
        <v>0</v>
      </c>
      <c r="AQ179" s="42" t="n">
        <v>0</v>
      </c>
      <c r="AR179" s="42" t="n">
        <v>0</v>
      </c>
      <c r="AS179" s="42" t="n">
        <v>0</v>
      </c>
      <c r="AT179" s="42" t="n">
        <v>0</v>
      </c>
      <c r="AU179" s="45"/>
      <c r="AV179" s="45" t="n">
        <f aca="false">SUM(N179:AU179)</f>
        <v>0</v>
      </c>
      <c r="AW179" s="45" t="n">
        <v>0</v>
      </c>
      <c r="AX179" s="42" t="n">
        <v>486</v>
      </c>
      <c r="AY179" s="42" t="n">
        <f aca="false">+AV179+AW179+AX179</f>
        <v>486</v>
      </c>
      <c r="AZ179" s="45" t="n">
        <f aca="false">+K179-AY179</f>
        <v>0</v>
      </c>
      <c r="BA179" s="56"/>
    </row>
    <row r="180" customFormat="false" ht="12.75" hidden="false" customHeight="false" outlineLevel="0" collapsed="false">
      <c r="A180" s="47" t="n">
        <v>11</v>
      </c>
      <c r="B180" s="48" t="s">
        <v>382</v>
      </c>
      <c r="C180" s="48" t="s">
        <v>383</v>
      </c>
      <c r="D180" s="49" t="n">
        <v>103186</v>
      </c>
      <c r="E180" s="50" t="n">
        <f aca="false">515+52+81</f>
        <v>648</v>
      </c>
      <c r="F180" s="45" t="n">
        <v>72</v>
      </c>
      <c r="G180" s="45" t="n">
        <v>4</v>
      </c>
      <c r="H180" s="50" t="n">
        <v>0</v>
      </c>
      <c r="I180" s="50" t="n">
        <f aca="false">144+29</f>
        <v>173</v>
      </c>
      <c r="J180" s="50" t="n">
        <v>7</v>
      </c>
      <c r="K180" s="42" t="n">
        <f aca="false">SUM(E180:J180)</f>
        <v>904</v>
      </c>
      <c r="L180" s="51"/>
      <c r="M180" s="50" t="s">
        <v>134</v>
      </c>
      <c r="N180" s="45" t="n">
        <v>0</v>
      </c>
      <c r="O180" s="45" t="n">
        <v>0</v>
      </c>
      <c r="P180" s="45" t="n">
        <v>0</v>
      </c>
      <c r="Q180" s="45" t="n">
        <v>0</v>
      </c>
      <c r="R180" s="45" t="n">
        <v>0</v>
      </c>
      <c r="S180" s="45" t="n">
        <v>0</v>
      </c>
      <c r="T180" s="45" t="n">
        <v>0</v>
      </c>
      <c r="U180" s="45" t="n">
        <v>0</v>
      </c>
      <c r="V180" s="45" t="n">
        <v>0</v>
      </c>
      <c r="W180" s="42" t="n">
        <v>0</v>
      </c>
      <c r="X180" s="45" t="n">
        <v>0</v>
      </c>
      <c r="Y180" s="45" t="n">
        <v>0</v>
      </c>
      <c r="Z180" s="45" t="n">
        <v>0</v>
      </c>
      <c r="AA180" s="45" t="n">
        <v>0</v>
      </c>
      <c r="AB180" s="45" t="n">
        <v>0</v>
      </c>
      <c r="AC180" s="45" t="n">
        <v>0</v>
      </c>
      <c r="AD180" s="45" t="n">
        <v>0</v>
      </c>
      <c r="AE180" s="45" t="n">
        <v>0</v>
      </c>
      <c r="AF180" s="45" t="n">
        <v>0</v>
      </c>
      <c r="AG180" s="45" t="n">
        <v>0</v>
      </c>
      <c r="AH180" s="45" t="n">
        <v>0</v>
      </c>
      <c r="AI180" s="45" t="n">
        <v>0</v>
      </c>
      <c r="AJ180" s="45" t="n">
        <v>0</v>
      </c>
      <c r="AK180" s="45" t="n">
        <v>0</v>
      </c>
      <c r="AL180" s="45" t="n">
        <v>0</v>
      </c>
      <c r="AM180" s="45" t="n">
        <v>0</v>
      </c>
      <c r="AN180" s="45" t="n">
        <v>0</v>
      </c>
      <c r="AO180" s="45" t="n">
        <v>0</v>
      </c>
      <c r="AP180" s="45" t="n">
        <v>0</v>
      </c>
      <c r="AQ180" s="42" t="n">
        <v>0</v>
      </c>
      <c r="AR180" s="42" t="n">
        <v>0</v>
      </c>
      <c r="AS180" s="42" t="n">
        <v>0</v>
      </c>
      <c r="AT180" s="42" t="n">
        <v>0</v>
      </c>
      <c r="AU180" s="45"/>
      <c r="AV180" s="45" t="n">
        <f aca="false">SUM(N180:AU180)</f>
        <v>0</v>
      </c>
      <c r="AW180" s="45" t="n">
        <v>0</v>
      </c>
      <c r="AX180" s="42" t="n">
        <v>904</v>
      </c>
      <c r="AY180" s="42" t="n">
        <f aca="false">+AV180+AW180+AX180</f>
        <v>904</v>
      </c>
      <c r="AZ180" s="45" t="n">
        <f aca="false">+K180-AY180</f>
        <v>0</v>
      </c>
      <c r="BA180" s="56"/>
    </row>
    <row r="181" customFormat="false" ht="12.75" hidden="false" customHeight="false" outlineLevel="0" collapsed="false">
      <c r="A181" s="37" t="n">
        <v>11</v>
      </c>
      <c r="B181" s="39" t="s">
        <v>384</v>
      </c>
      <c r="C181" s="39" t="s">
        <v>110</v>
      </c>
      <c r="D181" s="40" t="n">
        <v>103218</v>
      </c>
      <c r="E181" s="41" t="n">
        <f aca="false">215+23+51</f>
        <v>289</v>
      </c>
      <c r="F181" s="42" t="n">
        <v>5</v>
      </c>
      <c r="G181" s="42" t="n">
        <v>6</v>
      </c>
      <c r="H181" s="41" t="n">
        <v>6</v>
      </c>
      <c r="I181" s="41" t="n">
        <f aca="false">33+129</f>
        <v>162</v>
      </c>
      <c r="J181" s="41" t="n">
        <v>-300</v>
      </c>
      <c r="K181" s="42" t="n">
        <f aca="false">SUM(E181:J181)</f>
        <v>168</v>
      </c>
      <c r="L181" s="43"/>
      <c r="M181" s="41" t="s">
        <v>111</v>
      </c>
      <c r="N181" s="42" t="n">
        <v>3</v>
      </c>
      <c r="O181" s="42" t="n">
        <v>5</v>
      </c>
      <c r="P181" s="42" t="n">
        <v>5</v>
      </c>
      <c r="Q181" s="42" t="n">
        <v>6</v>
      </c>
      <c r="R181" s="42" t="n">
        <v>1</v>
      </c>
      <c r="S181" s="42" t="n">
        <v>0</v>
      </c>
      <c r="T181" s="42" t="n">
        <v>3</v>
      </c>
      <c r="U181" s="42" t="n">
        <v>20</v>
      </c>
      <c r="V181" s="42" t="n">
        <v>4</v>
      </c>
      <c r="W181" s="42" t="n">
        <v>2</v>
      </c>
      <c r="X181" s="42" t="n">
        <v>27</v>
      </c>
      <c r="Y181" s="42" t="n">
        <v>0</v>
      </c>
      <c r="Z181" s="42" t="n">
        <v>3</v>
      </c>
      <c r="AA181" s="42" t="n">
        <v>1</v>
      </c>
      <c r="AB181" s="42" t="n">
        <v>0</v>
      </c>
      <c r="AC181" s="42" t="n">
        <v>1</v>
      </c>
      <c r="AD181" s="42" t="n">
        <v>24</v>
      </c>
      <c r="AE181" s="42" t="n">
        <v>19</v>
      </c>
      <c r="AF181" s="42" t="n">
        <v>0</v>
      </c>
      <c r="AG181" s="42" t="n">
        <v>0</v>
      </c>
      <c r="AH181" s="42" t="n">
        <v>1</v>
      </c>
      <c r="AI181" s="42" t="n">
        <v>1</v>
      </c>
      <c r="AJ181" s="42" t="n">
        <v>1</v>
      </c>
      <c r="AK181" s="42" t="n">
        <v>2</v>
      </c>
      <c r="AL181" s="42" t="n">
        <v>1</v>
      </c>
      <c r="AM181" s="42" t="n">
        <v>12</v>
      </c>
      <c r="AN181" s="42" t="n">
        <v>0</v>
      </c>
      <c r="AO181" s="42" t="n">
        <v>7</v>
      </c>
      <c r="AP181" s="42" t="n">
        <v>2</v>
      </c>
      <c r="AQ181" s="42" t="n">
        <v>0</v>
      </c>
      <c r="AR181" s="42" t="n">
        <v>0</v>
      </c>
      <c r="AS181" s="42" t="n">
        <v>0</v>
      </c>
      <c r="AT181" s="42" t="n">
        <v>0</v>
      </c>
      <c r="AU181" s="42"/>
      <c r="AV181" s="42" t="n">
        <f aca="false">SUM(N181:AU181)</f>
        <v>151</v>
      </c>
      <c r="AW181" s="42" t="n">
        <v>17</v>
      </c>
      <c r="AX181" s="42" t="n">
        <v>0</v>
      </c>
      <c r="AY181" s="42" t="n">
        <f aca="false">+AV181+AW181+AX181</f>
        <v>168</v>
      </c>
      <c r="AZ181" s="42" t="n">
        <f aca="false">+K181-AY181</f>
        <v>0</v>
      </c>
      <c r="BA181" s="46"/>
    </row>
    <row r="182" customFormat="false" ht="12.75" hidden="false" customHeight="false" outlineLevel="0" collapsed="false">
      <c r="A182" s="47" t="n">
        <v>11</v>
      </c>
      <c r="B182" s="48" t="s">
        <v>385</v>
      </c>
      <c r="C182" s="48" t="s">
        <v>118</v>
      </c>
      <c r="D182" s="49" t="n">
        <v>103226</v>
      </c>
      <c r="E182" s="50" t="n">
        <f aca="false">123+14+22</f>
        <v>159</v>
      </c>
      <c r="F182" s="45" t="n">
        <v>0</v>
      </c>
      <c r="G182" s="45" t="n">
        <v>0</v>
      </c>
      <c r="H182" s="50" t="n">
        <f aca="false">105-170+200</f>
        <v>135</v>
      </c>
      <c r="I182" s="50" t="n">
        <v>0</v>
      </c>
      <c r="J182" s="50" t="n">
        <v>0</v>
      </c>
      <c r="K182" s="42" t="n">
        <f aca="false">SUM(E182:J182)</f>
        <v>294</v>
      </c>
      <c r="L182" s="51"/>
      <c r="M182" s="50" t="s">
        <v>134</v>
      </c>
      <c r="N182" s="45" t="n">
        <v>0</v>
      </c>
      <c r="O182" s="45" t="n">
        <v>0</v>
      </c>
      <c r="P182" s="45" t="n">
        <v>0</v>
      </c>
      <c r="Q182" s="45" t="n">
        <v>0</v>
      </c>
      <c r="R182" s="45" t="n">
        <v>0</v>
      </c>
      <c r="S182" s="45" t="n">
        <v>0</v>
      </c>
      <c r="T182" s="45" t="n">
        <v>0</v>
      </c>
      <c r="U182" s="45" t="n">
        <v>0</v>
      </c>
      <c r="V182" s="45" t="n">
        <v>0</v>
      </c>
      <c r="W182" s="42" t="n">
        <v>0</v>
      </c>
      <c r="X182" s="45" t="n">
        <v>0</v>
      </c>
      <c r="Y182" s="45" t="n">
        <v>0</v>
      </c>
      <c r="Z182" s="45" t="n">
        <v>0</v>
      </c>
      <c r="AA182" s="45" t="n">
        <v>0</v>
      </c>
      <c r="AB182" s="45" t="n">
        <v>0</v>
      </c>
      <c r="AC182" s="45" t="n">
        <v>0</v>
      </c>
      <c r="AD182" s="45" t="n">
        <v>0</v>
      </c>
      <c r="AE182" s="45" t="n">
        <v>0</v>
      </c>
      <c r="AF182" s="45" t="n">
        <v>0</v>
      </c>
      <c r="AG182" s="45" t="n">
        <v>0</v>
      </c>
      <c r="AH182" s="45" t="n">
        <v>0</v>
      </c>
      <c r="AI182" s="45" t="n">
        <v>0</v>
      </c>
      <c r="AJ182" s="45" t="n">
        <v>0</v>
      </c>
      <c r="AK182" s="45" t="n">
        <v>0</v>
      </c>
      <c r="AL182" s="45" t="n">
        <v>0</v>
      </c>
      <c r="AM182" s="45" t="n">
        <v>0</v>
      </c>
      <c r="AN182" s="45" t="n">
        <v>0</v>
      </c>
      <c r="AO182" s="45" t="n">
        <v>0</v>
      </c>
      <c r="AP182" s="45" t="n">
        <v>0</v>
      </c>
      <c r="AQ182" s="45" t="n">
        <v>0</v>
      </c>
      <c r="AR182" s="45" t="n">
        <v>0</v>
      </c>
      <c r="AS182" s="45" t="n">
        <v>0</v>
      </c>
      <c r="AT182" s="42" t="n">
        <v>0</v>
      </c>
      <c r="AU182" s="45"/>
      <c r="AV182" s="45" t="n">
        <f aca="false">SUM(N182:AU182)</f>
        <v>0</v>
      </c>
      <c r="AW182" s="45" t="n">
        <v>294</v>
      </c>
      <c r="AX182" s="42" t="n">
        <v>0</v>
      </c>
      <c r="AY182" s="42" t="n">
        <f aca="false">+AV182+AW182+AX182</f>
        <v>294</v>
      </c>
      <c r="AZ182" s="45" t="n">
        <f aca="false">+K182-AY182</f>
        <v>0</v>
      </c>
      <c r="BA182" s="52"/>
    </row>
    <row r="183" customFormat="false" ht="12.75" hidden="false" customHeight="false" outlineLevel="0" collapsed="false">
      <c r="A183" s="37" t="n">
        <v>11</v>
      </c>
      <c r="B183" s="39" t="s">
        <v>386</v>
      </c>
      <c r="C183" s="39" t="s">
        <v>280</v>
      </c>
      <c r="D183" s="40" t="n">
        <v>103230</v>
      </c>
      <c r="E183" s="41" t="n">
        <v>0</v>
      </c>
      <c r="F183" s="42" t="n">
        <v>0</v>
      </c>
      <c r="G183" s="42" t="n">
        <v>3</v>
      </c>
      <c r="H183" s="41" t="n">
        <v>4</v>
      </c>
      <c r="I183" s="41" t="n">
        <v>135</v>
      </c>
      <c r="J183" s="41" t="n">
        <v>108</v>
      </c>
      <c r="K183" s="42" t="n">
        <f aca="false">SUM(E183:J183)</f>
        <v>250</v>
      </c>
      <c r="L183" s="43"/>
      <c r="M183" s="41" t="s">
        <v>387</v>
      </c>
      <c r="N183" s="42" t="n">
        <v>4</v>
      </c>
      <c r="O183" s="42" t="n">
        <v>8</v>
      </c>
      <c r="P183" s="42" t="n">
        <v>18</v>
      </c>
      <c r="Q183" s="42" t="n">
        <v>0</v>
      </c>
      <c r="R183" s="42" t="n">
        <v>1</v>
      </c>
      <c r="S183" s="42" t="n">
        <v>0</v>
      </c>
      <c r="T183" s="42" t="n">
        <v>5</v>
      </c>
      <c r="U183" s="42" t="n">
        <v>24</v>
      </c>
      <c r="V183" s="42" t="n">
        <v>9</v>
      </c>
      <c r="W183" s="42" t="n">
        <v>0</v>
      </c>
      <c r="X183" s="42" t="n">
        <v>39</v>
      </c>
      <c r="Y183" s="42" t="n">
        <v>0</v>
      </c>
      <c r="Z183" s="42" t="n">
        <v>5</v>
      </c>
      <c r="AA183" s="42" t="n">
        <v>1</v>
      </c>
      <c r="AB183" s="42" t="n">
        <v>1</v>
      </c>
      <c r="AC183" s="42" t="n">
        <v>2</v>
      </c>
      <c r="AD183" s="42" t="n">
        <v>25</v>
      </c>
      <c r="AE183" s="42" t="n">
        <v>33</v>
      </c>
      <c r="AF183" s="42" t="n">
        <v>11</v>
      </c>
      <c r="AG183" s="42" t="n">
        <v>2</v>
      </c>
      <c r="AH183" s="42" t="n">
        <v>2</v>
      </c>
      <c r="AI183" s="42" t="n">
        <v>2</v>
      </c>
      <c r="AJ183" s="42" t="n">
        <v>1</v>
      </c>
      <c r="AK183" s="42" t="n">
        <v>3</v>
      </c>
      <c r="AL183" s="42" t="n">
        <v>5</v>
      </c>
      <c r="AM183" s="42" t="n">
        <v>21</v>
      </c>
      <c r="AN183" s="42" t="n">
        <v>0</v>
      </c>
      <c r="AO183" s="42" t="n">
        <v>0</v>
      </c>
      <c r="AP183" s="42" t="n">
        <v>0</v>
      </c>
      <c r="AQ183" s="42" t="n">
        <v>0</v>
      </c>
      <c r="AR183" s="42" t="n">
        <v>0</v>
      </c>
      <c r="AS183" s="42" t="n">
        <v>0</v>
      </c>
      <c r="AT183" s="42" t="n">
        <v>0</v>
      </c>
      <c r="AU183" s="42"/>
      <c r="AV183" s="42" t="n">
        <f aca="false">SUM(N183:AU183)</f>
        <v>222</v>
      </c>
      <c r="AW183" s="42" t="n">
        <v>28</v>
      </c>
      <c r="AX183" s="42" t="n">
        <v>0</v>
      </c>
      <c r="AY183" s="42" t="n">
        <f aca="false">+AV183+AW183+AX183</f>
        <v>250</v>
      </c>
      <c r="AZ183" s="42" t="n">
        <f aca="false">+K183-AY183</f>
        <v>0</v>
      </c>
      <c r="BA183" s="46"/>
    </row>
    <row r="184" customFormat="false" ht="12.75" hidden="false" customHeight="false" outlineLevel="0" collapsed="false">
      <c r="A184" s="47" t="n">
        <v>11</v>
      </c>
      <c r="B184" s="48" t="s">
        <v>388</v>
      </c>
      <c r="C184" s="48" t="s">
        <v>234</v>
      </c>
      <c r="D184" s="49" t="n">
        <v>103243</v>
      </c>
      <c r="E184" s="50" t="n">
        <v>0</v>
      </c>
      <c r="F184" s="45" t="n">
        <v>15</v>
      </c>
      <c r="G184" s="45" t="n">
        <v>36</v>
      </c>
      <c r="H184" s="50" t="n">
        <f aca="false">55+55</f>
        <v>110</v>
      </c>
      <c r="I184" s="50" t="n">
        <v>0</v>
      </c>
      <c r="J184" s="50" t="n">
        <v>4</v>
      </c>
      <c r="K184" s="42" t="n">
        <f aca="false">SUM(E184:J184)</f>
        <v>165</v>
      </c>
      <c r="L184" s="51"/>
      <c r="M184" s="50" t="s">
        <v>134</v>
      </c>
      <c r="N184" s="45" t="n">
        <v>0</v>
      </c>
      <c r="O184" s="45" t="n">
        <v>0</v>
      </c>
      <c r="P184" s="45" t="n">
        <v>0</v>
      </c>
      <c r="Q184" s="45" t="n">
        <v>0</v>
      </c>
      <c r="R184" s="45" t="n">
        <v>0</v>
      </c>
      <c r="S184" s="45" t="n">
        <v>0</v>
      </c>
      <c r="T184" s="45" t="n">
        <v>0</v>
      </c>
      <c r="U184" s="45" t="n">
        <v>0</v>
      </c>
      <c r="V184" s="45" t="n">
        <v>0</v>
      </c>
      <c r="W184" s="42" t="n">
        <v>0</v>
      </c>
      <c r="X184" s="45" t="n">
        <v>0</v>
      </c>
      <c r="Y184" s="45" t="n">
        <v>0</v>
      </c>
      <c r="Z184" s="45" t="n">
        <v>0</v>
      </c>
      <c r="AA184" s="45" t="n">
        <v>0</v>
      </c>
      <c r="AB184" s="45" t="n">
        <v>0</v>
      </c>
      <c r="AC184" s="45" t="n">
        <v>0</v>
      </c>
      <c r="AD184" s="45" t="n">
        <v>0</v>
      </c>
      <c r="AE184" s="45" t="n">
        <v>0</v>
      </c>
      <c r="AF184" s="45" t="n">
        <v>0</v>
      </c>
      <c r="AG184" s="45" t="n">
        <v>0</v>
      </c>
      <c r="AH184" s="45" t="n">
        <v>0</v>
      </c>
      <c r="AI184" s="45" t="n">
        <v>0</v>
      </c>
      <c r="AJ184" s="45" t="n">
        <v>0</v>
      </c>
      <c r="AK184" s="45" t="n">
        <v>0</v>
      </c>
      <c r="AL184" s="45" t="n">
        <v>0</v>
      </c>
      <c r="AM184" s="45" t="n">
        <v>0</v>
      </c>
      <c r="AN184" s="45" t="n">
        <v>0</v>
      </c>
      <c r="AO184" s="42" t="n">
        <v>0</v>
      </c>
      <c r="AP184" s="42" t="n">
        <v>0</v>
      </c>
      <c r="AQ184" s="42" t="n">
        <v>0</v>
      </c>
      <c r="AR184" s="42" t="n">
        <v>0</v>
      </c>
      <c r="AS184" s="42" t="n">
        <v>0</v>
      </c>
      <c r="AT184" s="42" t="n">
        <v>0</v>
      </c>
      <c r="AU184" s="45"/>
      <c r="AV184" s="45" t="n">
        <f aca="false">SUM(N184:AU184)</f>
        <v>0</v>
      </c>
      <c r="AW184" s="45" t="n">
        <v>165</v>
      </c>
      <c r="AX184" s="42" t="n">
        <v>0</v>
      </c>
      <c r="AY184" s="42" t="n">
        <f aca="false">+AV184+AW184+AX184</f>
        <v>165</v>
      </c>
      <c r="AZ184" s="45" t="n">
        <f aca="false">+K184-AY184</f>
        <v>0</v>
      </c>
      <c r="BA184" s="52"/>
    </row>
    <row r="185" customFormat="false" ht="12.75" hidden="false" customHeight="false" outlineLevel="0" collapsed="false">
      <c r="A185" s="47" t="n">
        <v>11</v>
      </c>
      <c r="B185" s="48" t="s">
        <v>389</v>
      </c>
      <c r="C185" s="48" t="s">
        <v>234</v>
      </c>
      <c r="D185" s="49" t="n">
        <v>103244</v>
      </c>
      <c r="E185" s="50" t="n">
        <v>0</v>
      </c>
      <c r="F185" s="45" t="n">
        <v>0</v>
      </c>
      <c r="G185" s="45" t="n">
        <v>0</v>
      </c>
      <c r="H185" s="50" t="n">
        <v>0</v>
      </c>
      <c r="I185" s="50" t="n">
        <v>0</v>
      </c>
      <c r="J185" s="50" t="n">
        <v>0</v>
      </c>
      <c r="K185" s="42" t="n">
        <f aca="false">SUM(E185:J185)</f>
        <v>0</v>
      </c>
      <c r="L185" s="51"/>
      <c r="M185" s="50" t="s">
        <v>134</v>
      </c>
      <c r="N185" s="45" t="n">
        <v>0</v>
      </c>
      <c r="O185" s="45" t="n">
        <v>0</v>
      </c>
      <c r="P185" s="45" t="n">
        <v>0</v>
      </c>
      <c r="Q185" s="45" t="n">
        <v>0</v>
      </c>
      <c r="R185" s="45" t="n">
        <v>0</v>
      </c>
      <c r="S185" s="45" t="n">
        <v>0</v>
      </c>
      <c r="T185" s="45" t="n">
        <v>0</v>
      </c>
      <c r="U185" s="45" t="n">
        <v>0</v>
      </c>
      <c r="V185" s="45" t="n">
        <v>0</v>
      </c>
      <c r="W185" s="42" t="n">
        <v>0</v>
      </c>
      <c r="X185" s="45" t="n">
        <v>0</v>
      </c>
      <c r="Y185" s="45" t="n">
        <v>0</v>
      </c>
      <c r="Z185" s="45" t="n">
        <v>0</v>
      </c>
      <c r="AA185" s="45" t="n">
        <v>0</v>
      </c>
      <c r="AB185" s="45" t="n">
        <v>0</v>
      </c>
      <c r="AC185" s="45" t="n">
        <v>0</v>
      </c>
      <c r="AD185" s="45" t="n">
        <v>0</v>
      </c>
      <c r="AE185" s="45" t="n">
        <v>0</v>
      </c>
      <c r="AF185" s="45" t="n">
        <v>0</v>
      </c>
      <c r="AG185" s="45" t="n">
        <v>0</v>
      </c>
      <c r="AH185" s="45" t="n">
        <v>0</v>
      </c>
      <c r="AI185" s="45" t="n">
        <v>0</v>
      </c>
      <c r="AJ185" s="45" t="n">
        <v>0</v>
      </c>
      <c r="AK185" s="45" t="n">
        <v>0</v>
      </c>
      <c r="AL185" s="45" t="n">
        <v>0</v>
      </c>
      <c r="AM185" s="45" t="n">
        <v>0</v>
      </c>
      <c r="AN185" s="45" t="n">
        <v>0</v>
      </c>
      <c r="AO185" s="42" t="n">
        <v>0</v>
      </c>
      <c r="AP185" s="42" t="n">
        <v>0</v>
      </c>
      <c r="AQ185" s="42" t="n">
        <v>0</v>
      </c>
      <c r="AR185" s="42" t="n">
        <v>0</v>
      </c>
      <c r="AS185" s="42" t="n">
        <v>0</v>
      </c>
      <c r="AT185" s="42" t="n">
        <v>0</v>
      </c>
      <c r="AU185" s="45"/>
      <c r="AV185" s="45" t="n">
        <f aca="false">SUM(N185:AU185)</f>
        <v>0</v>
      </c>
      <c r="AW185" s="45" t="n">
        <v>0</v>
      </c>
      <c r="AX185" s="42" t="n">
        <v>0</v>
      </c>
      <c r="AY185" s="42" t="n">
        <f aca="false">+AV185+AW185+AX185</f>
        <v>0</v>
      </c>
      <c r="AZ185" s="45" t="n">
        <f aca="false">+K185-AY185</f>
        <v>0</v>
      </c>
      <c r="BA185" s="52"/>
    </row>
    <row r="186" customFormat="false" ht="12.75" hidden="false" customHeight="false" outlineLevel="0" collapsed="false">
      <c r="A186" s="47" t="n">
        <v>11</v>
      </c>
      <c r="B186" s="48" t="s">
        <v>390</v>
      </c>
      <c r="C186" s="48" t="s">
        <v>234</v>
      </c>
      <c r="D186" s="49" t="n">
        <v>103245</v>
      </c>
      <c r="E186" s="50" t="n">
        <v>0</v>
      </c>
      <c r="F186" s="45" t="n">
        <v>30</v>
      </c>
      <c r="G186" s="45" t="n">
        <v>25</v>
      </c>
      <c r="H186" s="50" t="n">
        <v>160</v>
      </c>
      <c r="I186" s="50" t="n">
        <v>0</v>
      </c>
      <c r="J186" s="50" t="n">
        <v>0</v>
      </c>
      <c r="K186" s="42" t="n">
        <f aca="false">SUM(E186:J186)</f>
        <v>215</v>
      </c>
      <c r="L186" s="51"/>
      <c r="M186" s="50" t="s">
        <v>134</v>
      </c>
      <c r="N186" s="45" t="n">
        <v>0</v>
      </c>
      <c r="O186" s="45" t="n">
        <v>0</v>
      </c>
      <c r="P186" s="45" t="n">
        <v>0</v>
      </c>
      <c r="Q186" s="45" t="n">
        <v>0</v>
      </c>
      <c r="R186" s="45" t="n">
        <v>0</v>
      </c>
      <c r="S186" s="45" t="n">
        <v>0</v>
      </c>
      <c r="T186" s="45" t="n">
        <v>0</v>
      </c>
      <c r="U186" s="45" t="n">
        <v>0</v>
      </c>
      <c r="V186" s="45" t="n">
        <v>0</v>
      </c>
      <c r="W186" s="42" t="n">
        <v>0</v>
      </c>
      <c r="X186" s="45" t="n">
        <v>0</v>
      </c>
      <c r="Y186" s="45" t="n">
        <v>0</v>
      </c>
      <c r="Z186" s="45" t="n">
        <v>0</v>
      </c>
      <c r="AA186" s="45" t="n">
        <v>0</v>
      </c>
      <c r="AB186" s="45" t="n">
        <v>0</v>
      </c>
      <c r="AC186" s="45" t="n">
        <v>0</v>
      </c>
      <c r="AD186" s="45" t="n">
        <v>0</v>
      </c>
      <c r="AE186" s="45" t="n">
        <v>0</v>
      </c>
      <c r="AF186" s="45" t="n">
        <v>0</v>
      </c>
      <c r="AG186" s="45" t="n">
        <v>0</v>
      </c>
      <c r="AH186" s="45" t="n">
        <v>0</v>
      </c>
      <c r="AI186" s="45" t="n">
        <v>0</v>
      </c>
      <c r="AJ186" s="45" t="n">
        <v>0</v>
      </c>
      <c r="AK186" s="45" t="n">
        <v>0</v>
      </c>
      <c r="AL186" s="45" t="n">
        <v>0</v>
      </c>
      <c r="AM186" s="45" t="n">
        <v>0</v>
      </c>
      <c r="AN186" s="45" t="n">
        <v>0</v>
      </c>
      <c r="AO186" s="42" t="n">
        <v>0</v>
      </c>
      <c r="AP186" s="42" t="n">
        <v>0</v>
      </c>
      <c r="AQ186" s="42" t="n">
        <v>0</v>
      </c>
      <c r="AR186" s="42" t="n">
        <v>0</v>
      </c>
      <c r="AS186" s="42" t="n">
        <v>0</v>
      </c>
      <c r="AT186" s="42" t="n">
        <v>0</v>
      </c>
      <c r="AU186" s="45"/>
      <c r="AV186" s="45" t="n">
        <f aca="false">SUM(N186:AU186)</f>
        <v>0</v>
      </c>
      <c r="AW186" s="45" t="n">
        <v>215</v>
      </c>
      <c r="AX186" s="42" t="n">
        <v>0</v>
      </c>
      <c r="AY186" s="42" t="n">
        <f aca="false">+AV186+AW186+AX186</f>
        <v>215</v>
      </c>
      <c r="AZ186" s="45" t="n">
        <f aca="false">+K186-AY186</f>
        <v>0</v>
      </c>
      <c r="BA186" s="52"/>
    </row>
    <row r="187" customFormat="false" ht="12.75" hidden="false" customHeight="false" outlineLevel="0" collapsed="false">
      <c r="A187" s="47" t="n">
        <v>11</v>
      </c>
      <c r="B187" s="48" t="s">
        <v>391</v>
      </c>
      <c r="C187" s="48" t="s">
        <v>234</v>
      </c>
      <c r="D187" s="49" t="n">
        <v>103246</v>
      </c>
      <c r="E187" s="50" t="n">
        <f aca="false">616+51+79</f>
        <v>746</v>
      </c>
      <c r="F187" s="45" t="n">
        <v>123</v>
      </c>
      <c r="G187" s="45" t="n">
        <v>2</v>
      </c>
      <c r="H187" s="50" t="n">
        <f aca="false">100+7</f>
        <v>107</v>
      </c>
      <c r="I187" s="50" t="n">
        <f aca="false">18+106</f>
        <v>124</v>
      </c>
      <c r="J187" s="50" t="n">
        <v>14</v>
      </c>
      <c r="K187" s="42" t="n">
        <f aca="false">SUM(E187:J187)</f>
        <v>1116</v>
      </c>
      <c r="L187" s="51"/>
      <c r="M187" s="50" t="s">
        <v>392</v>
      </c>
      <c r="N187" s="45" t="n">
        <v>0</v>
      </c>
      <c r="O187" s="45" t="n">
        <v>0</v>
      </c>
      <c r="P187" s="45" t="n">
        <v>0</v>
      </c>
      <c r="Q187" s="45" t="n">
        <v>0</v>
      </c>
      <c r="R187" s="45" t="n">
        <v>0</v>
      </c>
      <c r="S187" s="45" t="n">
        <v>0</v>
      </c>
      <c r="T187" s="45" t="n">
        <v>0</v>
      </c>
      <c r="U187" s="45" t="n">
        <v>0</v>
      </c>
      <c r="V187" s="45" t="n">
        <v>0</v>
      </c>
      <c r="W187" s="42" t="n">
        <v>0</v>
      </c>
      <c r="X187" s="45" t="n">
        <f aca="false">222-18-12</f>
        <v>192</v>
      </c>
      <c r="Y187" s="45" t="n">
        <v>0</v>
      </c>
      <c r="Z187" s="45" t="n">
        <v>0</v>
      </c>
      <c r="AA187" s="45" t="n">
        <v>0</v>
      </c>
      <c r="AB187" s="45" t="n">
        <v>56</v>
      </c>
      <c r="AC187" s="45" t="n">
        <v>0</v>
      </c>
      <c r="AD187" s="45" t="n">
        <v>334</v>
      </c>
      <c r="AE187" s="45" t="n">
        <v>112</v>
      </c>
      <c r="AF187" s="45" t="n">
        <v>0</v>
      </c>
      <c r="AG187" s="45" t="n">
        <v>0</v>
      </c>
      <c r="AH187" s="45" t="n">
        <v>70</v>
      </c>
      <c r="AI187" s="45" t="n">
        <v>70</v>
      </c>
      <c r="AJ187" s="45" t="n">
        <v>70</v>
      </c>
      <c r="AK187" s="45" t="n">
        <v>0</v>
      </c>
      <c r="AL187" s="45" t="n">
        <f aca="false">70-38</f>
        <v>32</v>
      </c>
      <c r="AM187" s="45" t="n">
        <v>0</v>
      </c>
      <c r="AN187" s="45" t="n">
        <v>0</v>
      </c>
      <c r="AO187" s="45" t="n">
        <f aca="false">112+38+18</f>
        <v>168</v>
      </c>
      <c r="AP187" s="45" t="n">
        <v>12</v>
      </c>
      <c r="AQ187" s="42" t="n">
        <v>0</v>
      </c>
      <c r="AR187" s="42" t="n">
        <v>0</v>
      </c>
      <c r="AS187" s="42" t="n">
        <v>0</v>
      </c>
      <c r="AT187" s="42" t="n">
        <v>0</v>
      </c>
      <c r="AU187" s="45"/>
      <c r="AV187" s="45" t="n">
        <f aca="false">SUM(N187:AU187)</f>
        <v>1116</v>
      </c>
      <c r="AW187" s="45" t="n">
        <v>0</v>
      </c>
      <c r="AX187" s="42" t="n">
        <v>0</v>
      </c>
      <c r="AY187" s="42" t="n">
        <f aca="false">+AV187+AW187+AX187</f>
        <v>1116</v>
      </c>
      <c r="AZ187" s="45" t="n">
        <f aca="false">+K187-AY187</f>
        <v>0</v>
      </c>
      <c r="BA187" s="52"/>
    </row>
    <row r="188" customFormat="false" ht="12.75" hidden="false" customHeight="false" outlineLevel="0" collapsed="false">
      <c r="A188" s="47" t="n">
        <v>11</v>
      </c>
      <c r="B188" s="48" t="s">
        <v>393</v>
      </c>
      <c r="C188" s="48" t="s">
        <v>234</v>
      </c>
      <c r="D188" s="49" t="n">
        <v>103247</v>
      </c>
      <c r="E188" s="50" t="n">
        <f aca="false">305+19+43</f>
        <v>367</v>
      </c>
      <c r="F188" s="45" t="n">
        <v>170</v>
      </c>
      <c r="G188" s="45" t="n">
        <v>5</v>
      </c>
      <c r="H188" s="50" t="n">
        <f aca="false">24+6+500</f>
        <v>530</v>
      </c>
      <c r="I188" s="50" t="n">
        <f aca="false">12+30</f>
        <v>42</v>
      </c>
      <c r="J188" s="50" t="n">
        <v>532</v>
      </c>
      <c r="K188" s="42" t="n">
        <f aca="false">SUM(E188:J188)</f>
        <v>1646</v>
      </c>
      <c r="L188" s="51"/>
      <c r="M188" s="50" t="s">
        <v>134</v>
      </c>
      <c r="N188" s="45" t="n">
        <v>0</v>
      </c>
      <c r="O188" s="45" t="n">
        <v>0</v>
      </c>
      <c r="P188" s="45" t="n">
        <v>0</v>
      </c>
      <c r="Q188" s="45" t="n">
        <v>0</v>
      </c>
      <c r="R188" s="45" t="n">
        <v>0</v>
      </c>
      <c r="S188" s="45" t="n">
        <v>0</v>
      </c>
      <c r="T188" s="45" t="n">
        <v>0</v>
      </c>
      <c r="U188" s="45" t="n">
        <v>0</v>
      </c>
      <c r="V188" s="45" t="n">
        <v>0</v>
      </c>
      <c r="W188" s="42" t="n">
        <v>0</v>
      </c>
      <c r="X188" s="45" t="n">
        <v>0</v>
      </c>
      <c r="Y188" s="45" t="n">
        <v>0</v>
      </c>
      <c r="Z188" s="45" t="n">
        <v>0</v>
      </c>
      <c r="AA188" s="45" t="n">
        <v>0</v>
      </c>
      <c r="AB188" s="45" t="n">
        <v>0</v>
      </c>
      <c r="AC188" s="45" t="n">
        <v>0</v>
      </c>
      <c r="AD188" s="45" t="n">
        <v>0</v>
      </c>
      <c r="AE188" s="45" t="n">
        <v>0</v>
      </c>
      <c r="AF188" s="45" t="n">
        <v>0</v>
      </c>
      <c r="AG188" s="45" t="n">
        <v>0</v>
      </c>
      <c r="AH188" s="45" t="n">
        <v>0</v>
      </c>
      <c r="AI188" s="45" t="n">
        <v>0</v>
      </c>
      <c r="AJ188" s="45" t="n">
        <v>0</v>
      </c>
      <c r="AK188" s="45" t="n">
        <v>0</v>
      </c>
      <c r="AL188" s="45" t="n">
        <v>0</v>
      </c>
      <c r="AM188" s="45" t="n">
        <v>0</v>
      </c>
      <c r="AN188" s="45" t="n">
        <v>0</v>
      </c>
      <c r="AO188" s="45" t="n">
        <v>0</v>
      </c>
      <c r="AP188" s="45" t="n">
        <v>0</v>
      </c>
      <c r="AQ188" s="42" t="n">
        <v>0</v>
      </c>
      <c r="AR188" s="42" t="n">
        <v>0</v>
      </c>
      <c r="AS188" s="42" t="n">
        <v>0</v>
      </c>
      <c r="AT188" s="42" t="n">
        <v>0</v>
      </c>
      <c r="AU188" s="45"/>
      <c r="AV188" s="45" t="n">
        <f aca="false">SUM(N188:AU188)</f>
        <v>0</v>
      </c>
      <c r="AW188" s="45" t="n">
        <v>1646</v>
      </c>
      <c r="AX188" s="42" t="n">
        <v>0</v>
      </c>
      <c r="AY188" s="42" t="n">
        <f aca="false">+AV188+AW188+AX188</f>
        <v>1646</v>
      </c>
      <c r="AZ188" s="45" t="n">
        <f aca="false">+K188-AY188</f>
        <v>0</v>
      </c>
      <c r="BA188" s="52"/>
    </row>
    <row r="189" customFormat="false" ht="12.75" hidden="false" customHeight="false" outlineLevel="0" collapsed="false">
      <c r="A189" s="47" t="n">
        <v>11</v>
      </c>
      <c r="B189" s="48" t="s">
        <v>394</v>
      </c>
      <c r="C189" s="48" t="s">
        <v>118</v>
      </c>
      <c r="D189" s="49" t="n">
        <v>103384</v>
      </c>
      <c r="E189" s="50" t="n">
        <f aca="false">234+13+31</f>
        <v>278</v>
      </c>
      <c r="F189" s="45" t="n">
        <v>5</v>
      </c>
      <c r="G189" s="45" t="n">
        <v>5</v>
      </c>
      <c r="H189" s="50" t="n">
        <f aca="false">39+1+3</f>
        <v>43</v>
      </c>
      <c r="I189" s="50" t="n">
        <f aca="false">3+65</f>
        <v>68</v>
      </c>
      <c r="J189" s="50" t="n">
        <v>-99</v>
      </c>
      <c r="K189" s="42" t="n">
        <f aca="false">SUM(E189:J189)</f>
        <v>300</v>
      </c>
      <c r="L189" s="51"/>
      <c r="M189" s="50" t="s">
        <v>395</v>
      </c>
      <c r="N189" s="45" t="n">
        <v>5</v>
      </c>
      <c r="O189" s="45" t="n">
        <v>9</v>
      </c>
      <c r="P189" s="45" t="n">
        <v>10</v>
      </c>
      <c r="Q189" s="45" t="n">
        <v>10</v>
      </c>
      <c r="R189" s="45" t="n">
        <v>1</v>
      </c>
      <c r="S189" s="45" t="n">
        <v>0</v>
      </c>
      <c r="T189" s="45" t="n">
        <v>5</v>
      </c>
      <c r="U189" s="45" t="n">
        <v>35</v>
      </c>
      <c r="V189" s="45" t="n">
        <v>7</v>
      </c>
      <c r="W189" s="42" t="n">
        <v>3</v>
      </c>
      <c r="X189" s="45" t="n">
        <v>49</v>
      </c>
      <c r="Y189" s="45" t="n">
        <v>0</v>
      </c>
      <c r="Z189" s="45" t="n">
        <v>5</v>
      </c>
      <c r="AA189" s="45" t="n">
        <v>1</v>
      </c>
      <c r="AB189" s="45" t="n">
        <v>0</v>
      </c>
      <c r="AC189" s="45" t="n">
        <v>2</v>
      </c>
      <c r="AD189" s="45" t="n">
        <v>44</v>
      </c>
      <c r="AE189" s="45" t="n">
        <v>36</v>
      </c>
      <c r="AF189" s="45" t="n">
        <v>0</v>
      </c>
      <c r="AG189" s="45" t="n">
        <v>0</v>
      </c>
      <c r="AH189" s="45" t="n">
        <v>2</v>
      </c>
      <c r="AI189" s="45" t="n">
        <v>2</v>
      </c>
      <c r="AJ189" s="45" t="n">
        <v>1</v>
      </c>
      <c r="AK189" s="45" t="n">
        <v>3</v>
      </c>
      <c r="AL189" s="45" t="n">
        <v>1</v>
      </c>
      <c r="AM189" s="45" t="n">
        <v>22</v>
      </c>
      <c r="AN189" s="45" t="n">
        <v>0</v>
      </c>
      <c r="AO189" s="45" t="n">
        <v>13</v>
      </c>
      <c r="AP189" s="45" t="n">
        <v>4</v>
      </c>
      <c r="AQ189" s="42" t="n">
        <v>0</v>
      </c>
      <c r="AR189" s="42" t="n">
        <v>0</v>
      </c>
      <c r="AS189" s="42" t="n">
        <v>0</v>
      </c>
      <c r="AT189" s="42" t="n">
        <v>0</v>
      </c>
      <c r="AU189" s="45"/>
      <c r="AV189" s="45" t="n">
        <f aca="false">SUM(N189:AU189)</f>
        <v>270</v>
      </c>
      <c r="AW189" s="45" t="n">
        <v>30</v>
      </c>
      <c r="AX189" s="42" t="n">
        <v>0</v>
      </c>
      <c r="AY189" s="42" t="n">
        <f aca="false">+AV189+AW189+AX189</f>
        <v>300</v>
      </c>
      <c r="AZ189" s="45" t="n">
        <f aca="false">+K189-AY189</f>
        <v>0</v>
      </c>
      <c r="BA189" s="52"/>
    </row>
    <row r="190" customFormat="false" ht="12.75" hidden="false" customHeight="false" outlineLevel="0" collapsed="false">
      <c r="A190" s="47" t="n">
        <v>11</v>
      </c>
      <c r="B190" s="48" t="s">
        <v>396</v>
      </c>
      <c r="C190" s="48" t="s">
        <v>397</v>
      </c>
      <c r="D190" s="49" t="n">
        <v>103335</v>
      </c>
      <c r="E190" s="50" t="n">
        <f aca="false">380+34+50</f>
        <v>464</v>
      </c>
      <c r="F190" s="45" t="n">
        <v>80</v>
      </c>
      <c r="G190" s="45" t="n">
        <v>12</v>
      </c>
      <c r="H190" s="50" t="n">
        <f aca="false">175+12</f>
        <v>187</v>
      </c>
      <c r="I190" s="50" t="n">
        <v>0</v>
      </c>
      <c r="J190" s="50" t="n">
        <v>21</v>
      </c>
      <c r="K190" s="42" t="n">
        <f aca="false">SUM(E190:J190)</f>
        <v>764</v>
      </c>
      <c r="L190" s="51"/>
      <c r="M190" s="50" t="s">
        <v>134</v>
      </c>
      <c r="N190" s="45" t="n">
        <v>0</v>
      </c>
      <c r="O190" s="45" t="n">
        <v>0</v>
      </c>
      <c r="P190" s="45" t="n">
        <v>0</v>
      </c>
      <c r="Q190" s="45" t="n">
        <v>0</v>
      </c>
      <c r="R190" s="45" t="n">
        <v>0</v>
      </c>
      <c r="S190" s="45" t="n">
        <v>0</v>
      </c>
      <c r="T190" s="45" t="n">
        <v>0</v>
      </c>
      <c r="U190" s="45" t="n">
        <v>0</v>
      </c>
      <c r="V190" s="45" t="n">
        <v>0</v>
      </c>
      <c r="W190" s="42" t="n">
        <v>0</v>
      </c>
      <c r="X190" s="45" t="n">
        <v>0</v>
      </c>
      <c r="Y190" s="45" t="n">
        <v>0</v>
      </c>
      <c r="Z190" s="45" t="n">
        <v>0</v>
      </c>
      <c r="AA190" s="45" t="n">
        <v>0</v>
      </c>
      <c r="AB190" s="45" t="n">
        <v>0</v>
      </c>
      <c r="AC190" s="45" t="n">
        <v>0</v>
      </c>
      <c r="AD190" s="45" t="n">
        <v>0</v>
      </c>
      <c r="AE190" s="45" t="n">
        <v>0</v>
      </c>
      <c r="AF190" s="45" t="n">
        <v>0</v>
      </c>
      <c r="AG190" s="45" t="n">
        <v>0</v>
      </c>
      <c r="AH190" s="45" t="n">
        <v>0</v>
      </c>
      <c r="AI190" s="45" t="n">
        <v>0</v>
      </c>
      <c r="AJ190" s="45" t="n">
        <v>0</v>
      </c>
      <c r="AK190" s="45" t="n">
        <v>0</v>
      </c>
      <c r="AL190" s="45" t="n">
        <v>0</v>
      </c>
      <c r="AM190" s="45" t="n">
        <v>0</v>
      </c>
      <c r="AN190" s="45" t="n">
        <v>0</v>
      </c>
      <c r="AO190" s="45" t="n">
        <v>0</v>
      </c>
      <c r="AP190" s="45" t="n">
        <v>0</v>
      </c>
      <c r="AQ190" s="42" t="n">
        <v>0</v>
      </c>
      <c r="AR190" s="42" t="n">
        <v>0</v>
      </c>
      <c r="AS190" s="42" t="n">
        <v>0</v>
      </c>
      <c r="AT190" s="42" t="n">
        <v>0</v>
      </c>
      <c r="AU190" s="45"/>
      <c r="AV190" s="45" t="n">
        <f aca="false">SUM(N190:AU190)</f>
        <v>0</v>
      </c>
      <c r="AW190" s="45" t="n">
        <v>764</v>
      </c>
      <c r="AX190" s="42" t="n">
        <v>0</v>
      </c>
      <c r="AY190" s="42" t="n">
        <f aca="false">+AV190+AW190+AX190</f>
        <v>764</v>
      </c>
      <c r="AZ190" s="45" t="n">
        <f aca="false">+K190-AY190</f>
        <v>0</v>
      </c>
      <c r="BA190" s="52"/>
    </row>
    <row r="191" customFormat="false" ht="12.75" hidden="false" customHeight="false" outlineLevel="0" collapsed="false">
      <c r="A191" s="37"/>
      <c r="B191" s="39"/>
      <c r="C191" s="39"/>
      <c r="D191" s="40"/>
      <c r="E191" s="41"/>
      <c r="F191" s="42"/>
      <c r="G191" s="42"/>
      <c r="H191" s="41"/>
      <c r="I191" s="41"/>
      <c r="J191" s="41"/>
      <c r="K191" s="42"/>
      <c r="L191" s="43"/>
      <c r="M191" s="41"/>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6"/>
    </row>
    <row r="192" customFormat="false" ht="12.75" hidden="false" customHeight="true" outlineLevel="0" collapsed="false">
      <c r="A192" s="60"/>
      <c r="C192" s="61"/>
      <c r="D192" s="33"/>
      <c r="E192" s="62"/>
      <c r="F192" s="62"/>
      <c r="G192" s="62"/>
      <c r="H192" s="62"/>
      <c r="I192" s="62"/>
      <c r="J192" s="62"/>
      <c r="K192" s="62"/>
      <c r="L192" s="62"/>
      <c r="M192" s="41"/>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row>
    <row r="193" customFormat="false" ht="12.75" hidden="false" customHeight="true" outlineLevel="0" collapsed="false">
      <c r="A193" s="60"/>
      <c r="B193" s="61" t="s">
        <v>398</v>
      </c>
      <c r="C193" s="61"/>
      <c r="D193" s="33"/>
      <c r="E193" s="63" t="n">
        <f aca="false">SUM(E10:E192)</f>
        <v>310207</v>
      </c>
      <c r="F193" s="63" t="n">
        <f aca="false">SUM(F10:F192)</f>
        <v>30305</v>
      </c>
      <c r="G193" s="63" t="n">
        <f aca="false">SUM(G10:G192)</f>
        <v>1539</v>
      </c>
      <c r="H193" s="63" t="n">
        <f aca="false">SUM(H10:H192)</f>
        <v>94055</v>
      </c>
      <c r="I193" s="63" t="n">
        <f aca="false">SUM(I10:I192)</f>
        <v>17103</v>
      </c>
      <c r="J193" s="63" t="n">
        <f aca="false">SUM(J10:J192)</f>
        <v>389643</v>
      </c>
      <c r="K193" s="63" t="n">
        <f aca="false">SUM(K10:K192)</f>
        <v>842852</v>
      </c>
      <c r="L193" s="64"/>
      <c r="M193" s="41"/>
      <c r="N193" s="63" t="n">
        <f aca="false">SUM(N10:N192)</f>
        <v>4677</v>
      </c>
      <c r="O193" s="63" t="n">
        <f aca="false">SUM(O10:O192)</f>
        <v>13988</v>
      </c>
      <c r="P193" s="63" t="n">
        <f aca="false">SUM(P10:P192)</f>
        <v>17873</v>
      </c>
      <c r="Q193" s="63" t="n">
        <f aca="false">SUM(Q10:Q192)</f>
        <v>4114</v>
      </c>
      <c r="R193" s="63" t="n">
        <f aca="false">SUM(R10:R192)</f>
        <v>922</v>
      </c>
      <c r="S193" s="63" t="n">
        <f aca="false">SUM(S10:S192)</f>
        <v>3161</v>
      </c>
      <c r="T193" s="63" t="n">
        <f aca="false">SUM(T10:T192)</f>
        <v>4677</v>
      </c>
      <c r="U193" s="63" t="n">
        <f aca="false">SUM(U10:U192)</f>
        <v>30313</v>
      </c>
      <c r="V193" s="63" t="n">
        <f aca="false">SUM(V10:V192)</f>
        <v>15423</v>
      </c>
      <c r="W193" s="63" t="n">
        <f aca="false">SUM(W10:W192)</f>
        <v>922</v>
      </c>
      <c r="X193" s="63" t="n">
        <f aca="false">SUM(X10:X192)</f>
        <v>97878</v>
      </c>
      <c r="Y193" s="63" t="n">
        <f aca="false">SUM(Y10:Y192)</f>
        <v>499</v>
      </c>
      <c r="Z193" s="63" t="n">
        <f aca="false">SUM(Z10:Z192)</f>
        <v>5898</v>
      </c>
      <c r="AA193" s="63" t="n">
        <f aca="false">SUM(AA10:AA192)</f>
        <v>2500</v>
      </c>
      <c r="AB193" s="63" t="n">
        <f aca="false">SUM(AB10:AB192)</f>
        <v>29176</v>
      </c>
      <c r="AC193" s="63" t="n">
        <f aca="false">SUM(AC10:AC192)</f>
        <v>4561</v>
      </c>
      <c r="AD193" s="63" t="n">
        <f aca="false">SUM(AD10:AD192)</f>
        <v>67380</v>
      </c>
      <c r="AE193" s="63" t="n">
        <f aca="false">SUM(AE10:AE192)</f>
        <v>73388</v>
      </c>
      <c r="AF193" s="63" t="n">
        <f aca="false">SUM(AF10:AF192)</f>
        <v>2785</v>
      </c>
      <c r="AG193" s="63" t="n">
        <f aca="false">SUM(AG10:AG192)</f>
        <v>2541</v>
      </c>
      <c r="AH193" s="63" t="n">
        <f aca="false">SUM(AH10:AH192)</f>
        <v>12775</v>
      </c>
      <c r="AI193" s="63" t="n">
        <f aca="false">SUM(AI10:AI192)</f>
        <v>36233</v>
      </c>
      <c r="AJ193" s="63" t="n">
        <f aca="false">SUM(AJ10:AJ192)</f>
        <v>14394</v>
      </c>
      <c r="AK193" s="63" t="n">
        <f aca="false">SUM(AK10:AK192)</f>
        <v>4738</v>
      </c>
      <c r="AL193" s="63" t="n">
        <f aca="false">SUM(AL10:AL192)</f>
        <v>10605</v>
      </c>
      <c r="AM193" s="63" t="n">
        <f aca="false">SUM(AM10:AM192)</f>
        <v>18199</v>
      </c>
      <c r="AN193" s="63" t="n">
        <f aca="false">SUM(AN10:AN192)</f>
        <v>0</v>
      </c>
      <c r="AO193" s="63" t="n">
        <f aca="false">SUM(AO10:AO192)</f>
        <v>17934</v>
      </c>
      <c r="AP193" s="63" t="n">
        <f aca="false">SUM(AP10:AP192)</f>
        <v>6542</v>
      </c>
      <c r="AQ193" s="63" t="n">
        <f aca="false">SUM(AQ10:AQ192)</f>
        <v>2130</v>
      </c>
      <c r="AR193" s="63" t="n">
        <f aca="false">SUM(AR10:AR192)</f>
        <v>24</v>
      </c>
      <c r="AS193" s="63" t="n">
        <f aca="false">SUM(AS10:AS192)</f>
        <v>25</v>
      </c>
      <c r="AT193" s="63" t="n">
        <f aca="false">SUM(AT10:AT192)</f>
        <v>0</v>
      </c>
      <c r="AU193" s="63" t="n">
        <f aca="false">SUM(AU10:AU192)</f>
        <v>0</v>
      </c>
      <c r="AV193" s="63" t="n">
        <f aca="false">SUM(AV10:AV192)</f>
        <v>506275</v>
      </c>
      <c r="AW193" s="63" t="n">
        <f aca="false">SUM(AW10:AW192)</f>
        <v>272718</v>
      </c>
      <c r="AX193" s="63" t="n">
        <f aca="false">SUM(AX10:AX192)</f>
        <v>63859</v>
      </c>
      <c r="AY193" s="63" t="n">
        <f aca="false">SUM(AY10:AY192)</f>
        <v>842852</v>
      </c>
      <c r="AZ193" s="63" t="n">
        <f aca="false">SUM(AZ10:AZ192)</f>
        <v>0</v>
      </c>
    </row>
    <row r="194" customFormat="false" ht="12.75" hidden="true" customHeight="true" outlineLevel="0" collapsed="false">
      <c r="A194" s="60"/>
      <c r="B194" s="61"/>
      <c r="C194" s="61"/>
      <c r="D194" s="33"/>
      <c r="E194" s="65"/>
      <c r="F194" s="65"/>
      <c r="G194" s="65"/>
      <c r="H194" s="65"/>
      <c r="I194" s="65"/>
      <c r="J194" s="65"/>
      <c r="K194" s="65"/>
      <c r="L194" s="66"/>
      <c r="M194" s="39"/>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t="s">
        <v>399</v>
      </c>
      <c r="AY194" s="65" t="n">
        <f aca="false">AV193+AW193+AX193</f>
        <v>842852</v>
      </c>
      <c r="AZ194" s="65"/>
    </row>
    <row r="195" customFormat="false" ht="12.75" hidden="true" customHeight="true" outlineLevel="0" collapsed="false">
      <c r="A195" s="60"/>
      <c r="B195" s="61"/>
      <c r="C195" s="61"/>
      <c r="D195" s="33"/>
      <c r="E195" s="65"/>
      <c r="F195" s="65"/>
      <c r="G195" s="65"/>
      <c r="H195" s="65"/>
      <c r="I195" s="65"/>
      <c r="J195" s="65"/>
      <c r="K195" s="65"/>
      <c r="L195" s="66"/>
      <c r="M195" s="39"/>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t="n">
        <f aca="false">AY193-AY194</f>
        <v>0</v>
      </c>
      <c r="AZ195" s="65"/>
    </row>
    <row r="196" customFormat="false" ht="12.75" hidden="true" customHeight="true" outlineLevel="0" collapsed="false">
      <c r="A196" s="60"/>
      <c r="B196" s="61"/>
      <c r="C196" s="61"/>
      <c r="D196" s="33"/>
      <c r="E196" s="65"/>
      <c r="F196" s="65"/>
      <c r="G196" s="65"/>
      <c r="H196" s="65"/>
      <c r="I196" s="65"/>
      <c r="J196" s="65"/>
      <c r="K196" s="65"/>
      <c r="L196" s="66"/>
      <c r="M196" s="39"/>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row>
    <row r="197" customFormat="false" ht="12.75" hidden="true" customHeight="true" outlineLevel="0" collapsed="false">
      <c r="A197" s="67" t="s">
        <v>400</v>
      </c>
      <c r="B197" s="61"/>
      <c r="C197" s="61"/>
      <c r="D197" s="33"/>
      <c r="E197" s="65"/>
      <c r="F197" s="65"/>
      <c r="G197" s="65"/>
      <c r="H197" s="65"/>
      <c r="I197" s="65"/>
      <c r="J197" s="65"/>
      <c r="K197" s="65"/>
      <c r="L197" s="66"/>
      <c r="M197" s="39"/>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row>
    <row r="198" customFormat="false" ht="12.75" hidden="true" customHeight="true" outlineLevel="0" collapsed="false">
      <c r="A198" s="68"/>
      <c r="B198" s="39" t="s">
        <v>401</v>
      </c>
      <c r="C198" s="39"/>
      <c r="D198" s="40"/>
      <c r="E198" s="69"/>
      <c r="F198" s="69"/>
      <c r="G198" s="69"/>
      <c r="H198" s="69"/>
      <c r="I198" s="69"/>
      <c r="J198" s="69"/>
      <c r="K198" s="69"/>
      <c r="L198" s="70"/>
      <c r="M198" s="39"/>
      <c r="N198" s="69" t="n">
        <f aca="false">54</f>
        <v>54</v>
      </c>
      <c r="O198" s="69" t="n">
        <f aca="false">72</f>
        <v>72</v>
      </c>
      <c r="P198" s="69" t="n">
        <f aca="false">375</f>
        <v>375</v>
      </c>
      <c r="Q198" s="69" t="n">
        <v>0</v>
      </c>
      <c r="R198" s="69" t="n">
        <f aca="false">36</f>
        <v>36</v>
      </c>
      <c r="S198" s="69" t="n">
        <v>0</v>
      </c>
      <c r="T198" s="69" t="n">
        <v>0</v>
      </c>
      <c r="U198" s="69" t="n">
        <f aca="false">160</f>
        <v>160</v>
      </c>
      <c r="V198" s="69" t="n">
        <f aca="false">112+131</f>
        <v>243</v>
      </c>
      <c r="W198" s="69"/>
      <c r="X198" s="69" t="n">
        <f aca="false">1698</f>
        <v>1698</v>
      </c>
      <c r="Y198" s="69" t="n">
        <f aca="false">16</f>
        <v>16</v>
      </c>
      <c r="Z198" s="69" t="n">
        <f aca="false">7</f>
        <v>7</v>
      </c>
      <c r="AA198" s="69" t="n">
        <f aca="false">43</f>
        <v>43</v>
      </c>
      <c r="AB198" s="69" t="n">
        <v>10</v>
      </c>
      <c r="AC198" s="69" t="n">
        <f aca="false">86</f>
        <v>86</v>
      </c>
      <c r="AD198" s="69" t="n">
        <f aca="false">815+29</f>
        <v>844</v>
      </c>
      <c r="AE198" s="69" t="n">
        <f aca="false">715</f>
        <v>715</v>
      </c>
      <c r="AF198" s="69" t="n">
        <f aca="false">19</f>
        <v>19</v>
      </c>
      <c r="AG198" s="69" t="n">
        <f aca="false">165</f>
        <v>165</v>
      </c>
      <c r="AH198" s="69" t="n">
        <f aca="false">94</f>
        <v>94</v>
      </c>
      <c r="AI198" s="69" t="n">
        <f aca="false">65</f>
        <v>65</v>
      </c>
      <c r="AJ198" s="69" t="n">
        <f aca="false">45</f>
        <v>45</v>
      </c>
      <c r="AK198" s="69" t="n">
        <f aca="false">113</f>
        <v>113</v>
      </c>
      <c r="AL198" s="69" t="n">
        <f aca="false">211</f>
        <v>211</v>
      </c>
      <c r="AM198" s="69" t="n">
        <f aca="false">866</f>
        <v>866</v>
      </c>
      <c r="AN198" s="69" t="n">
        <v>0</v>
      </c>
      <c r="AO198" s="69" t="n">
        <v>233</v>
      </c>
      <c r="AP198" s="69" t="n">
        <v>0</v>
      </c>
      <c r="AQ198" s="69"/>
      <c r="AR198" s="69"/>
      <c r="AS198" s="69"/>
      <c r="AT198" s="69"/>
      <c r="AU198" s="69"/>
      <c r="AV198" s="69"/>
      <c r="AW198" s="69" t="n">
        <f aca="false">965+160</f>
        <v>1125</v>
      </c>
      <c r="AX198" s="69"/>
      <c r="AY198" s="71" t="n">
        <f aca="false">SUM(N198:AW198)</f>
        <v>7295</v>
      </c>
      <c r="AZ198" s="69"/>
      <c r="BA198" s="72"/>
    </row>
    <row r="199" customFormat="false" ht="12.75" hidden="true" customHeight="true" outlineLevel="0" collapsed="false">
      <c r="A199" s="68"/>
      <c r="B199" s="39" t="s">
        <v>402</v>
      </c>
      <c r="C199" s="39"/>
      <c r="D199" s="40"/>
      <c r="E199" s="69"/>
      <c r="F199" s="69"/>
      <c r="G199" s="69"/>
      <c r="H199" s="69"/>
      <c r="I199" s="69"/>
      <c r="J199" s="69"/>
      <c r="K199" s="69"/>
      <c r="L199" s="70"/>
      <c r="M199" s="39"/>
      <c r="N199" s="69" t="n">
        <f aca="false">54+132</f>
        <v>186</v>
      </c>
      <c r="O199" s="69" t="n">
        <f aca="false">72+281</f>
        <v>353</v>
      </c>
      <c r="P199" s="69" t="n">
        <f aca="false">375</f>
        <v>375</v>
      </c>
      <c r="Q199" s="69" t="n">
        <v>399</v>
      </c>
      <c r="R199" s="69" t="n">
        <f aca="false">36</f>
        <v>36</v>
      </c>
      <c r="S199" s="69" t="n">
        <v>0</v>
      </c>
      <c r="T199" s="69" t="n">
        <f aca="false">120+98</f>
        <v>218</v>
      </c>
      <c r="U199" s="69" t="n">
        <f aca="false">160+132+702</f>
        <v>994</v>
      </c>
      <c r="V199" s="69" t="n">
        <f aca="false">112+131+15+9</f>
        <v>267</v>
      </c>
      <c r="W199" s="69"/>
      <c r="X199" s="69" t="n">
        <f aca="false">1698+101+34</f>
        <v>1833</v>
      </c>
      <c r="Y199" s="69" t="n">
        <f aca="false">16+1</f>
        <v>17</v>
      </c>
      <c r="Z199" s="69" t="n">
        <f aca="false">7+121</f>
        <v>128</v>
      </c>
      <c r="AA199" s="69" t="n">
        <f aca="false">43+2</f>
        <v>45</v>
      </c>
      <c r="AB199" s="69" t="n">
        <v>10</v>
      </c>
      <c r="AC199" s="69" t="n">
        <f aca="false">86</f>
        <v>86</v>
      </c>
      <c r="AD199" s="69" t="n">
        <f aca="false">815+29+54+325</f>
        <v>1223</v>
      </c>
      <c r="AE199" s="69" t="n">
        <f aca="false">715+635</f>
        <v>1350</v>
      </c>
      <c r="AF199" s="69" t="n">
        <f aca="false">19+430</f>
        <v>449</v>
      </c>
      <c r="AG199" s="69" t="n">
        <f aca="false">165</f>
        <v>165</v>
      </c>
      <c r="AH199" s="69" t="n">
        <f aca="false">94</f>
        <v>94</v>
      </c>
      <c r="AI199" s="69" t="n">
        <f aca="false">65</f>
        <v>65</v>
      </c>
      <c r="AJ199" s="69" t="n">
        <f aca="false">45</f>
        <v>45</v>
      </c>
      <c r="AK199" s="69" t="n">
        <f aca="false">113</f>
        <v>113</v>
      </c>
      <c r="AL199" s="69" t="n">
        <f aca="false">211</f>
        <v>211</v>
      </c>
      <c r="AM199" s="69" t="n">
        <f aca="false">866+2+2</f>
        <v>870</v>
      </c>
      <c r="AN199" s="69" t="n">
        <v>0</v>
      </c>
      <c r="AO199" s="69" t="n">
        <v>239</v>
      </c>
      <c r="AP199" s="69" t="n">
        <v>0</v>
      </c>
      <c r="AQ199" s="69"/>
      <c r="AR199" s="69"/>
      <c r="AS199" s="69"/>
      <c r="AT199" s="69"/>
      <c r="AU199" s="69"/>
      <c r="AV199" s="69"/>
      <c r="AW199" s="69" t="n">
        <f aca="false">965+160+5+9+145</f>
        <v>1284</v>
      </c>
      <c r="AX199" s="69"/>
      <c r="AY199" s="71" t="n">
        <f aca="false">SUM(N199:AW199)</f>
        <v>11055</v>
      </c>
      <c r="AZ199" s="69"/>
      <c r="BA199" s="72"/>
    </row>
    <row r="200" customFormat="false" ht="12.75" hidden="true" customHeight="true" outlineLevel="0" collapsed="false">
      <c r="A200" s="68"/>
      <c r="B200" s="39" t="s">
        <v>403</v>
      </c>
      <c r="C200" s="39"/>
      <c r="D200" s="40"/>
      <c r="E200" s="69"/>
      <c r="F200" s="69"/>
      <c r="G200" s="69"/>
      <c r="H200" s="69"/>
      <c r="I200" s="69"/>
      <c r="J200" s="69"/>
      <c r="K200" s="69"/>
      <c r="L200" s="70"/>
      <c r="M200" s="39"/>
      <c r="N200" s="69" t="n">
        <f aca="false">54+132</f>
        <v>186</v>
      </c>
      <c r="O200" s="69" t="n">
        <f aca="false">72+281</f>
        <v>353</v>
      </c>
      <c r="P200" s="69" t="n">
        <f aca="false">375+50</f>
        <v>425</v>
      </c>
      <c r="Q200" s="69" t="n">
        <v>399</v>
      </c>
      <c r="R200" s="69" t="n">
        <f aca="false">36</f>
        <v>36</v>
      </c>
      <c r="S200" s="69" t="n">
        <v>0</v>
      </c>
      <c r="T200" s="69" t="n">
        <f aca="false">120+98</f>
        <v>218</v>
      </c>
      <c r="U200" s="69" t="n">
        <f aca="false">160+132+702</f>
        <v>994</v>
      </c>
      <c r="V200" s="69" t="n">
        <f aca="false">112+131+15+9</f>
        <v>267</v>
      </c>
      <c r="W200" s="69"/>
      <c r="X200" s="69" t="n">
        <f aca="false">1698+101+34</f>
        <v>1833</v>
      </c>
      <c r="Y200" s="69" t="n">
        <f aca="false">16+1</f>
        <v>17</v>
      </c>
      <c r="Z200" s="69" t="n">
        <f aca="false">7+121</f>
        <v>128</v>
      </c>
      <c r="AA200" s="69" t="n">
        <f aca="false">43+2</f>
        <v>45</v>
      </c>
      <c r="AB200" s="69" t="n">
        <v>10</v>
      </c>
      <c r="AC200" s="69" t="n">
        <f aca="false">86</f>
        <v>86</v>
      </c>
      <c r="AD200" s="69" t="n">
        <f aca="false">815+29+54+325</f>
        <v>1223</v>
      </c>
      <c r="AE200" s="69" t="n">
        <f aca="false">715+635</f>
        <v>1350</v>
      </c>
      <c r="AF200" s="69" t="n">
        <f aca="false">19+430+5</f>
        <v>454</v>
      </c>
      <c r="AG200" s="69" t="n">
        <f aca="false">165</f>
        <v>165</v>
      </c>
      <c r="AH200" s="69" t="n">
        <f aca="false">94</f>
        <v>94</v>
      </c>
      <c r="AI200" s="69" t="n">
        <f aca="false">65+25</f>
        <v>90</v>
      </c>
      <c r="AJ200" s="69" t="n">
        <f aca="false">45+10</f>
        <v>55</v>
      </c>
      <c r="AK200" s="69" t="n">
        <f aca="false">113+13</f>
        <v>126</v>
      </c>
      <c r="AL200" s="69" t="n">
        <f aca="false">211+18</f>
        <v>229</v>
      </c>
      <c r="AM200" s="69" t="n">
        <f aca="false">866+2+2</f>
        <v>870</v>
      </c>
      <c r="AN200" s="69" t="n">
        <v>0</v>
      </c>
      <c r="AO200" s="69" t="n">
        <v>239</v>
      </c>
      <c r="AP200" s="69" t="n">
        <v>0</v>
      </c>
      <c r="AQ200" s="69"/>
      <c r="AR200" s="69"/>
      <c r="AS200" s="69"/>
      <c r="AT200" s="69"/>
      <c r="AU200" s="69"/>
      <c r="AV200" s="69"/>
      <c r="AW200" s="69" t="n">
        <f aca="false">965+160+5+9+145+2</f>
        <v>1286</v>
      </c>
      <c r="AX200" s="69"/>
      <c r="AY200" s="71" t="n">
        <f aca="false">SUM(N200:AW200)</f>
        <v>11178</v>
      </c>
      <c r="AZ200" s="69"/>
      <c r="BA200" s="72"/>
    </row>
    <row r="201" customFormat="false" ht="12.75" hidden="true" customHeight="true" outlineLevel="0" collapsed="false">
      <c r="A201" s="68"/>
      <c r="B201" s="39" t="s">
        <v>88</v>
      </c>
      <c r="C201" s="39"/>
      <c r="D201" s="40"/>
      <c r="E201" s="69"/>
      <c r="F201" s="69"/>
      <c r="G201" s="69"/>
      <c r="H201" s="69"/>
      <c r="I201" s="69"/>
      <c r="J201" s="69"/>
      <c r="K201" s="69"/>
      <c r="L201" s="70"/>
      <c r="M201" s="39"/>
      <c r="N201" s="69" t="n">
        <v>186</v>
      </c>
      <c r="O201" s="69" t="n">
        <v>364</v>
      </c>
      <c r="P201" s="69" t="n">
        <f aca="false">1009-399</f>
        <v>610</v>
      </c>
      <c r="Q201" s="69" t="n">
        <v>399</v>
      </c>
      <c r="R201" s="69" t="n">
        <v>47</v>
      </c>
      <c r="S201" s="69" t="n">
        <v>0</v>
      </c>
      <c r="T201" s="69" t="n">
        <v>218</v>
      </c>
      <c r="U201" s="69" t="n">
        <v>1009</v>
      </c>
      <c r="V201" s="69" t="n">
        <v>311</v>
      </c>
      <c r="W201" s="69"/>
      <c r="X201" s="69" t="n">
        <v>2007</v>
      </c>
      <c r="Y201" s="69" t="n">
        <v>17</v>
      </c>
      <c r="Z201" s="69" t="n">
        <v>233</v>
      </c>
      <c r="AA201" s="69" t="n">
        <v>46</v>
      </c>
      <c r="AB201" s="69" t="n">
        <v>1978</v>
      </c>
      <c r="AC201" s="69" t="n">
        <v>86</v>
      </c>
      <c r="AD201" s="69" t="n">
        <v>1226</v>
      </c>
      <c r="AE201" s="69" t="n">
        <v>1500</v>
      </c>
      <c r="AF201" s="69" t="n">
        <v>937</v>
      </c>
      <c r="AG201" s="69" t="n">
        <v>4470</v>
      </c>
      <c r="AH201" s="69" t="n">
        <v>94</v>
      </c>
      <c r="AI201" s="69" t="n">
        <v>270</v>
      </c>
      <c r="AJ201" s="69" t="n">
        <v>231</v>
      </c>
      <c r="AK201" s="69" t="n">
        <v>149</v>
      </c>
      <c r="AL201" s="69" t="n">
        <v>263</v>
      </c>
      <c r="AM201" s="69" t="n">
        <v>1173</v>
      </c>
      <c r="AN201" s="69" t="n">
        <v>0</v>
      </c>
      <c r="AO201" s="69" t="n">
        <v>322</v>
      </c>
      <c r="AP201" s="69" t="n">
        <v>0</v>
      </c>
      <c r="AQ201" s="69"/>
      <c r="AR201" s="69"/>
      <c r="AS201" s="69"/>
      <c r="AT201" s="69"/>
      <c r="AU201" s="69"/>
      <c r="AV201" s="69"/>
      <c r="AW201" s="69" t="n">
        <v>1360</v>
      </c>
      <c r="AX201" s="69"/>
      <c r="AY201" s="71" t="n">
        <f aca="false">SUM(N201:AW201)</f>
        <v>19506</v>
      </c>
      <c r="AZ201" s="69"/>
      <c r="BA201" s="72"/>
    </row>
    <row r="202" customFormat="false" ht="12.75" hidden="true" customHeight="true" outlineLevel="0" collapsed="false">
      <c r="A202" s="60"/>
      <c r="B202" s="61"/>
      <c r="C202" s="61"/>
      <c r="D202" s="33"/>
      <c r="E202" s="65"/>
      <c r="F202" s="65"/>
      <c r="G202" s="65"/>
      <c r="H202" s="65"/>
      <c r="I202" s="65"/>
      <c r="J202" s="65"/>
      <c r="K202" s="65"/>
      <c r="L202" s="66"/>
      <c r="M202" s="39"/>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row>
    <row r="203" customFormat="false" ht="12.75" hidden="true" customHeight="true" outlineLevel="0" collapsed="false">
      <c r="A203" s="67" t="s">
        <v>404</v>
      </c>
      <c r="B203" s="61"/>
      <c r="C203" s="61"/>
      <c r="D203" s="33"/>
      <c r="E203" s="65"/>
      <c r="F203" s="65"/>
      <c r="G203" s="65"/>
      <c r="H203" s="65"/>
      <c r="I203" s="65"/>
      <c r="J203" s="65"/>
      <c r="K203" s="65"/>
      <c r="L203" s="66"/>
      <c r="M203" s="39"/>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row>
    <row r="204" customFormat="false" ht="12.75" hidden="true" customHeight="true" outlineLevel="0" collapsed="false">
      <c r="A204" s="68"/>
      <c r="B204" s="39" t="s">
        <v>401</v>
      </c>
      <c r="C204" s="39"/>
      <c r="D204" s="40"/>
      <c r="E204" s="69"/>
      <c r="F204" s="69"/>
      <c r="G204" s="69"/>
      <c r="H204" s="69"/>
      <c r="I204" s="69"/>
      <c r="J204" s="69"/>
      <c r="K204" s="69"/>
      <c r="L204" s="70"/>
      <c r="M204" s="39"/>
      <c r="N204" s="73" t="n">
        <f aca="false">+N198/$AY198</f>
        <v>0.00740233036326251</v>
      </c>
      <c r="O204" s="73" t="n">
        <f aca="false">+O198/$AY198</f>
        <v>0.00986977381768335</v>
      </c>
      <c r="P204" s="73" t="n">
        <f aca="false">+P198/$AY198</f>
        <v>0.0514050719671008</v>
      </c>
      <c r="Q204" s="73" t="n">
        <f aca="false">+Q198/$AY198</f>
        <v>0</v>
      </c>
      <c r="R204" s="73" t="n">
        <f aca="false">+R198/$AY198</f>
        <v>0.00493488690884167</v>
      </c>
      <c r="S204" s="73" t="n">
        <f aca="false">+S198/$AY198</f>
        <v>0</v>
      </c>
      <c r="T204" s="73" t="n">
        <f aca="false">+T198/$AY198</f>
        <v>0</v>
      </c>
      <c r="U204" s="73" t="n">
        <f aca="false">+U198/$AY198</f>
        <v>0.021932830705963</v>
      </c>
      <c r="V204" s="73" t="n">
        <f aca="false">+V198/$AY198</f>
        <v>0.0333104866346813</v>
      </c>
      <c r="W204" s="73"/>
      <c r="X204" s="73" t="n">
        <f aca="false">+X198/$AY198</f>
        <v>0.232762165867032</v>
      </c>
      <c r="Y204" s="73" t="n">
        <f aca="false">+Y198/$AY198</f>
        <v>0.0021932830705963</v>
      </c>
      <c r="Z204" s="73" t="n">
        <f aca="false">+Z198/$AY198</f>
        <v>0.000959561343385881</v>
      </c>
      <c r="AA204" s="73" t="n">
        <f aca="false">+AA198/$AY198</f>
        <v>0.00589444825222755</v>
      </c>
      <c r="AB204" s="73" t="n">
        <f aca="false">+AB198/$AY198</f>
        <v>0.00137080191912269</v>
      </c>
      <c r="AC204" s="73" t="n">
        <f aca="false">+AC198/$AY198</f>
        <v>0.0117888965044551</v>
      </c>
      <c r="AD204" s="73" t="n">
        <f aca="false">+AD198/$AY198</f>
        <v>0.115695681973955</v>
      </c>
      <c r="AE204" s="73" t="n">
        <f aca="false">+AE198/$AY198</f>
        <v>0.0980123372172721</v>
      </c>
      <c r="AF204" s="73" t="n">
        <f aca="false">+AF198/$AY198</f>
        <v>0.0026045236463331</v>
      </c>
      <c r="AG204" s="73" t="n">
        <f aca="false">+AG198/$AY198</f>
        <v>0.0226182316655243</v>
      </c>
      <c r="AH204" s="73" t="n">
        <f aca="false">+AH198/$AY198</f>
        <v>0.0128855380397533</v>
      </c>
      <c r="AI204" s="73" t="n">
        <f aca="false">+AI198/$AY198</f>
        <v>0.00891021247429747</v>
      </c>
      <c r="AJ204" s="73" t="n">
        <f aca="false">+AJ198/$AY198</f>
        <v>0.00616860863605209</v>
      </c>
      <c r="AK204" s="73" t="n">
        <f aca="false">+AK198/$AY198</f>
        <v>0.0154900616860864</v>
      </c>
      <c r="AL204" s="73" t="n">
        <f aca="false">+AL198/$AY198</f>
        <v>0.0289239204934887</v>
      </c>
      <c r="AM204" s="73" t="n">
        <f aca="false">+AM198/$AY198</f>
        <v>0.118711446196025</v>
      </c>
      <c r="AN204" s="73" t="n">
        <f aca="false">+AN198/$AY198</f>
        <v>0</v>
      </c>
      <c r="AO204" s="73" t="n">
        <f aca="false">+AO198/$AY198</f>
        <v>0.0319396847155586</v>
      </c>
      <c r="AP204" s="73" t="n">
        <f aca="false">+AP198/$AY198</f>
        <v>0</v>
      </c>
      <c r="AQ204" s="73"/>
      <c r="AR204" s="73"/>
      <c r="AS204" s="73"/>
      <c r="AT204" s="73"/>
      <c r="AU204" s="73"/>
      <c r="AV204" s="73"/>
      <c r="AW204" s="73" t="n">
        <f aca="false">+AW198/$AY198</f>
        <v>0.154215215901302</v>
      </c>
      <c r="AX204" s="73"/>
      <c r="AY204" s="73" t="n">
        <f aca="false">+AY198/$AY198</f>
        <v>1</v>
      </c>
      <c r="AZ204" s="69"/>
      <c r="BA204" s="72"/>
    </row>
    <row r="205" customFormat="false" ht="12.75" hidden="true" customHeight="true" outlineLevel="0" collapsed="false">
      <c r="A205" s="68"/>
      <c r="B205" s="39" t="s">
        <v>402</v>
      </c>
      <c r="C205" s="39"/>
      <c r="D205" s="40"/>
      <c r="E205" s="69"/>
      <c r="F205" s="69"/>
      <c r="G205" s="69"/>
      <c r="H205" s="69"/>
      <c r="I205" s="69"/>
      <c r="J205" s="69"/>
      <c r="K205" s="69"/>
      <c r="L205" s="70"/>
      <c r="M205" s="39"/>
      <c r="N205" s="73" t="n">
        <f aca="false">+N199/$AY199</f>
        <v>0.0168249660786974</v>
      </c>
      <c r="O205" s="73" t="n">
        <f aca="false">+O199/$AY199</f>
        <v>0.0319312528267752</v>
      </c>
      <c r="P205" s="73" t="n">
        <f aca="false">+P199/$AY199</f>
        <v>0.033921302578019</v>
      </c>
      <c r="Q205" s="73" t="n">
        <f aca="false">+Q199/$AY199</f>
        <v>0.0360922659430122</v>
      </c>
      <c r="R205" s="73" t="n">
        <f aca="false">+R199/$AY199</f>
        <v>0.00325644504748982</v>
      </c>
      <c r="S205" s="73" t="n">
        <f aca="false">+S199/$AY199</f>
        <v>0</v>
      </c>
      <c r="T205" s="73" t="n">
        <f aca="false">+T199/$AY199</f>
        <v>0.0197195838986884</v>
      </c>
      <c r="U205" s="73" t="n">
        <f aca="false">+U199/$AY199</f>
        <v>0.089914066033469</v>
      </c>
      <c r="V205" s="73" t="n">
        <f aca="false">+V199/$AY199</f>
        <v>0.0241519674355495</v>
      </c>
      <c r="W205" s="73"/>
      <c r="X205" s="73" t="n">
        <f aca="false">+X199/$AY199</f>
        <v>0.165807327001357</v>
      </c>
      <c r="Y205" s="73" t="n">
        <f aca="false">+Y199/$AY199</f>
        <v>0.00153776571687019</v>
      </c>
      <c r="Z205" s="73" t="n">
        <f aca="false">+Z199/$AY199</f>
        <v>0.0115784712799638</v>
      </c>
      <c r="AA205" s="73" t="n">
        <f aca="false">+AA199/$AY199</f>
        <v>0.00407055630936228</v>
      </c>
      <c r="AB205" s="73" t="n">
        <f aca="false">+AB199/$AY199</f>
        <v>0.000904568068747173</v>
      </c>
      <c r="AC205" s="73" t="n">
        <f aca="false">+AC199/$AY199</f>
        <v>0.00777928539122569</v>
      </c>
      <c r="AD205" s="73" t="n">
        <f aca="false">+AD199/$AY199</f>
        <v>0.110628674807779</v>
      </c>
      <c r="AE205" s="73" t="n">
        <f aca="false">+AE199/$AY199</f>
        <v>0.122116689280868</v>
      </c>
      <c r="AF205" s="73" t="n">
        <f aca="false">+AF199/$AY199</f>
        <v>0.0406151062867481</v>
      </c>
      <c r="AG205" s="73" t="n">
        <f aca="false">+AG199/$AY199</f>
        <v>0.0149253731343284</v>
      </c>
      <c r="AH205" s="73" t="n">
        <f aca="false">+AH199/$AY199</f>
        <v>0.00850293984622343</v>
      </c>
      <c r="AI205" s="73" t="n">
        <f aca="false">+AI199/$AY199</f>
        <v>0.00587969244685663</v>
      </c>
      <c r="AJ205" s="73" t="n">
        <f aca="false">+AJ199/$AY199</f>
        <v>0.00407055630936228</v>
      </c>
      <c r="AK205" s="73" t="n">
        <f aca="false">+AK199/$AY199</f>
        <v>0.0102216191768431</v>
      </c>
      <c r="AL205" s="73" t="n">
        <f aca="false">+AL199/$AY199</f>
        <v>0.0190863862505654</v>
      </c>
      <c r="AM205" s="73" t="n">
        <f aca="false">+AM199/$AY199</f>
        <v>0.0786974219810041</v>
      </c>
      <c r="AN205" s="73" t="n">
        <f aca="false">+AN199/$AY199</f>
        <v>0</v>
      </c>
      <c r="AO205" s="73" t="n">
        <f aca="false">+AO199/$AY199</f>
        <v>0.0216191768430574</v>
      </c>
      <c r="AP205" s="73" t="n">
        <f aca="false">+AP199/$AY199</f>
        <v>0</v>
      </c>
      <c r="AQ205" s="73"/>
      <c r="AR205" s="73"/>
      <c r="AS205" s="73"/>
      <c r="AT205" s="73"/>
      <c r="AU205" s="73"/>
      <c r="AV205" s="73"/>
      <c r="AW205" s="73" t="n">
        <f aca="false">+AW199/$AY199</f>
        <v>0.116146540027137</v>
      </c>
      <c r="AX205" s="73"/>
      <c r="AY205" s="73" t="n">
        <f aca="false">+AY199/$AY199</f>
        <v>1</v>
      </c>
      <c r="AZ205" s="69"/>
      <c r="BA205" s="72"/>
    </row>
    <row r="206" customFormat="false" ht="12.75" hidden="true" customHeight="true" outlineLevel="0" collapsed="false">
      <c r="A206" s="68"/>
      <c r="B206" s="39" t="s">
        <v>403</v>
      </c>
      <c r="C206" s="39"/>
      <c r="D206" s="40"/>
      <c r="E206" s="69"/>
      <c r="F206" s="69"/>
      <c r="G206" s="69"/>
      <c r="H206" s="69"/>
      <c r="I206" s="69"/>
      <c r="J206" s="69"/>
      <c r="K206" s="69"/>
      <c r="L206" s="70"/>
      <c r="M206" s="39"/>
      <c r="N206" s="73" t="n">
        <f aca="false">+N200/$AY200</f>
        <v>0.0166398282340311</v>
      </c>
      <c r="O206" s="73" t="n">
        <f aca="false">+O200/$AY200</f>
        <v>0.0315798890678118</v>
      </c>
      <c r="P206" s="73" t="n">
        <f aca="false">+P200/$AY200</f>
        <v>0.03802111290034</v>
      </c>
      <c r="Q206" s="73" t="n">
        <f aca="false">+Q200/$AY200</f>
        <v>0.0356951154052603</v>
      </c>
      <c r="R206" s="73" t="n">
        <f aca="false">+R200/$AY200</f>
        <v>0.00322061191626409</v>
      </c>
      <c r="S206" s="73" t="n">
        <f aca="false">+S200/$AY200</f>
        <v>0</v>
      </c>
      <c r="T206" s="73" t="n">
        <f aca="false">+T200/$AY200</f>
        <v>0.0195025943818214</v>
      </c>
      <c r="U206" s="73" t="n">
        <f aca="false">+U200/$AY200</f>
        <v>0.0889246734657363</v>
      </c>
      <c r="V206" s="73" t="n">
        <f aca="false">+V200/$AY200</f>
        <v>0.0238862050456253</v>
      </c>
      <c r="W206" s="73"/>
      <c r="X206" s="73" t="n">
        <f aca="false">+X200/$AY200</f>
        <v>0.163982823403113</v>
      </c>
      <c r="Y206" s="73" t="n">
        <f aca="false">+Y200/$AY200</f>
        <v>0.0015208445160136</v>
      </c>
      <c r="Z206" s="73" t="n">
        <f aca="false">+Z200/$AY200</f>
        <v>0.0114510645911612</v>
      </c>
      <c r="AA206" s="73" t="n">
        <f aca="false">+AA200/$AY200</f>
        <v>0.00402576489533011</v>
      </c>
      <c r="AB206" s="73" t="n">
        <f aca="false">+AB200/$AY200</f>
        <v>0.00089461442118447</v>
      </c>
      <c r="AC206" s="73" t="n">
        <f aca="false">+AC200/$AY200</f>
        <v>0.00769368402218644</v>
      </c>
      <c r="AD206" s="73" t="n">
        <f aca="false">+AD200/$AY200</f>
        <v>0.109411343710861</v>
      </c>
      <c r="AE206" s="73" t="n">
        <f aca="false">+AE200/$AY200</f>
        <v>0.120772946859903</v>
      </c>
      <c r="AF206" s="73" t="n">
        <f aca="false">+AF200/$AY200</f>
        <v>0.0406154947217749</v>
      </c>
      <c r="AG206" s="73" t="n">
        <f aca="false">+AG200/$AY200</f>
        <v>0.0147611379495437</v>
      </c>
      <c r="AH206" s="73" t="n">
        <f aca="false">+AH200/$AY200</f>
        <v>0.00840937555913401</v>
      </c>
      <c r="AI206" s="73" t="n">
        <f aca="false">+AI200/$AY200</f>
        <v>0.00805152979066023</v>
      </c>
      <c r="AJ206" s="73" t="n">
        <f aca="false">+AJ200/$AY200</f>
        <v>0.00492037931651458</v>
      </c>
      <c r="AK206" s="73" t="n">
        <f aca="false">+AK200/$AY200</f>
        <v>0.0112721417069243</v>
      </c>
      <c r="AL206" s="73" t="n">
        <f aca="false">+AL200/$AY200</f>
        <v>0.0204866702451244</v>
      </c>
      <c r="AM206" s="73" t="n">
        <f aca="false">+AM200/$AY200</f>
        <v>0.0778314546430488</v>
      </c>
      <c r="AN206" s="73" t="n">
        <f aca="false">+AN200/$AY200</f>
        <v>0</v>
      </c>
      <c r="AO206" s="73" t="n">
        <f aca="false">+AO200/$AY200</f>
        <v>0.0213812846663088</v>
      </c>
      <c r="AP206" s="73" t="n">
        <f aca="false">+AP200/$AY200</f>
        <v>0</v>
      </c>
      <c r="AQ206" s="73"/>
      <c r="AR206" s="73"/>
      <c r="AS206" s="73"/>
      <c r="AT206" s="73"/>
      <c r="AU206" s="73"/>
      <c r="AV206" s="73"/>
      <c r="AW206" s="73" t="n">
        <f aca="false">+AW200/$AY200</f>
        <v>0.115047414564323</v>
      </c>
      <c r="AX206" s="73"/>
      <c r="AY206" s="73" t="n">
        <f aca="false">+AY200/$AY200</f>
        <v>1</v>
      </c>
      <c r="AZ206" s="69"/>
      <c r="BA206" s="72"/>
    </row>
    <row r="207" customFormat="false" ht="12.75" hidden="true" customHeight="true" outlineLevel="0" collapsed="false">
      <c r="A207" s="68"/>
      <c r="B207" s="39" t="s">
        <v>88</v>
      </c>
      <c r="C207" s="39"/>
      <c r="D207" s="40"/>
      <c r="E207" s="69"/>
      <c r="F207" s="69"/>
      <c r="G207" s="69"/>
      <c r="H207" s="69"/>
      <c r="I207" s="69"/>
      <c r="J207" s="69"/>
      <c r="K207" s="69"/>
      <c r="L207" s="70"/>
      <c r="M207" s="39"/>
      <c r="N207" s="73" t="n">
        <f aca="false">+N201/$AY201</f>
        <v>0.00953552752999077</v>
      </c>
      <c r="O207" s="73" t="n">
        <f aca="false">+O201/$AY201</f>
        <v>0.0186609248436379</v>
      </c>
      <c r="P207" s="73" t="n">
        <f aca="false">+P201/$AY201</f>
        <v>0.0312724289962063</v>
      </c>
      <c r="Q207" s="73" t="n">
        <f aca="false">+Q201/$AY201</f>
        <v>0.0204552445401415</v>
      </c>
      <c r="R207" s="73" t="n">
        <f aca="false">+R201/$AY201</f>
        <v>0.00240951502101917</v>
      </c>
      <c r="S207" s="73" t="n">
        <f aca="false">+S201/$AY201</f>
        <v>0</v>
      </c>
      <c r="T207" s="73" t="n">
        <f aca="false">+T201/$AY201</f>
        <v>0.0111760483953655</v>
      </c>
      <c r="U207" s="73" t="n">
        <f aca="false">+U201/$AY201</f>
        <v>0.0517276735363478</v>
      </c>
      <c r="V207" s="73" t="n">
        <f aca="false">+V201/$AY201</f>
        <v>0.0159438121603609</v>
      </c>
      <c r="W207" s="73"/>
      <c r="X207" s="73" t="n">
        <f aca="false">+X201/$AY201</f>
        <v>0.102891418025223</v>
      </c>
      <c r="Y207" s="73" t="n">
        <f aca="false">+Y201/$AY201</f>
        <v>0.000871526709730339</v>
      </c>
      <c r="Z207" s="73" t="n">
        <f aca="false">+Z201/$AY201</f>
        <v>0.0119450425510099</v>
      </c>
      <c r="AA207" s="73" t="n">
        <f aca="false">+AA201/$AY201</f>
        <v>0.00235824874397621</v>
      </c>
      <c r="AB207" s="73" t="n">
        <f aca="false">+AB201/$AY201</f>
        <v>0.101404695990977</v>
      </c>
      <c r="AC207" s="73" t="n">
        <f aca="false">+AC201/$AY201</f>
        <v>0.00440889982569466</v>
      </c>
      <c r="AD207" s="73" t="n">
        <f aca="false">+AD201/$AY201</f>
        <v>0.0628524556546704</v>
      </c>
      <c r="AE207" s="73" t="n">
        <f aca="false">+AE201/$AY201</f>
        <v>0.0768994155644417</v>
      </c>
      <c r="AF207" s="73" t="n">
        <f aca="false">+AF201/$AY201</f>
        <v>0.0480365015892546</v>
      </c>
      <c r="AG207" s="73" t="n">
        <f aca="false">+AG201/$AY201</f>
        <v>0.229160258382036</v>
      </c>
      <c r="AH207" s="73" t="n">
        <f aca="false">+AH201/$AY201</f>
        <v>0.00481903004203835</v>
      </c>
      <c r="AI207" s="73" t="n">
        <f aca="false">+AI201/$AY201</f>
        <v>0.0138418948015995</v>
      </c>
      <c r="AJ207" s="73" t="n">
        <f aca="false">+AJ201/$AY201</f>
        <v>0.011842509996924</v>
      </c>
      <c r="AK207" s="73" t="n">
        <f aca="false">+AK201/$AY201</f>
        <v>0.00763867527940121</v>
      </c>
      <c r="AL207" s="73" t="n">
        <f aca="false">+AL201/$AY201</f>
        <v>0.0134830308622988</v>
      </c>
      <c r="AM207" s="73" t="n">
        <f aca="false">+AM201/$AY201</f>
        <v>0.0601353429713934</v>
      </c>
      <c r="AN207" s="73" t="n">
        <f aca="false">+AN201/$AY201</f>
        <v>0</v>
      </c>
      <c r="AO207" s="73" t="n">
        <f aca="false">+AO201/$AY201</f>
        <v>0.0165077412078335</v>
      </c>
      <c r="AP207" s="73" t="n">
        <f aca="false">+AP201/$AY201</f>
        <v>0</v>
      </c>
      <c r="AQ207" s="73"/>
      <c r="AR207" s="73"/>
      <c r="AS207" s="73"/>
      <c r="AT207" s="73"/>
      <c r="AU207" s="73"/>
      <c r="AV207" s="73"/>
      <c r="AW207" s="73" t="n">
        <f aca="false">+AW201/$AY201</f>
        <v>0.0697221367784272</v>
      </c>
      <c r="AX207" s="73"/>
      <c r="AY207" s="73" t="n">
        <f aca="false">+AY201/$AY201</f>
        <v>1</v>
      </c>
      <c r="AZ207" s="69"/>
      <c r="BA207" s="72"/>
    </row>
    <row r="208" customFormat="false" ht="12.75" hidden="true" customHeight="true" outlineLevel="0" collapsed="false">
      <c r="A208" s="60"/>
      <c r="B208" s="61"/>
      <c r="C208" s="61"/>
      <c r="D208" s="33"/>
      <c r="E208" s="65"/>
      <c r="F208" s="65"/>
      <c r="G208" s="65"/>
      <c r="H208" s="65"/>
      <c r="I208" s="65"/>
      <c r="J208" s="65"/>
      <c r="K208" s="65"/>
      <c r="L208" s="66"/>
      <c r="M208" s="39"/>
      <c r="N208" s="73"/>
      <c r="O208" s="65"/>
      <c r="P208" s="65"/>
      <c r="Q208" s="65"/>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row>
    <row r="209" customFormat="false" ht="12.75" hidden="true" customHeight="true" outlineLevel="0" collapsed="false">
      <c r="A209" s="74" t="s">
        <v>405</v>
      </c>
      <c r="B209" s="75"/>
      <c r="C209" s="75"/>
      <c r="D209" s="76"/>
      <c r="E209" s="77"/>
      <c r="F209" s="65"/>
      <c r="G209" s="65"/>
      <c r="H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row>
    <row r="210" customFormat="false" ht="12.75" hidden="true" customHeight="true" outlineLevel="0" collapsed="false">
      <c r="A210" s="78"/>
      <c r="B210" s="75" t="s">
        <v>406</v>
      </c>
      <c r="C210" s="75"/>
      <c r="D210" s="76"/>
      <c r="E210" s="77"/>
      <c r="F210" s="65"/>
      <c r="G210" s="65"/>
      <c r="H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row>
    <row r="211" customFormat="false" ht="12.75" hidden="true" customHeight="true" outlineLevel="0" collapsed="false">
      <c r="A211" s="78"/>
      <c r="B211" s="75" t="s">
        <v>407</v>
      </c>
      <c r="C211" s="75"/>
      <c r="D211" s="76"/>
      <c r="E211" s="77"/>
      <c r="F211" s="65"/>
      <c r="G211" s="65"/>
      <c r="H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row>
    <row r="212" customFormat="false" ht="12.75" hidden="true" customHeight="true" outlineLevel="0" collapsed="false">
      <c r="A212" s="60"/>
      <c r="B212" s="61"/>
      <c r="C212" s="61"/>
      <c r="D212" s="33"/>
      <c r="E212" s="65"/>
      <c r="F212" s="65"/>
      <c r="G212" s="65"/>
      <c r="H212" s="65"/>
      <c r="I212" s="65"/>
      <c r="J212" s="65"/>
      <c r="K212" s="65"/>
      <c r="L212" s="66"/>
      <c r="M212" s="39"/>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row>
    <row r="213" customFormat="false" ht="12.75" hidden="true" customHeight="true" outlineLevel="0" collapsed="false">
      <c r="A213" s="79" t="s">
        <v>408</v>
      </c>
      <c r="B213" s="79"/>
      <c r="C213" s="79"/>
      <c r="D213" s="79"/>
      <c r="E213" s="79"/>
      <c r="F213" s="80"/>
      <c r="G213" s="65"/>
      <c r="H213" s="65"/>
      <c r="I213" s="65"/>
      <c r="J213" s="65"/>
      <c r="K213" s="65"/>
      <c r="L213" s="66"/>
      <c r="M213" s="39"/>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row>
    <row r="214" customFormat="false" ht="12.75" hidden="true" customHeight="true" outlineLevel="0" collapsed="false">
      <c r="A214" s="79"/>
      <c r="B214" s="79"/>
      <c r="C214" s="79"/>
      <c r="D214" s="79"/>
      <c r="E214" s="79"/>
      <c r="F214" s="80"/>
      <c r="G214" s="65"/>
      <c r="H214" s="65"/>
      <c r="I214" s="65"/>
      <c r="J214" s="65"/>
      <c r="K214" s="65"/>
      <c r="L214" s="66"/>
      <c r="M214" s="39"/>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row>
    <row r="215" customFormat="false" ht="12.75" hidden="true" customHeight="true" outlineLevel="0" collapsed="false">
      <c r="A215" s="79"/>
      <c r="B215" s="79"/>
      <c r="C215" s="79"/>
      <c r="D215" s="79"/>
      <c r="E215" s="79"/>
      <c r="F215" s="80"/>
    </row>
    <row r="216" customFormat="false" ht="12.75" hidden="true" customHeight="true" outlineLevel="0" collapsed="false">
      <c r="A216" s="60"/>
      <c r="B216" s="61"/>
      <c r="C216" s="61"/>
      <c r="D216" s="33"/>
      <c r="E216" s="65"/>
      <c r="F216" s="65"/>
    </row>
    <row r="217" customFormat="false" ht="12.75" hidden="true" customHeight="false" outlineLevel="0" collapsed="false">
      <c r="A217" s="81"/>
      <c r="B217" s="9"/>
    </row>
    <row r="218" customFormat="false" ht="12.75" hidden="true" customHeight="false" outlineLevel="0" collapsed="false">
      <c r="A218" s="82" t="str">
        <f aca="true">CELL("filename",A1)</f>
        <v>'file:///mnt/12tb/@roms/datasets/enron/EDRM Enron Email Data Set v2 XML/filtered-attachments/xls/CORP_2001_ALLOC_5.xls'#$CCs # Master</v>
      </c>
    </row>
    <row r="219" customFormat="false" ht="12.75" hidden="true" customHeight="false" outlineLevel="0" collapsed="false">
      <c r="B219" s="83"/>
    </row>
    <row r="220" customFormat="false" ht="12.75" hidden="true" customHeight="false" outlineLevel="0" collapsed="false">
      <c r="B220" s="9"/>
    </row>
  </sheetData>
  <mergeCells count="2">
    <mergeCell ref="E7:J7"/>
    <mergeCell ref="A213:E215"/>
  </mergeCells>
  <printOptions headings="true" gridLines="false" gridLinesSet="true" horizontalCentered="false" verticalCentered="false"/>
  <pageMargins left="0" right="0" top="0.25" bottom="0" header="0.511811023622047" footer="0.511811023622047"/>
  <pageSetup paperSize="5" scale="100" fitToWidth="9" fitToHeight="3"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4" ySplit="7" topLeftCell="E8" activePane="bottomRight" state="frozen"/>
      <selection pane="topLeft" activeCell="A1" activeCellId="0" sqref="A1"/>
      <selection pane="topRight" activeCell="E1" activeCellId="0" sqref="E1"/>
      <selection pane="bottomLeft" activeCell="A8" activeCellId="0" sqref="A8"/>
      <selection pane="bottomRight" activeCell="E8" activeCellId="0" sqref="E8"/>
    </sheetView>
  </sheetViews>
  <sheetFormatPr defaultColWidth="9.13671875" defaultRowHeight="12.95" customHeight="true" zeroHeight="false" outlineLevelRow="0" outlineLevelCol="0"/>
  <cols>
    <col collapsed="false" customWidth="true" hidden="false" outlineLevel="0" max="1" min="1" style="1" width="4.85"/>
    <col collapsed="false" customWidth="true" hidden="false" outlineLevel="0" max="2" min="2" style="2" width="32.85"/>
    <col collapsed="false" customWidth="true" hidden="false" outlineLevel="0" max="3" min="3" style="2" width="20.7"/>
    <col collapsed="false" customWidth="true" hidden="false" outlineLevel="0" max="4" min="4" style="84" width="11.7"/>
    <col collapsed="false" customWidth="true" hidden="false" outlineLevel="0" max="10" min="5" style="2" width="8.7"/>
    <col collapsed="false" customWidth="true" hidden="false" outlineLevel="0" max="11" min="11" style="4" width="8.7"/>
    <col collapsed="false" customWidth="true" hidden="false" outlineLevel="0" max="12" min="12" style="2" width="1.99"/>
    <col collapsed="false" customWidth="true" hidden="false" outlineLevel="0" max="13" min="13" style="6" width="31.56"/>
    <col collapsed="false" customWidth="true" hidden="false" outlineLevel="0" max="17" min="14" style="7" width="8.7"/>
    <col collapsed="false" customWidth="true" hidden="false" outlineLevel="0" max="21" min="18" style="7" width="8.28"/>
    <col collapsed="false" customWidth="true" hidden="false" outlineLevel="0" max="33" min="22" style="7" width="8.7"/>
    <col collapsed="false" customWidth="true" hidden="false" outlineLevel="0" max="34" min="34" style="7" width="10.28"/>
    <col collapsed="false" customWidth="true" hidden="false" outlineLevel="0" max="42" min="35" style="7" width="8.7"/>
    <col collapsed="false" customWidth="true" hidden="false" outlineLevel="0" max="43" min="43" style="7" width="12.42"/>
    <col collapsed="false" customWidth="true" hidden="false" outlineLevel="0" max="44" min="44" style="7" width="8.56"/>
    <col collapsed="false" customWidth="true" hidden="false" outlineLevel="0" max="48" min="45" style="7" width="9.99"/>
    <col collapsed="false" customWidth="true" hidden="false" outlineLevel="0" max="51" min="49" style="7" width="8.7"/>
    <col collapsed="false" customWidth="false" hidden="false" outlineLevel="0" max="55" min="52" style="6" width="9.14"/>
    <col collapsed="false" customWidth="true" hidden="false" outlineLevel="0" max="56" min="56" style="0" width="1.7"/>
    <col collapsed="false" customWidth="false" hidden="false" outlineLevel="0" max="57" min="57" style="6" width="9.14"/>
    <col collapsed="false" customWidth="true" hidden="true" outlineLevel="0" max="58" min="58" style="6" width="1.7"/>
    <col collapsed="false" customWidth="true" hidden="true" outlineLevel="0" max="59" min="59" style="85" width="9.06"/>
    <col collapsed="false" customWidth="true" hidden="true" outlineLevel="0" max="61" min="60" style="6" width="9.06"/>
    <col collapsed="false" customWidth="false" hidden="false" outlineLevel="0" max="257" min="62" style="6" width="9.14"/>
  </cols>
  <sheetData>
    <row r="1" customFormat="false" ht="12.95" hidden="false" customHeight="true" outlineLevel="0" collapsed="false">
      <c r="B1" s="9" t="s">
        <v>0</v>
      </c>
      <c r="J1" s="4"/>
      <c r="AW1" s="0"/>
    </row>
    <row r="2" customFormat="false" ht="12.95" hidden="false" customHeight="true" outlineLevel="0" collapsed="false">
      <c r="B2" s="9" t="s">
        <v>1</v>
      </c>
      <c r="J2" s="4"/>
      <c r="AW2" s="0"/>
    </row>
    <row r="3" customFormat="false" ht="12.95" hidden="false" customHeight="true" outlineLevel="0" collapsed="false">
      <c r="B3" s="9" t="s">
        <v>2</v>
      </c>
      <c r="AW3" s="0"/>
    </row>
    <row r="4" customFormat="false" ht="12.95" hidden="false" customHeight="true" outlineLevel="0" collapsed="false">
      <c r="B4" s="4" t="s">
        <v>409</v>
      </c>
      <c r="AW4" s="0"/>
    </row>
    <row r="5" customFormat="false" ht="12.75" hidden="false" customHeight="true" outlineLevel="0" collapsed="false">
      <c r="A5" s="6"/>
      <c r="B5" s="86"/>
      <c r="E5" s="19"/>
      <c r="F5" s="19"/>
      <c r="G5" s="19"/>
      <c r="H5" s="19"/>
      <c r="I5" s="19"/>
      <c r="J5" s="19"/>
      <c r="K5" s="19"/>
      <c r="M5" s="20"/>
      <c r="N5" s="36" t="str">
        <f aca="false">+'CCs # Master'!AW6</f>
        <v>0011</v>
      </c>
      <c r="O5" s="36" t="str">
        <f aca="false">'CCs # Master'!AX6</f>
        <v>0011</v>
      </c>
      <c r="P5" s="36" t="str">
        <f aca="false">+'CCs # Master'!N6</f>
        <v>0060</v>
      </c>
      <c r="Q5" s="36" t="str">
        <f aca="false">+'CCs # Master'!O6</f>
        <v>0062</v>
      </c>
      <c r="R5" s="36" t="str">
        <f aca="false">+'CCs # Master'!P6</f>
        <v>0082</v>
      </c>
      <c r="S5" s="36" t="s">
        <v>8</v>
      </c>
      <c r="T5" s="36" t="str">
        <f aca="false">+'CCs # Master'!R6</f>
        <v>0085</v>
      </c>
      <c r="U5" s="36" t="str">
        <f aca="false">+'CCs # Master'!S6</f>
        <v>0105</v>
      </c>
      <c r="V5" s="36" t="str">
        <f aca="false">+'CCs # Master'!T6</f>
        <v>0172</v>
      </c>
      <c r="W5" s="36" t="str">
        <f aca="false">+'CCs # Master'!U6</f>
        <v>0179</v>
      </c>
      <c r="X5" s="36" t="str">
        <f aca="false">+'CCs # Master'!V6</f>
        <v>0366</v>
      </c>
      <c r="Y5" s="16" t="s">
        <v>14</v>
      </c>
      <c r="Z5" s="36" t="str">
        <f aca="false">+'CCs # Master'!X6</f>
        <v>0413</v>
      </c>
      <c r="AA5" s="36" t="str">
        <f aca="false">+'CCs # Master'!Y6</f>
        <v>0419</v>
      </c>
      <c r="AB5" s="36" t="str">
        <f aca="false">+'CCs # Master'!Z6</f>
        <v>0436</v>
      </c>
      <c r="AC5" s="36" t="str">
        <f aca="false">+'CCs # Master'!AA6</f>
        <v>0460</v>
      </c>
      <c r="AD5" s="36" t="str">
        <f aca="false">+'CCs # Master'!AB6</f>
        <v>0912</v>
      </c>
      <c r="AE5" s="36" t="str">
        <f aca="false">+'CCs # Master'!AC6</f>
        <v>0969</v>
      </c>
      <c r="AF5" s="36" t="str">
        <f aca="false">+'CCs # Master'!AD6</f>
        <v>0985</v>
      </c>
      <c r="AG5" s="36" t="str">
        <f aca="false">+'CCs # Master'!AE6</f>
        <v>017H</v>
      </c>
      <c r="AH5" s="36" t="str">
        <f aca="false">+'CCs # Master'!AF6</f>
        <v>01F8</v>
      </c>
      <c r="AI5" s="36" t="str">
        <f aca="false">+'CCs # Master'!AG6</f>
        <v>040Y</v>
      </c>
      <c r="AJ5" s="36" t="str">
        <f aca="false">+'CCs # Master'!AH6</f>
        <v>061M</v>
      </c>
      <c r="AK5" s="36" t="str">
        <f aca="false">+'CCs # Master'!AI6</f>
        <v>061N</v>
      </c>
      <c r="AL5" s="36" t="str">
        <f aca="false">+'CCs # Master'!AJ6</f>
        <v>061P</v>
      </c>
      <c r="AM5" s="36" t="str">
        <f aca="false">+'CCs # Master'!AK6</f>
        <v>063Q</v>
      </c>
      <c r="AN5" s="36" t="str">
        <f aca="false">+'CCs # Master'!AL6</f>
        <v>067S</v>
      </c>
      <c r="AO5" s="36" t="str">
        <f aca="false">+'CCs # Master'!AM6</f>
        <v>083E</v>
      </c>
      <c r="AP5" s="36" t="str">
        <f aca="false">+'CCs # Master'!AN6</f>
        <v>016R</v>
      </c>
      <c r="AQ5" s="36" t="str">
        <f aca="false">+'CCs # Master'!AO6</f>
        <v>1105</v>
      </c>
      <c r="AR5" s="36" t="n">
        <f aca="false">+'CCs # Master'!AP6</f>
        <v>0</v>
      </c>
      <c r="AS5" s="36" t="str">
        <f aca="false">+'CCs # Master'!AQ6</f>
        <v>0119</v>
      </c>
      <c r="AT5" s="36" t="str">
        <f aca="false">+'CCs # Master'!AR6</f>
        <v>0901</v>
      </c>
      <c r="AU5" s="36" t="n">
        <f aca="false">+'CCs # Master'!AS6</f>
        <v>0</v>
      </c>
      <c r="AV5" s="36" t="str">
        <f aca="false">+'CCs # Master'!AT6</f>
        <v>0001</v>
      </c>
      <c r="AW5" s="36"/>
      <c r="AX5" s="13"/>
      <c r="BA5" s="36"/>
    </row>
    <row r="6" customFormat="false" ht="12.75" hidden="false" customHeight="true" outlineLevel="0" collapsed="false">
      <c r="A6" s="10" t="str">
        <f aca="false">+'CCs # Master'!A5</f>
        <v>FIFTH DISTRIBUTION-FINAL</v>
      </c>
      <c r="E6" s="19" t="s">
        <v>410</v>
      </c>
      <c r="F6" s="19"/>
      <c r="G6" s="19"/>
      <c r="H6" s="19"/>
      <c r="I6" s="19"/>
      <c r="J6" s="19"/>
      <c r="K6" s="19" t="s">
        <v>38</v>
      </c>
      <c r="M6" s="20"/>
      <c r="N6" s="21" t="n">
        <f aca="false">+'CCs # Master'!AW7</f>
        <v>0</v>
      </c>
      <c r="O6" s="21"/>
      <c r="P6" s="21" t="str">
        <f aca="false">+'CCs # Master'!N7</f>
        <v>FAR</v>
      </c>
      <c r="Q6" s="21" t="str">
        <f aca="false">+'CCs # Master'!O7</f>
        <v>FAR</v>
      </c>
      <c r="R6" s="21" t="n">
        <f aca="false">+'CCs # Master'!P7</f>
        <v>102276</v>
      </c>
      <c r="S6" s="21" t="n">
        <v>102343</v>
      </c>
      <c r="T6" s="21" t="str">
        <f aca="false">+'CCs # Master'!R7</f>
        <v>FAR</v>
      </c>
      <c r="U6" s="21" t="n">
        <f aca="false">+'CCs # Master'!S7</f>
        <v>100256</v>
      </c>
      <c r="V6" s="21" t="str">
        <f aca="false">+'CCs # Master'!T7</f>
        <v>FAR</v>
      </c>
      <c r="W6" s="21" t="str">
        <f aca="false">+'CCs # Master'!U7</f>
        <v>FAR</v>
      </c>
      <c r="X6" s="21" t="n">
        <f aca="false">+'CCs # Master'!V7</f>
        <v>111723</v>
      </c>
      <c r="Y6" s="21" t="n">
        <v>112021</v>
      </c>
      <c r="Z6" s="21" t="n">
        <f aca="false">+'CCs # Master'!X7</f>
        <v>105717</v>
      </c>
      <c r="AA6" s="21" t="n">
        <f aca="false">+'CCs # Master'!Y7</f>
        <v>106041</v>
      </c>
      <c r="AB6" s="21" t="n">
        <f aca="false">+'CCs # Master'!Z7</f>
        <v>111824</v>
      </c>
      <c r="AC6" s="21" t="n">
        <f aca="false">+'CCs # Master'!AA7</f>
        <v>120459</v>
      </c>
      <c r="AD6" s="21" t="n">
        <f aca="false">+'CCs # Master'!AB7</f>
        <v>100672</v>
      </c>
      <c r="AE6" s="21" t="n">
        <f aca="false">+'CCs # Master'!AC7</f>
        <v>106196</v>
      </c>
      <c r="AF6" s="21" t="n">
        <f aca="false">+'CCs # Master'!AD7</f>
        <v>105285</v>
      </c>
      <c r="AG6" s="21" t="n">
        <f aca="false">+'CCs # Master'!AE7</f>
        <v>104151</v>
      </c>
      <c r="AH6" s="21" t="n">
        <f aca="false">+'CCs # Master'!AF7</f>
        <v>107629</v>
      </c>
      <c r="AI6" s="21" t="n">
        <f aca="false">+'CCs # Master'!AG7</f>
        <v>100290</v>
      </c>
      <c r="AJ6" s="21" t="n">
        <f aca="false">+'CCs # Master'!AH7</f>
        <v>102055</v>
      </c>
      <c r="AK6" s="21" t="n">
        <f aca="false">+'CCs # Master'!AI7</f>
        <v>102564</v>
      </c>
      <c r="AL6" s="21" t="n">
        <f aca="false">+'CCs # Master'!AJ7</f>
        <v>102247</v>
      </c>
      <c r="AM6" s="21" t="n">
        <f aca="false">+'CCs # Master'!AK7</f>
        <v>102352</v>
      </c>
      <c r="AN6" s="21" t="n">
        <f aca="false">+'CCs # Master'!AL7</f>
        <v>102183</v>
      </c>
      <c r="AO6" s="21" t="n">
        <f aca="false">+'CCs # Master'!AM7</f>
        <v>103353</v>
      </c>
      <c r="AP6" s="21" t="n">
        <f aca="false">+'CCs # Master'!AN7</f>
        <v>0</v>
      </c>
      <c r="AQ6" s="21" t="n">
        <f aca="false">+'CCs # Master'!AO7</f>
        <v>120459</v>
      </c>
      <c r="AR6" s="21" t="n">
        <f aca="false">+'CCs # Master'!AP7</f>
        <v>0</v>
      </c>
      <c r="AS6" s="21" t="n">
        <f aca="false">+'CCs # Master'!AQ7</f>
        <v>0</v>
      </c>
      <c r="AT6" s="21" t="n">
        <f aca="false">+'CCs # Master'!AR7</f>
        <v>100184</v>
      </c>
      <c r="AU6" s="21" t="n">
        <f aca="false">+'CCs # Master'!AS7</f>
        <v>0</v>
      </c>
      <c r="AV6" s="21" t="n">
        <f aca="false">+'CCs # Master'!AT7</f>
        <v>100003</v>
      </c>
      <c r="AW6" s="21"/>
      <c r="AX6" s="13"/>
      <c r="BA6" s="36"/>
    </row>
    <row r="7" customFormat="false" ht="24.75" hidden="false" customHeight="true" outlineLevel="0" collapsed="false">
      <c r="A7" s="22" t="s">
        <v>40</v>
      </c>
      <c r="B7" s="23" t="s">
        <v>41</v>
      </c>
      <c r="C7" s="23" t="s">
        <v>42</v>
      </c>
      <c r="D7" s="24" t="s">
        <v>43</v>
      </c>
      <c r="E7" s="25" t="s">
        <v>44</v>
      </c>
      <c r="F7" s="23" t="s">
        <v>45</v>
      </c>
      <c r="G7" s="23" t="s">
        <v>46</v>
      </c>
      <c r="H7" s="25" t="s">
        <v>47</v>
      </c>
      <c r="I7" s="25" t="s">
        <v>48</v>
      </c>
      <c r="J7" s="23" t="s">
        <v>49</v>
      </c>
      <c r="K7" s="26" t="s">
        <v>50</v>
      </c>
      <c r="L7" s="27"/>
      <c r="M7" s="23" t="s">
        <v>51</v>
      </c>
      <c r="N7" s="28" t="str">
        <f aca="false">+'CCs # Master'!AW8</f>
        <v>Enron Corp</v>
      </c>
      <c r="O7" s="28" t="str">
        <f aca="false">'CCs # Master'!AX8</f>
        <v>A&amp;A Costs </v>
      </c>
      <c r="P7" s="28" t="str">
        <f aca="false">+'CCs # Master'!N8</f>
        <v>TW</v>
      </c>
      <c r="Q7" s="28" t="str">
        <f aca="false">+'CCs # Master'!O8</f>
        <v>FGT</v>
      </c>
      <c r="R7" s="28" t="str">
        <f aca="false">+'CCs # Master'!P8</f>
        <v>EE&amp;CC</v>
      </c>
      <c r="S7" s="28" t="s">
        <v>55</v>
      </c>
      <c r="T7" s="28" t="str">
        <f aca="false">+'CCs # Master'!R8</f>
        <v>Citrus</v>
      </c>
      <c r="U7" s="28" t="str">
        <f aca="false">+'CCs # Master'!S8</f>
        <v>EOTT</v>
      </c>
      <c r="V7" s="28" t="str">
        <f aca="false">+'CCs # Master'!T8</f>
        <v>Northern Plains</v>
      </c>
      <c r="W7" s="28" t="str">
        <f aca="false">+'CCs # Master'!U8</f>
        <v>NNG</v>
      </c>
      <c r="X7" s="28" t="str">
        <f aca="false">+'CCs # Master'!V8</f>
        <v>GPG Executive</v>
      </c>
      <c r="Y7" s="28" t="s">
        <v>61</v>
      </c>
      <c r="Z7" s="28" t="str">
        <f aca="false">+'CCs # Master'!X8</f>
        <v>ENA</v>
      </c>
      <c r="AA7" s="28" t="str">
        <f aca="false">+'CCs # Master'!Y8</f>
        <v>Financial Initiatives</v>
      </c>
      <c r="AB7" s="28" t="str">
        <f aca="false">+'CCs # Master'!Z8</f>
        <v>Clean Fuels</v>
      </c>
      <c r="AC7" s="28" t="str">
        <f aca="false">+'CCs # Master'!AA8</f>
        <v>Global Products</v>
      </c>
      <c r="AD7" s="28" t="str">
        <f aca="false">+'CCs # Master'!AB8</f>
        <v>Enron Europe</v>
      </c>
      <c r="AE7" s="28" t="str">
        <f aca="false">+'CCs # Master'!AC8</f>
        <v>Global Finance</v>
      </c>
      <c r="AF7" s="28" t="str">
        <f aca="false">+'CCs # Master'!AD8</f>
        <v>EES</v>
      </c>
      <c r="AG7" s="28" t="str">
        <f aca="false">+'CCs # Master'!AE8</f>
        <v>EBS</v>
      </c>
      <c r="AH7" s="28" t="str">
        <f aca="false">+'CCs # Master'!AF8</f>
        <v>Renewable Energy</v>
      </c>
      <c r="AI7" s="28" t="str">
        <f aca="false">+'CCs # Master'!AG8</f>
        <v>AZURIX</v>
      </c>
      <c r="AJ7" s="28" t="str">
        <f aca="false">+'CCs # Master'!AH8</f>
        <v>APACHE</v>
      </c>
      <c r="AK7" s="28" t="str">
        <f aca="false">+'CCs # Master'!AI8</f>
        <v>South America</v>
      </c>
      <c r="AL7" s="28" t="str">
        <f aca="false">+'CCs # Master'!AJ8</f>
        <v>India</v>
      </c>
      <c r="AM7" s="28" t="str">
        <f aca="false">+'CCs # Master'!AK8</f>
        <v>Global E&amp;P</v>
      </c>
      <c r="AN7" s="28" t="str">
        <f aca="false">+'CCs # Master'!AL8</f>
        <v>CALME</v>
      </c>
      <c r="AO7" s="28" t="str">
        <f aca="false">+'CCs # Master'!AM8</f>
        <v>Networks</v>
      </c>
      <c r="AP7" s="28" t="str">
        <f aca="false">+'CCs # Master'!AN8</f>
        <v>PGE</v>
      </c>
      <c r="AQ7" s="28" t="str">
        <f aca="false">+'CCs # Master'!AO8</f>
        <v>Global Markets</v>
      </c>
      <c r="AR7" s="28" t="str">
        <f aca="false">+'CCs # Master'!AP8</f>
        <v>IndustrialMarkets</v>
      </c>
      <c r="AS7" s="28" t="str">
        <f aca="false">+'CCs # Master'!AQ8</f>
        <v>EOG</v>
      </c>
      <c r="AT7" s="28" t="str">
        <f aca="false">+'CCs # Master'!AR8</f>
        <v>EPSC</v>
      </c>
      <c r="AU7" s="28" t="str">
        <f aca="false">+'CCs # Master'!AS8</f>
        <v>The New Power Co</v>
      </c>
      <c r="AV7" s="28" t="str">
        <f aca="false">+'CCs # Master'!AT8</f>
        <v>EMI</v>
      </c>
      <c r="AW7" s="72"/>
      <c r="AX7" s="29" t="s">
        <v>88</v>
      </c>
      <c r="AY7" s="29" t="s">
        <v>89</v>
      </c>
      <c r="AZ7" s="87"/>
      <c r="BA7" s="28" t="s">
        <v>411</v>
      </c>
      <c r="BB7" s="23" t="s">
        <v>412</v>
      </c>
      <c r="BC7" s="25" t="s">
        <v>413</v>
      </c>
      <c r="BD7" s="87"/>
      <c r="BE7" s="25" t="s">
        <v>414</v>
      </c>
      <c r="BF7" s="25"/>
      <c r="BG7" s="88" t="s">
        <v>415</v>
      </c>
      <c r="BH7" s="23" t="s">
        <v>89</v>
      </c>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7"/>
      <c r="IO7" s="87"/>
      <c r="IP7" s="87"/>
      <c r="IQ7" s="87"/>
      <c r="IR7" s="87"/>
      <c r="IS7" s="87"/>
      <c r="IT7" s="87"/>
      <c r="IU7" s="87"/>
      <c r="IV7" s="87"/>
      <c r="IW7" s="87"/>
    </row>
    <row r="8" customFormat="false" ht="12.95" hidden="false" customHeight="true" outlineLevel="0" collapsed="false">
      <c r="A8" s="89"/>
      <c r="B8" s="90"/>
      <c r="C8" s="91"/>
      <c r="D8" s="92"/>
      <c r="E8" s="91"/>
      <c r="F8" s="93"/>
      <c r="G8" s="93"/>
      <c r="H8" s="91"/>
      <c r="I8" s="91"/>
      <c r="J8" s="91"/>
      <c r="K8" s="93"/>
      <c r="L8" s="91"/>
      <c r="M8" s="91"/>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71"/>
      <c r="AO8" s="71"/>
      <c r="AP8" s="71"/>
      <c r="AQ8" s="71"/>
      <c r="AR8" s="71"/>
      <c r="AS8" s="71"/>
      <c r="AT8" s="71"/>
      <c r="AU8" s="71"/>
      <c r="AV8" s="71"/>
      <c r="AW8" s="30"/>
      <c r="AX8" s="93"/>
      <c r="AY8" s="93"/>
      <c r="AZ8" s="91"/>
      <c r="BA8" s="93"/>
      <c r="BB8" s="91"/>
      <c r="BC8" s="91"/>
      <c r="BD8" s="91"/>
      <c r="BE8" s="91"/>
      <c r="BF8" s="91"/>
      <c r="BG8" s="94"/>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91"/>
      <c r="GM8" s="91"/>
      <c r="GN8" s="91"/>
      <c r="GO8" s="91"/>
      <c r="GP8" s="91"/>
      <c r="GQ8" s="91"/>
      <c r="GR8" s="91"/>
      <c r="GS8" s="91"/>
      <c r="GT8" s="91"/>
      <c r="GU8" s="91"/>
      <c r="GV8" s="91"/>
      <c r="GW8" s="91"/>
      <c r="GX8" s="91"/>
      <c r="GY8" s="91"/>
      <c r="GZ8" s="91"/>
      <c r="HA8" s="91"/>
      <c r="HB8" s="91"/>
      <c r="HC8" s="91"/>
      <c r="HD8" s="91"/>
      <c r="HE8" s="91"/>
      <c r="HF8" s="91"/>
      <c r="HG8" s="91"/>
      <c r="HH8" s="91"/>
      <c r="HI8" s="91"/>
      <c r="HJ8" s="91"/>
      <c r="HK8" s="91"/>
      <c r="HL8" s="91"/>
      <c r="HM8" s="91"/>
      <c r="HN8" s="91"/>
      <c r="HO8" s="91"/>
      <c r="HP8" s="91"/>
      <c r="HQ8" s="91"/>
      <c r="HR8" s="91"/>
      <c r="HS8" s="91"/>
      <c r="HT8" s="91"/>
      <c r="HU8" s="91"/>
      <c r="HV8" s="91"/>
      <c r="HW8" s="91"/>
      <c r="HX8" s="91"/>
      <c r="HY8" s="91"/>
      <c r="HZ8" s="91"/>
      <c r="IA8" s="91"/>
      <c r="IB8" s="91"/>
      <c r="IC8" s="91"/>
      <c r="ID8" s="91"/>
      <c r="IE8" s="91"/>
      <c r="IF8" s="91"/>
      <c r="IG8" s="91"/>
      <c r="IH8" s="91"/>
      <c r="II8" s="91"/>
      <c r="IJ8" s="91"/>
      <c r="IK8" s="91"/>
      <c r="IL8" s="91"/>
      <c r="IM8" s="91"/>
      <c r="IN8" s="91"/>
      <c r="IO8" s="91"/>
      <c r="IP8" s="91"/>
      <c r="IQ8" s="91"/>
      <c r="IR8" s="91"/>
      <c r="IS8" s="91"/>
      <c r="IT8" s="91"/>
      <c r="IU8" s="91"/>
      <c r="IV8" s="91"/>
      <c r="IW8" s="91"/>
    </row>
    <row r="9" customFormat="false" ht="12.95" hidden="false" customHeight="true" outlineLevel="0" collapsed="false">
      <c r="A9" s="95" t="s">
        <v>416</v>
      </c>
      <c r="B9" s="38"/>
      <c r="C9" s="39"/>
      <c r="D9" s="96"/>
      <c r="E9" s="39"/>
      <c r="F9" s="71"/>
      <c r="G9" s="71"/>
      <c r="H9" s="39"/>
      <c r="I9" s="39"/>
      <c r="J9" s="39"/>
      <c r="K9" s="71"/>
      <c r="L9" s="39"/>
      <c r="M9" s="39"/>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0"/>
      <c r="AX9" s="71"/>
      <c r="AY9" s="71"/>
      <c r="AZ9" s="39"/>
      <c r="BA9" s="71"/>
      <c r="BB9" s="39"/>
      <c r="BC9" s="39"/>
      <c r="BD9" s="39"/>
      <c r="BE9" s="39"/>
      <c r="BF9" s="39"/>
      <c r="BG9" s="48"/>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row>
    <row r="10" customFormat="false" ht="12.95" hidden="false" customHeight="true" outlineLevel="0" collapsed="false">
      <c r="A10" s="37" t="n">
        <f aca="false">+'CCs # Master'!A15</f>
        <v>11</v>
      </c>
      <c r="B10" s="39" t="str">
        <f aca="false">+'CCs # Master'!B15</f>
        <v>Executive Consultants</v>
      </c>
      <c r="C10" s="39" t="str">
        <f aca="false">+'CCs # Master'!C15</f>
        <v>Urquhart, Jack </v>
      </c>
      <c r="D10" s="96" t="n">
        <f aca="false">+'CCs # Master'!D15</f>
        <v>100009</v>
      </c>
      <c r="E10" s="39" t="n">
        <f aca="false">+'CCs # Master'!E15</f>
        <v>0</v>
      </c>
      <c r="F10" s="39" t="n">
        <f aca="false">+'CCs # Master'!F15</f>
        <v>628</v>
      </c>
      <c r="G10" s="39" t="n">
        <f aca="false">+'CCs # Master'!G15</f>
        <v>0</v>
      </c>
      <c r="H10" s="39" t="n">
        <f aca="false">+'CCs # Master'!H15</f>
        <v>800</v>
      </c>
      <c r="I10" s="39" t="n">
        <f aca="false">+'CCs # Master'!I15</f>
        <v>1</v>
      </c>
      <c r="J10" s="39" t="n">
        <f aca="false">+'CCs # Master'!J15</f>
        <v>0</v>
      </c>
      <c r="K10" s="39" t="n">
        <f aca="false">SUM(E10:J10)</f>
        <v>1429</v>
      </c>
      <c r="L10" s="39"/>
      <c r="M10" s="39" t="str">
        <f aca="false">+'CCs # Master'!M15</f>
        <v>Retained At Corp</v>
      </c>
      <c r="N10" s="39" t="n">
        <f aca="false">+'CCs # Master'!AW15</f>
        <v>1429</v>
      </c>
      <c r="O10" s="39" t="n">
        <v>0</v>
      </c>
      <c r="P10" s="39" t="n">
        <f aca="false">+'CCs # Master'!N15</f>
        <v>0</v>
      </c>
      <c r="Q10" s="39" t="n">
        <f aca="false">+'CCs # Master'!O15</f>
        <v>0</v>
      </c>
      <c r="R10" s="39" t="n">
        <f aca="false">+'CCs # Master'!P15</f>
        <v>0</v>
      </c>
      <c r="S10" s="39" t="n">
        <f aca="false">+'CCs # Master'!Q15</f>
        <v>0</v>
      </c>
      <c r="T10" s="39" t="n">
        <f aca="false">+'CCs # Master'!R15</f>
        <v>0</v>
      </c>
      <c r="U10" s="39" t="n">
        <f aca="false">+'CCs # Master'!S15</f>
        <v>0</v>
      </c>
      <c r="V10" s="39" t="n">
        <f aca="false">+'CCs # Master'!T15</f>
        <v>0</v>
      </c>
      <c r="W10" s="39" t="n">
        <f aca="false">+'CCs # Master'!U15</f>
        <v>0</v>
      </c>
      <c r="X10" s="39" t="n">
        <f aca="false">+'CCs # Master'!V15</f>
        <v>0</v>
      </c>
      <c r="Y10" s="39" t="n">
        <f aca="false">+'CCs # Master'!W15</f>
        <v>0</v>
      </c>
      <c r="Z10" s="39" t="n">
        <f aca="false">+'CCs # Master'!X15</f>
        <v>0</v>
      </c>
      <c r="AA10" s="39" t="n">
        <f aca="false">+'CCs # Master'!Y15</f>
        <v>0</v>
      </c>
      <c r="AB10" s="39" t="n">
        <f aca="false">+'CCs # Master'!Z15</f>
        <v>0</v>
      </c>
      <c r="AC10" s="39" t="n">
        <f aca="false">+'CCs # Master'!AA15</f>
        <v>0</v>
      </c>
      <c r="AD10" s="39" t="n">
        <f aca="false">+'CCs # Master'!AB15</f>
        <v>0</v>
      </c>
      <c r="AE10" s="39" t="n">
        <f aca="false">+'CCs # Master'!AC15</f>
        <v>0</v>
      </c>
      <c r="AF10" s="39" t="n">
        <f aca="false">+'CCs # Master'!AD15</f>
        <v>0</v>
      </c>
      <c r="AG10" s="39" t="n">
        <f aca="false">+'CCs # Master'!AE15</f>
        <v>0</v>
      </c>
      <c r="AH10" s="39" t="n">
        <f aca="false">+'CCs # Master'!AF15</f>
        <v>0</v>
      </c>
      <c r="AI10" s="39" t="n">
        <f aca="false">+'CCs # Master'!AG15</f>
        <v>0</v>
      </c>
      <c r="AJ10" s="39" t="n">
        <f aca="false">+'CCs # Master'!AH15</f>
        <v>0</v>
      </c>
      <c r="AK10" s="39" t="n">
        <f aca="false">+'CCs # Master'!AI15</f>
        <v>0</v>
      </c>
      <c r="AL10" s="39" t="n">
        <f aca="false">+'CCs # Master'!AJ15</f>
        <v>0</v>
      </c>
      <c r="AM10" s="39" t="n">
        <f aca="false">+'CCs # Master'!AK15</f>
        <v>0</v>
      </c>
      <c r="AN10" s="39" t="n">
        <f aca="false">+'CCs # Master'!AL15</f>
        <v>0</v>
      </c>
      <c r="AO10" s="39" t="n">
        <f aca="false">+'CCs # Master'!AM15</f>
        <v>0</v>
      </c>
      <c r="AP10" s="39" t="n">
        <f aca="false">+'CCs # Master'!AN15</f>
        <v>0</v>
      </c>
      <c r="AQ10" s="39" t="n">
        <f aca="false">+'CCs # Master'!AO15</f>
        <v>0</v>
      </c>
      <c r="AR10" s="39" t="n">
        <f aca="false">+'CCs # Master'!AP15</f>
        <v>0</v>
      </c>
      <c r="AS10" s="39" t="n">
        <f aca="false">+'CCs # Master'!AQ15</f>
        <v>0</v>
      </c>
      <c r="AT10" s="39" t="n">
        <f aca="false">+'CCs # Master'!AR15</f>
        <v>0</v>
      </c>
      <c r="AU10" s="39" t="n">
        <f aca="false">+'CCs # Master'!AS15</f>
        <v>0</v>
      </c>
      <c r="AV10" s="39" t="n">
        <f aca="false">+'CCs # Master'!AT15</f>
        <v>0</v>
      </c>
      <c r="AW10" s="0"/>
      <c r="AX10" s="71" t="n">
        <f aca="false">SUM(N10:AW10)</f>
        <v>1429</v>
      </c>
      <c r="AY10" s="71" t="n">
        <f aca="false">+K10-AX10</f>
        <v>0</v>
      </c>
      <c r="AZ10" s="39"/>
      <c r="BA10" s="39" t="n">
        <f aca="false">+P10+Q10+T10+U10+V10+W10+X10+Y10</f>
        <v>0</v>
      </c>
      <c r="BB10" s="39" t="n">
        <f aca="false">N10</f>
        <v>1429</v>
      </c>
      <c r="BC10" s="39" t="n">
        <f aca="false">SUM(P10:AW10)</f>
        <v>0</v>
      </c>
      <c r="BD10" s="39"/>
      <c r="BE10" s="39" t="n">
        <f aca="false">SUM(BB10:BC10)</f>
        <v>1429</v>
      </c>
      <c r="BF10" s="39"/>
      <c r="BG10" s="48" t="n">
        <f aca="false">SUM(N10:AW10)</f>
        <v>1429</v>
      </c>
      <c r="BH10" s="39" t="n">
        <f aca="false">BE10-BG10</f>
        <v>0</v>
      </c>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row>
    <row r="11" customFormat="false" ht="12.95" hidden="false" customHeight="true" outlineLevel="0" collapsed="false">
      <c r="A11" s="37" t="n">
        <f aca="false">+'CCs # Master'!A19</f>
        <v>11</v>
      </c>
      <c r="B11" s="39" t="str">
        <f aca="false">+'CCs # Master'!B19</f>
        <v>President and COO</v>
      </c>
      <c r="C11" s="39" t="str">
        <f aca="false">+'CCs # Master'!C19</f>
        <v>Skilling,Jeff </v>
      </c>
      <c r="D11" s="96" t="n">
        <f aca="false">+'CCs # Master'!D19</f>
        <v>100017</v>
      </c>
      <c r="E11" s="39" t="n">
        <f aca="false">+'CCs # Master'!E19</f>
        <v>1228</v>
      </c>
      <c r="F11" s="39" t="n">
        <f aca="false">+'CCs # Master'!F19</f>
        <v>692</v>
      </c>
      <c r="G11" s="39" t="n">
        <f aca="false">+'CCs # Master'!G19</f>
        <v>10</v>
      </c>
      <c r="H11" s="39" t="n">
        <f aca="false">+'CCs # Master'!H19</f>
        <v>1323</v>
      </c>
      <c r="I11" s="39" t="n">
        <f aca="false">+'CCs # Master'!I19</f>
        <v>106</v>
      </c>
      <c r="J11" s="39" t="n">
        <f aca="false">+'CCs # Master'!J19</f>
        <v>41</v>
      </c>
      <c r="K11" s="39" t="n">
        <f aca="false">SUM(E11:J11)</f>
        <v>3400</v>
      </c>
      <c r="L11" s="39"/>
      <c r="M11" s="39" t="str">
        <f aca="false">+'CCs # Master'!M19</f>
        <v>MMF</v>
      </c>
      <c r="N11" s="39" t="n">
        <f aca="false">+'CCs # Master'!AW19</f>
        <v>3400</v>
      </c>
      <c r="O11" s="39" t="n">
        <v>0</v>
      </c>
      <c r="P11" s="39" t="n">
        <f aca="false">+'CCs # Master'!N19</f>
        <v>0</v>
      </c>
      <c r="Q11" s="39" t="n">
        <f aca="false">+'CCs # Master'!O19</f>
        <v>0</v>
      </c>
      <c r="R11" s="39" t="n">
        <f aca="false">+'CCs # Master'!P19</f>
        <v>0</v>
      </c>
      <c r="S11" s="39" t="n">
        <f aca="false">+'CCs # Master'!Q19</f>
        <v>0</v>
      </c>
      <c r="T11" s="39" t="n">
        <f aca="false">+'CCs # Master'!R19</f>
        <v>0</v>
      </c>
      <c r="U11" s="39" t="n">
        <f aca="false">+'CCs # Master'!S19</f>
        <v>0</v>
      </c>
      <c r="V11" s="39" t="n">
        <f aca="false">+'CCs # Master'!T19</f>
        <v>0</v>
      </c>
      <c r="W11" s="39" t="n">
        <f aca="false">+'CCs # Master'!U19</f>
        <v>0</v>
      </c>
      <c r="X11" s="39" t="n">
        <f aca="false">+'CCs # Master'!V19</f>
        <v>0</v>
      </c>
      <c r="Y11" s="39" t="n">
        <f aca="false">+'CCs # Master'!W19</f>
        <v>0</v>
      </c>
      <c r="Z11" s="39" t="n">
        <f aca="false">+'CCs # Master'!X19</f>
        <v>0</v>
      </c>
      <c r="AA11" s="39" t="n">
        <f aca="false">+'CCs # Master'!Y19</f>
        <v>0</v>
      </c>
      <c r="AB11" s="39" t="n">
        <f aca="false">+'CCs # Master'!Z19</f>
        <v>0</v>
      </c>
      <c r="AC11" s="39" t="n">
        <f aca="false">+'CCs # Master'!AA19</f>
        <v>0</v>
      </c>
      <c r="AD11" s="39" t="n">
        <f aca="false">+'CCs # Master'!AB19</f>
        <v>0</v>
      </c>
      <c r="AE11" s="39" t="n">
        <f aca="false">+'CCs # Master'!AC19</f>
        <v>0</v>
      </c>
      <c r="AF11" s="39" t="n">
        <f aca="false">+'CCs # Master'!AD19</f>
        <v>0</v>
      </c>
      <c r="AG11" s="39" t="n">
        <f aca="false">+'CCs # Master'!AE19</f>
        <v>0</v>
      </c>
      <c r="AH11" s="39" t="n">
        <f aca="false">+'CCs # Master'!AF19</f>
        <v>0</v>
      </c>
      <c r="AI11" s="39" t="n">
        <f aca="false">+'CCs # Master'!AG19</f>
        <v>0</v>
      </c>
      <c r="AJ11" s="39" t="n">
        <f aca="false">+'CCs # Master'!AH19</f>
        <v>0</v>
      </c>
      <c r="AK11" s="39" t="n">
        <f aca="false">+'CCs # Master'!AI19</f>
        <v>0</v>
      </c>
      <c r="AL11" s="39" t="n">
        <f aca="false">+'CCs # Master'!AJ19</f>
        <v>0</v>
      </c>
      <c r="AM11" s="39" t="n">
        <f aca="false">+'CCs # Master'!AK19</f>
        <v>0</v>
      </c>
      <c r="AN11" s="39" t="n">
        <f aca="false">+'CCs # Master'!AL19</f>
        <v>0</v>
      </c>
      <c r="AO11" s="39" t="n">
        <f aca="false">+'CCs # Master'!AM19</f>
        <v>0</v>
      </c>
      <c r="AP11" s="39" t="n">
        <f aca="false">+'CCs # Master'!AN19</f>
        <v>0</v>
      </c>
      <c r="AQ11" s="39" t="n">
        <f aca="false">+'CCs # Master'!AO19</f>
        <v>0</v>
      </c>
      <c r="AR11" s="39" t="n">
        <f aca="false">+'CCs # Master'!AP19</f>
        <v>0</v>
      </c>
      <c r="AS11" s="39" t="n">
        <f aca="false">+'CCs # Master'!AQ19</f>
        <v>0</v>
      </c>
      <c r="AT11" s="39" t="n">
        <f aca="false">+'CCs # Master'!AR19</f>
        <v>0</v>
      </c>
      <c r="AU11" s="39" t="n">
        <f aca="false">+'CCs # Master'!AS19</f>
        <v>0</v>
      </c>
      <c r="AV11" s="39" t="n">
        <f aca="false">+'CCs # Master'!AT19</f>
        <v>0</v>
      </c>
      <c r="AW11" s="0"/>
      <c r="AX11" s="71" t="n">
        <f aca="false">SUM(N11:AW11)</f>
        <v>3400</v>
      </c>
      <c r="AY11" s="71" t="n">
        <f aca="false">+K11-AX11</f>
        <v>0</v>
      </c>
      <c r="AZ11" s="39"/>
      <c r="BA11" s="39" t="n">
        <f aca="false">+P11+Q11+T11+U11+V11+W11+X11+Y11</f>
        <v>0</v>
      </c>
      <c r="BB11" s="39" t="n">
        <f aca="false">N11</f>
        <v>3400</v>
      </c>
      <c r="BC11" s="39" t="n">
        <f aca="false">SUM(P11:AW11)</f>
        <v>0</v>
      </c>
      <c r="BD11" s="39"/>
      <c r="BE11" s="39" t="n">
        <f aca="false">SUM(BB11:BC11)</f>
        <v>3400</v>
      </c>
      <c r="BF11" s="39"/>
      <c r="BG11" s="48" t="n">
        <f aca="false">SUM(N11:AW11)</f>
        <v>3400</v>
      </c>
      <c r="BH11" s="39" t="n">
        <f aca="false">BE12-BG12</f>
        <v>0</v>
      </c>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row>
    <row r="12" customFormat="false" ht="12.95" hidden="false" customHeight="true" outlineLevel="0" collapsed="false">
      <c r="A12" s="37" t="n">
        <f aca="false">+'CCs # Master'!A20</f>
        <v>11</v>
      </c>
      <c r="B12" s="39" t="str">
        <f aca="false">+'CCs # Master'!B20</f>
        <v>Vice Chairman</v>
      </c>
      <c r="C12" s="39" t="str">
        <f aca="false">+'CCs # Master'!C20</f>
        <v>Urquhart, Jack </v>
      </c>
      <c r="D12" s="96" t="n">
        <f aca="false">+'CCs # Master'!D20</f>
        <v>100018</v>
      </c>
      <c r="E12" s="39" t="n">
        <f aca="false">+'CCs # Master'!E20</f>
        <v>115</v>
      </c>
      <c r="F12" s="39" t="n">
        <f aca="false">+'CCs # Master'!F20</f>
        <v>8</v>
      </c>
      <c r="G12" s="39" t="n">
        <f aca="false">+'CCs # Master'!G20</f>
        <v>4</v>
      </c>
      <c r="H12" s="39" t="n">
        <f aca="false">+'CCs # Master'!H20</f>
        <v>1</v>
      </c>
      <c r="I12" s="39" t="n">
        <f aca="false">+'CCs # Master'!I20</f>
        <v>143</v>
      </c>
      <c r="J12" s="39" t="n">
        <f aca="false">+'CCs # Master'!J20</f>
        <v>0</v>
      </c>
      <c r="K12" s="39" t="n">
        <f aca="false">SUM(E12:J12)</f>
        <v>271</v>
      </c>
      <c r="L12" s="39"/>
      <c r="M12" s="39" t="str">
        <f aca="false">+'CCs # Master'!M20</f>
        <v>MMF</v>
      </c>
      <c r="N12" s="39" t="n">
        <f aca="false">+'CCs # Master'!AW20</f>
        <v>271</v>
      </c>
      <c r="O12" s="39" t="n">
        <v>0</v>
      </c>
      <c r="P12" s="39" t="n">
        <f aca="false">+'CCs # Master'!N20</f>
        <v>0</v>
      </c>
      <c r="Q12" s="39" t="n">
        <f aca="false">+'CCs # Master'!O20</f>
        <v>0</v>
      </c>
      <c r="R12" s="39" t="n">
        <f aca="false">+'CCs # Master'!P20</f>
        <v>0</v>
      </c>
      <c r="S12" s="39" t="n">
        <f aca="false">+'CCs # Master'!Q20</f>
        <v>0</v>
      </c>
      <c r="T12" s="39" t="n">
        <f aca="false">+'CCs # Master'!R20</f>
        <v>0</v>
      </c>
      <c r="U12" s="39" t="n">
        <f aca="false">+'CCs # Master'!S20</f>
        <v>0</v>
      </c>
      <c r="V12" s="39" t="n">
        <f aca="false">+'CCs # Master'!T20</f>
        <v>0</v>
      </c>
      <c r="W12" s="39" t="n">
        <f aca="false">+'CCs # Master'!U20</f>
        <v>0</v>
      </c>
      <c r="X12" s="39" t="n">
        <f aca="false">+'CCs # Master'!V20</f>
        <v>0</v>
      </c>
      <c r="Y12" s="39" t="n">
        <f aca="false">+'CCs # Master'!W20</f>
        <v>0</v>
      </c>
      <c r="Z12" s="39" t="n">
        <f aca="false">+'CCs # Master'!X20</f>
        <v>0</v>
      </c>
      <c r="AA12" s="39" t="n">
        <f aca="false">+'CCs # Master'!Y20</f>
        <v>0</v>
      </c>
      <c r="AB12" s="39" t="n">
        <f aca="false">+'CCs # Master'!Z20</f>
        <v>0</v>
      </c>
      <c r="AC12" s="39" t="n">
        <f aca="false">+'CCs # Master'!AA20</f>
        <v>0</v>
      </c>
      <c r="AD12" s="39" t="n">
        <f aca="false">+'CCs # Master'!AB20</f>
        <v>0</v>
      </c>
      <c r="AE12" s="39" t="n">
        <f aca="false">+'CCs # Master'!AC20</f>
        <v>0</v>
      </c>
      <c r="AF12" s="39" t="n">
        <f aca="false">+'CCs # Master'!AD20</f>
        <v>0</v>
      </c>
      <c r="AG12" s="39" t="n">
        <f aca="false">+'CCs # Master'!AE20</f>
        <v>0</v>
      </c>
      <c r="AH12" s="39" t="n">
        <f aca="false">+'CCs # Master'!AF20</f>
        <v>0</v>
      </c>
      <c r="AI12" s="39" t="n">
        <f aca="false">+'CCs # Master'!AG20</f>
        <v>0</v>
      </c>
      <c r="AJ12" s="39" t="n">
        <f aca="false">+'CCs # Master'!AH20</f>
        <v>0</v>
      </c>
      <c r="AK12" s="39" t="n">
        <f aca="false">+'CCs # Master'!AI20</f>
        <v>0</v>
      </c>
      <c r="AL12" s="39" t="n">
        <f aca="false">+'CCs # Master'!AJ20</f>
        <v>0</v>
      </c>
      <c r="AM12" s="39" t="n">
        <f aca="false">+'CCs # Master'!AK20</f>
        <v>0</v>
      </c>
      <c r="AN12" s="39" t="n">
        <f aca="false">+'CCs # Master'!AL20</f>
        <v>0</v>
      </c>
      <c r="AO12" s="39" t="n">
        <f aca="false">+'CCs # Master'!AM20</f>
        <v>0</v>
      </c>
      <c r="AP12" s="39" t="n">
        <f aca="false">+'CCs # Master'!AN20</f>
        <v>0</v>
      </c>
      <c r="AQ12" s="39" t="n">
        <f aca="false">+'CCs # Master'!AO20</f>
        <v>0</v>
      </c>
      <c r="AR12" s="39" t="n">
        <f aca="false">+'CCs # Master'!AP20</f>
        <v>0</v>
      </c>
      <c r="AS12" s="39" t="n">
        <f aca="false">+'CCs # Master'!AQ20</f>
        <v>0</v>
      </c>
      <c r="AT12" s="39" t="n">
        <f aca="false">+'CCs # Master'!AR20</f>
        <v>0</v>
      </c>
      <c r="AU12" s="39" t="n">
        <f aca="false">+'CCs # Master'!AS20</f>
        <v>0</v>
      </c>
      <c r="AV12" s="39" t="n">
        <f aca="false">+'CCs # Master'!AT20</f>
        <v>0</v>
      </c>
      <c r="AW12" s="0"/>
      <c r="AX12" s="71" t="n">
        <f aca="false">SUM(N12:AW12)</f>
        <v>271</v>
      </c>
      <c r="AY12" s="71" t="n">
        <f aca="false">+K12-AX12</f>
        <v>0</v>
      </c>
      <c r="AZ12" s="39"/>
      <c r="BA12" s="39" t="n">
        <f aca="false">+P12+Q12+T12+U12+V12+W12+X12+Y12</f>
        <v>0</v>
      </c>
      <c r="BB12" s="39" t="n">
        <f aca="false">N12</f>
        <v>271</v>
      </c>
      <c r="BC12" s="39" t="n">
        <f aca="false">SUM(P12:AW12)</f>
        <v>0</v>
      </c>
      <c r="BD12" s="39"/>
      <c r="BE12" s="39" t="n">
        <f aca="false">SUM(BB12:BC12)</f>
        <v>271</v>
      </c>
      <c r="BF12" s="39"/>
      <c r="BG12" s="48" t="n">
        <f aca="false">SUM(N12:AW12)</f>
        <v>271</v>
      </c>
      <c r="BH12" s="39" t="n">
        <f aca="false">BE13-BG13</f>
        <v>0</v>
      </c>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row>
    <row r="13" customFormat="false" ht="12.95" hidden="false" customHeight="true" outlineLevel="0" collapsed="false">
      <c r="A13" s="37" t="n">
        <f aca="false">+'CCs # Master'!A22</f>
        <v>11</v>
      </c>
      <c r="B13" s="39" t="str">
        <f aca="false">+'CCs # Master'!B22</f>
        <v>Executive Reception</v>
      </c>
      <c r="C13" s="39" t="str">
        <f aca="false">+'CCs # Master'!C22</f>
        <v>Lay, Ken</v>
      </c>
      <c r="D13" s="96" t="n">
        <f aca="false">+'CCs # Master'!D22</f>
        <v>100020</v>
      </c>
      <c r="E13" s="39" t="n">
        <f aca="false">+'CCs # Master'!E22</f>
        <v>154</v>
      </c>
      <c r="F13" s="39" t="n">
        <f aca="false">+'CCs # Master'!F22</f>
        <v>601</v>
      </c>
      <c r="G13" s="39" t="n">
        <f aca="false">+'CCs # Master'!G22</f>
        <v>48</v>
      </c>
      <c r="H13" s="39" t="n">
        <f aca="false">+'CCs # Master'!H22</f>
        <v>141</v>
      </c>
      <c r="I13" s="39" t="n">
        <f aca="false">+'CCs # Master'!I22</f>
        <v>63</v>
      </c>
      <c r="J13" s="39" t="n">
        <f aca="false">+'CCs # Master'!J22</f>
        <v>493</v>
      </c>
      <c r="K13" s="39" t="n">
        <f aca="false">SUM(E13:J13)</f>
        <v>1500</v>
      </c>
      <c r="L13" s="39"/>
      <c r="M13" s="39" t="str">
        <f aca="false">+'CCs # Master'!M22</f>
        <v>MMF</v>
      </c>
      <c r="N13" s="39" t="n">
        <f aca="false">+'CCs # Master'!AW22</f>
        <v>1500</v>
      </c>
      <c r="O13" s="39" t="n">
        <v>0</v>
      </c>
      <c r="P13" s="39" t="n">
        <f aca="false">+'CCs # Master'!N22</f>
        <v>0</v>
      </c>
      <c r="Q13" s="39" t="n">
        <f aca="false">+'CCs # Master'!O22</f>
        <v>0</v>
      </c>
      <c r="R13" s="39" t="n">
        <f aca="false">+'CCs # Master'!P22</f>
        <v>0</v>
      </c>
      <c r="S13" s="39" t="n">
        <f aca="false">+'CCs # Master'!Q22</f>
        <v>0</v>
      </c>
      <c r="T13" s="39" t="n">
        <f aca="false">+'CCs # Master'!R22</f>
        <v>0</v>
      </c>
      <c r="U13" s="39" t="n">
        <f aca="false">+'CCs # Master'!S22</f>
        <v>0</v>
      </c>
      <c r="V13" s="39" t="n">
        <f aca="false">+'CCs # Master'!T22</f>
        <v>0</v>
      </c>
      <c r="W13" s="39" t="n">
        <f aca="false">+'CCs # Master'!U22</f>
        <v>0</v>
      </c>
      <c r="X13" s="39" t="n">
        <f aca="false">+'CCs # Master'!V22</f>
        <v>0</v>
      </c>
      <c r="Y13" s="39" t="n">
        <f aca="false">+'CCs # Master'!W22</f>
        <v>0</v>
      </c>
      <c r="Z13" s="39" t="n">
        <f aca="false">+'CCs # Master'!X22</f>
        <v>0</v>
      </c>
      <c r="AA13" s="39" t="n">
        <f aca="false">+'CCs # Master'!Y22</f>
        <v>0</v>
      </c>
      <c r="AB13" s="39" t="n">
        <f aca="false">+'CCs # Master'!Z22</f>
        <v>0</v>
      </c>
      <c r="AC13" s="39" t="n">
        <f aca="false">+'CCs # Master'!AA22</f>
        <v>0</v>
      </c>
      <c r="AD13" s="39" t="n">
        <f aca="false">+'CCs # Master'!AB22</f>
        <v>0</v>
      </c>
      <c r="AE13" s="39" t="n">
        <f aca="false">+'CCs # Master'!AC22</f>
        <v>0</v>
      </c>
      <c r="AF13" s="39" t="n">
        <f aca="false">+'CCs # Master'!AD22</f>
        <v>0</v>
      </c>
      <c r="AG13" s="39" t="n">
        <f aca="false">+'CCs # Master'!AE22</f>
        <v>0</v>
      </c>
      <c r="AH13" s="39" t="n">
        <f aca="false">+'CCs # Master'!AF22</f>
        <v>0</v>
      </c>
      <c r="AI13" s="39" t="n">
        <f aca="false">+'CCs # Master'!AG22</f>
        <v>0</v>
      </c>
      <c r="AJ13" s="39" t="n">
        <f aca="false">+'CCs # Master'!AH22</f>
        <v>0</v>
      </c>
      <c r="AK13" s="39" t="n">
        <f aca="false">+'CCs # Master'!AI22</f>
        <v>0</v>
      </c>
      <c r="AL13" s="39" t="n">
        <f aca="false">+'CCs # Master'!AJ22</f>
        <v>0</v>
      </c>
      <c r="AM13" s="39" t="n">
        <f aca="false">+'CCs # Master'!AK22</f>
        <v>0</v>
      </c>
      <c r="AN13" s="39" t="n">
        <f aca="false">+'CCs # Master'!AL22</f>
        <v>0</v>
      </c>
      <c r="AO13" s="39" t="n">
        <f aca="false">+'CCs # Master'!AM22</f>
        <v>0</v>
      </c>
      <c r="AP13" s="39" t="n">
        <f aca="false">+'CCs # Master'!AN22</f>
        <v>0</v>
      </c>
      <c r="AQ13" s="39" t="n">
        <f aca="false">+'CCs # Master'!AO22</f>
        <v>0</v>
      </c>
      <c r="AR13" s="39" t="n">
        <f aca="false">+'CCs # Master'!AP22</f>
        <v>0</v>
      </c>
      <c r="AS13" s="39" t="n">
        <f aca="false">+'CCs # Master'!AQ22</f>
        <v>0</v>
      </c>
      <c r="AT13" s="39" t="n">
        <f aca="false">+'CCs # Master'!AR22</f>
        <v>0</v>
      </c>
      <c r="AU13" s="39" t="n">
        <f aca="false">+'CCs # Master'!AS22</f>
        <v>0</v>
      </c>
      <c r="AV13" s="39" t="n">
        <f aca="false">+'CCs # Master'!AT22</f>
        <v>0</v>
      </c>
      <c r="AW13" s="0"/>
      <c r="AX13" s="71" t="n">
        <f aca="false">SUM(N13:AW13)</f>
        <v>1500</v>
      </c>
      <c r="AY13" s="71" t="n">
        <f aca="false">+K13-AX13</f>
        <v>0</v>
      </c>
      <c r="AZ13" s="39"/>
      <c r="BA13" s="39" t="n">
        <f aca="false">+P13+Q13+T13+U13+V13+W13+X13+Y13</f>
        <v>0</v>
      </c>
      <c r="BB13" s="39" t="n">
        <f aca="false">N13</f>
        <v>1500</v>
      </c>
      <c r="BC13" s="39" t="n">
        <f aca="false">SUM(P13:AW13)</f>
        <v>0</v>
      </c>
      <c r="BD13" s="39"/>
      <c r="BE13" s="39" t="n">
        <f aca="false">SUM(BB13:BC13)</f>
        <v>1500</v>
      </c>
      <c r="BF13" s="39"/>
      <c r="BG13" s="48" t="n">
        <f aca="false">SUM(N13:AW13)</f>
        <v>1500</v>
      </c>
      <c r="BH13" s="39" t="n">
        <f aca="false">BE13-BG13</f>
        <v>0</v>
      </c>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row>
    <row r="14" customFormat="false" ht="12.95" hidden="false" customHeight="true" outlineLevel="0" collapsed="false">
      <c r="A14" s="37" t="n">
        <f aca="false">+'CCs # Master'!A40</f>
        <v>11</v>
      </c>
      <c r="B14" s="39" t="str">
        <f aca="false">+'CCs # Master'!B40</f>
        <v>Chairman and CEO </v>
      </c>
      <c r="C14" s="39" t="str">
        <f aca="false">+'CCs # Master'!C40</f>
        <v>Lay, Ken</v>
      </c>
      <c r="D14" s="96" t="n">
        <f aca="false">+'CCs # Master'!D40</f>
        <v>100044</v>
      </c>
      <c r="E14" s="39" t="n">
        <f aca="false">+'CCs # Master'!E40</f>
        <v>1970</v>
      </c>
      <c r="F14" s="39" t="n">
        <f aca="false">+'CCs # Master'!F40</f>
        <v>41</v>
      </c>
      <c r="G14" s="39" t="n">
        <f aca="false">+'CCs # Master'!G40</f>
        <v>1</v>
      </c>
      <c r="H14" s="39" t="n">
        <f aca="false">+'CCs # Master'!H40</f>
        <v>558</v>
      </c>
      <c r="I14" s="39" t="n">
        <f aca="false">+'CCs # Master'!I40</f>
        <v>288</v>
      </c>
      <c r="J14" s="39" t="n">
        <f aca="false">+'CCs # Master'!J40</f>
        <v>542</v>
      </c>
      <c r="K14" s="39" t="n">
        <f aca="false">SUM(E14:J14)</f>
        <v>3400</v>
      </c>
      <c r="L14" s="39"/>
      <c r="M14" s="39" t="str">
        <f aca="false">+'CCs # Master'!M40</f>
        <v>MMF</v>
      </c>
      <c r="N14" s="39" t="n">
        <f aca="false">+'CCs # Master'!AW40</f>
        <v>3400</v>
      </c>
      <c r="O14" s="39" t="n">
        <v>0</v>
      </c>
      <c r="P14" s="39" t="n">
        <f aca="false">+'CCs # Master'!N40</f>
        <v>0</v>
      </c>
      <c r="Q14" s="39" t="n">
        <f aca="false">+'CCs # Master'!O40</f>
        <v>0</v>
      </c>
      <c r="R14" s="39" t="n">
        <f aca="false">+'CCs # Master'!P40</f>
        <v>0</v>
      </c>
      <c r="S14" s="39" t="n">
        <f aca="false">+'CCs # Master'!Q40</f>
        <v>0</v>
      </c>
      <c r="T14" s="39" t="n">
        <f aca="false">+'CCs # Master'!R40</f>
        <v>0</v>
      </c>
      <c r="U14" s="39" t="n">
        <f aca="false">+'CCs # Master'!S40</f>
        <v>0</v>
      </c>
      <c r="V14" s="39" t="n">
        <f aca="false">+'CCs # Master'!T40</f>
        <v>0</v>
      </c>
      <c r="W14" s="39" t="n">
        <f aca="false">+'CCs # Master'!U40</f>
        <v>0</v>
      </c>
      <c r="X14" s="39" t="n">
        <f aca="false">+'CCs # Master'!V40</f>
        <v>0</v>
      </c>
      <c r="Y14" s="39" t="n">
        <f aca="false">+'CCs # Master'!W40</f>
        <v>0</v>
      </c>
      <c r="Z14" s="39" t="n">
        <f aca="false">+'CCs # Master'!X40</f>
        <v>0</v>
      </c>
      <c r="AA14" s="39" t="n">
        <f aca="false">+'CCs # Master'!Y40</f>
        <v>0</v>
      </c>
      <c r="AB14" s="39" t="n">
        <f aca="false">+'CCs # Master'!Z40</f>
        <v>0</v>
      </c>
      <c r="AC14" s="39" t="n">
        <f aca="false">+'CCs # Master'!AA40</f>
        <v>0</v>
      </c>
      <c r="AD14" s="39" t="n">
        <f aca="false">+'CCs # Master'!AB40</f>
        <v>0</v>
      </c>
      <c r="AE14" s="39" t="n">
        <f aca="false">+'CCs # Master'!AC40</f>
        <v>0</v>
      </c>
      <c r="AF14" s="39" t="n">
        <f aca="false">+'CCs # Master'!AD40</f>
        <v>0</v>
      </c>
      <c r="AG14" s="39" t="n">
        <f aca="false">+'CCs # Master'!AE40</f>
        <v>0</v>
      </c>
      <c r="AH14" s="39" t="n">
        <f aca="false">+'CCs # Master'!AF40</f>
        <v>0</v>
      </c>
      <c r="AI14" s="39" t="n">
        <f aca="false">+'CCs # Master'!AG40</f>
        <v>0</v>
      </c>
      <c r="AJ14" s="39" t="n">
        <f aca="false">+'CCs # Master'!AH40</f>
        <v>0</v>
      </c>
      <c r="AK14" s="39" t="n">
        <f aca="false">+'CCs # Master'!AI40</f>
        <v>0</v>
      </c>
      <c r="AL14" s="39" t="n">
        <f aca="false">+'CCs # Master'!AJ40</f>
        <v>0</v>
      </c>
      <c r="AM14" s="39" t="n">
        <f aca="false">+'CCs # Master'!AK40</f>
        <v>0</v>
      </c>
      <c r="AN14" s="39" t="n">
        <f aca="false">+'CCs # Master'!AL40</f>
        <v>0</v>
      </c>
      <c r="AO14" s="39" t="n">
        <f aca="false">+'CCs # Master'!AM40</f>
        <v>0</v>
      </c>
      <c r="AP14" s="39" t="n">
        <f aca="false">+'CCs # Master'!AN40</f>
        <v>0</v>
      </c>
      <c r="AQ14" s="39" t="n">
        <f aca="false">+'CCs # Master'!AO40</f>
        <v>0</v>
      </c>
      <c r="AR14" s="39" t="n">
        <f aca="false">+'CCs # Master'!AP40</f>
        <v>0</v>
      </c>
      <c r="AS14" s="39" t="n">
        <f aca="false">+'CCs # Master'!AQ40</f>
        <v>0</v>
      </c>
      <c r="AT14" s="39" t="n">
        <f aca="false">+'CCs # Master'!AR40</f>
        <v>0</v>
      </c>
      <c r="AU14" s="39" t="n">
        <f aca="false">+'CCs # Master'!AS40</f>
        <v>0</v>
      </c>
      <c r="AV14" s="39" t="n">
        <f aca="false">+'CCs # Master'!AT40</f>
        <v>0</v>
      </c>
      <c r="AW14" s="0"/>
      <c r="AX14" s="71" t="n">
        <f aca="false">SUM(N14:AW14)</f>
        <v>3400</v>
      </c>
      <c r="AY14" s="71" t="n">
        <f aca="false">+K14-AX14</f>
        <v>0</v>
      </c>
      <c r="AZ14" s="39"/>
      <c r="BA14" s="39" t="n">
        <f aca="false">+P14+Q14+T14+U14+V14+W14+X14+Y14</f>
        <v>0</v>
      </c>
      <c r="BB14" s="39" t="n">
        <f aca="false">N14</f>
        <v>3400</v>
      </c>
      <c r="BC14" s="39" t="n">
        <f aca="false">SUM(P14:AW14)</f>
        <v>0</v>
      </c>
      <c r="BD14" s="39"/>
      <c r="BE14" s="39" t="n">
        <f aca="false">SUM(BB14:BC14)</f>
        <v>3400</v>
      </c>
      <c r="BF14" s="39"/>
      <c r="BG14" s="48" t="n">
        <f aca="false">SUM(N14:AW14)</f>
        <v>3400</v>
      </c>
      <c r="BH14" s="39" t="n">
        <f aca="false">BE14-BG14</f>
        <v>0</v>
      </c>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c r="IW14" s="39"/>
    </row>
    <row r="15" customFormat="false" ht="12.95" hidden="false" customHeight="true" outlineLevel="0" collapsed="false">
      <c r="A15" s="37" t="n">
        <f aca="false">+'CCs # Master'!A54</f>
        <v>11</v>
      </c>
      <c r="B15" s="39" t="str">
        <f aca="false">+'CCs # Master'!B54</f>
        <v>Management Conference</v>
      </c>
      <c r="C15" s="39" t="str">
        <f aca="false">+'CCs # Master'!C54</f>
        <v>Lay, Ken</v>
      </c>
      <c r="D15" s="96" t="n">
        <f aca="false">+'CCs # Master'!D54</f>
        <v>100066</v>
      </c>
      <c r="E15" s="39" t="n">
        <f aca="false">+'CCs # Master'!E54</f>
        <v>0</v>
      </c>
      <c r="F15" s="39" t="n">
        <f aca="false">+'CCs # Master'!F54</f>
        <v>740</v>
      </c>
      <c r="G15" s="39" t="n">
        <f aca="false">+'CCs # Master'!G54</f>
        <v>0</v>
      </c>
      <c r="H15" s="39" t="n">
        <f aca="false">+'CCs # Master'!H54</f>
        <v>0</v>
      </c>
      <c r="I15" s="39" t="n">
        <f aca="false">+'CCs # Master'!I54</f>
        <v>20</v>
      </c>
      <c r="J15" s="39" t="n">
        <f aca="false">+'CCs # Master'!J54</f>
        <v>0</v>
      </c>
      <c r="K15" s="39" t="n">
        <f aca="false">SUM(E15:J15)</f>
        <v>760</v>
      </c>
      <c r="L15" s="39"/>
      <c r="M15" s="39" t="str">
        <f aca="false">+'CCs # Master'!M54</f>
        <v>% of Attendees</v>
      </c>
      <c r="N15" s="39" t="n">
        <f aca="false">+'CCs # Master'!AW54</f>
        <v>232</v>
      </c>
      <c r="O15" s="39" t="n">
        <v>0</v>
      </c>
      <c r="P15" s="39" t="n">
        <f aca="false">+'CCs # Master'!N54</f>
        <v>2</v>
      </c>
      <c r="Q15" s="39" t="n">
        <f aca="false">+'CCs # Master'!O54</f>
        <v>4</v>
      </c>
      <c r="R15" s="39" t="n">
        <f aca="false">+'CCs # Master'!P54</f>
        <v>30</v>
      </c>
      <c r="S15" s="39" t="n">
        <f aca="false">+'CCs # Master'!Q54</f>
        <v>0</v>
      </c>
      <c r="T15" s="39" t="n">
        <f aca="false">+'CCs # Master'!R54</f>
        <v>4</v>
      </c>
      <c r="U15" s="39" t="n">
        <f aca="false">+'CCs # Master'!S54</f>
        <v>0</v>
      </c>
      <c r="V15" s="39" t="n">
        <f aca="false">+'CCs # Master'!T54</f>
        <v>7</v>
      </c>
      <c r="W15" s="39" t="n">
        <f aca="false">+'CCs # Master'!U54</f>
        <v>7</v>
      </c>
      <c r="X15" s="39" t="n">
        <f aca="false">+'CCs # Master'!V54</f>
        <v>20</v>
      </c>
      <c r="Y15" s="39" t="n">
        <f aca="false">+'CCs # Master'!W54</f>
        <v>0</v>
      </c>
      <c r="Z15" s="39" t="n">
        <f aca="false">+'CCs # Master'!X54</f>
        <v>138</v>
      </c>
      <c r="AA15" s="39" t="n">
        <f aca="false">+'CCs # Master'!Y54</f>
        <v>4</v>
      </c>
      <c r="AB15" s="39" t="n">
        <f aca="false">+'CCs # Master'!Z54</f>
        <v>1</v>
      </c>
      <c r="AC15" s="39" t="n">
        <f aca="false">+'CCs # Master'!AA54</f>
        <v>0</v>
      </c>
      <c r="AD15" s="39" t="n">
        <f aca="false">+'CCs # Master'!AB54</f>
        <v>0</v>
      </c>
      <c r="AE15" s="39" t="n">
        <f aca="false">+'CCs # Master'!AC54</f>
        <v>13</v>
      </c>
      <c r="AF15" s="39" t="n">
        <f aca="false">+'CCs # Master'!AD54</f>
        <v>64</v>
      </c>
      <c r="AG15" s="39" t="n">
        <f aca="false">+'CCs # Master'!AE54</f>
        <v>72</v>
      </c>
      <c r="AH15" s="39" t="n">
        <f aca="false">+'CCs # Master'!AF54</f>
        <v>5</v>
      </c>
      <c r="AI15" s="39" t="n">
        <f aca="false">+'CCs # Master'!AG54</f>
        <v>0</v>
      </c>
      <c r="AJ15" s="39" t="n">
        <f aca="false">+'CCs # Master'!AH54</f>
        <v>26</v>
      </c>
      <c r="AK15" s="39" t="n">
        <f aca="false">+'CCs # Master'!AI54</f>
        <v>35</v>
      </c>
      <c r="AL15" s="39" t="n">
        <f aca="false">+'CCs # Master'!AJ54</f>
        <v>13</v>
      </c>
      <c r="AM15" s="39" t="n">
        <f aca="false">+'CCs # Master'!AK54</f>
        <v>8</v>
      </c>
      <c r="AN15" s="39" t="n">
        <f aca="false">+'CCs # Master'!AL54</f>
        <v>13</v>
      </c>
      <c r="AO15" s="39" t="n">
        <f aca="false">+'CCs # Master'!AM54</f>
        <v>23</v>
      </c>
      <c r="AP15" s="39" t="n">
        <f aca="false">+'CCs # Master'!AN54</f>
        <v>0</v>
      </c>
      <c r="AQ15" s="39" t="n">
        <f aca="false">+'CCs # Master'!AO54</f>
        <v>28</v>
      </c>
      <c r="AR15" s="39" t="n">
        <f aca="false">+'CCs # Master'!AP54</f>
        <v>9</v>
      </c>
      <c r="AS15" s="39" t="n">
        <f aca="false">+'CCs # Master'!AQ54</f>
        <v>0</v>
      </c>
      <c r="AT15" s="39" t="n">
        <f aca="false">+'CCs # Master'!AR54</f>
        <v>2</v>
      </c>
      <c r="AU15" s="39" t="n">
        <f aca="false">+'CCs # Master'!AS54</f>
        <v>0</v>
      </c>
      <c r="AV15" s="39" t="n">
        <f aca="false">+'CCs # Master'!AT54</f>
        <v>0</v>
      </c>
      <c r="AW15" s="0"/>
      <c r="AX15" s="71" t="n">
        <f aca="false">SUM(N15:AW15)</f>
        <v>760</v>
      </c>
      <c r="AY15" s="71" t="n">
        <f aca="false">+K15-AX15</f>
        <v>0</v>
      </c>
      <c r="AZ15" s="39"/>
      <c r="BA15" s="39" t="n">
        <f aca="false">+P15+Q15+T15+U15+V15+W15+X15+Y15</f>
        <v>44</v>
      </c>
      <c r="BB15" s="39" t="n">
        <f aca="false">N15</f>
        <v>232</v>
      </c>
      <c r="BC15" s="39" t="n">
        <f aca="false">SUM(P15:AW15)</f>
        <v>528</v>
      </c>
      <c r="BD15" s="39"/>
      <c r="BE15" s="39" t="n">
        <f aca="false">SUM(BB15:BC15)</f>
        <v>760</v>
      </c>
      <c r="BF15" s="39"/>
      <c r="BG15" s="48" t="n">
        <f aca="false">SUM(N15:AW15)</f>
        <v>760</v>
      </c>
      <c r="BH15" s="39" t="n">
        <f aca="false">BE15-BG15</f>
        <v>0</v>
      </c>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row>
    <row r="16" customFormat="false" ht="12.95" hidden="false" customHeight="true" outlineLevel="0" collapsed="false">
      <c r="A16" s="37" t="n">
        <f aca="false">+'CCs # Master'!A104</f>
        <v>11</v>
      </c>
      <c r="B16" s="39" t="str">
        <f aca="false">+'CCs # Master'!B104</f>
        <v>Corporate Aircraft Usage</v>
      </c>
      <c r="C16" s="39" t="str">
        <f aca="false">+'CCs # Master'!C104</f>
        <v>Lay, Ken</v>
      </c>
      <c r="D16" s="96" t="n">
        <f aca="false">+'CCs # Master'!D104</f>
        <v>100207</v>
      </c>
      <c r="E16" s="39" t="n">
        <f aca="false">+'CCs # Master'!E104</f>
        <v>0</v>
      </c>
      <c r="F16" s="39" t="n">
        <f aca="false">+'CCs # Master'!F104</f>
        <v>136</v>
      </c>
      <c r="G16" s="39" t="n">
        <f aca="false">+'CCs # Master'!G104</f>
        <v>0</v>
      </c>
      <c r="H16" s="39" t="n">
        <f aca="false">+'CCs # Master'!H104</f>
        <v>16</v>
      </c>
      <c r="I16" s="39" t="n">
        <f aca="false">+'CCs # Master'!I104</f>
        <v>0</v>
      </c>
      <c r="J16" s="39" t="n">
        <f aca="false">+'CCs # Master'!J104</f>
        <v>4848</v>
      </c>
      <c r="K16" s="39" t="n">
        <f aca="false">SUM(E16:J16)</f>
        <v>5000</v>
      </c>
      <c r="L16" s="39"/>
      <c r="M16" s="39" t="str">
        <f aca="false">+'CCs # Master'!M104</f>
        <v>MMF</v>
      </c>
      <c r="N16" s="39" t="n">
        <f aca="false">+'CCs # Master'!AW104</f>
        <v>5000</v>
      </c>
      <c r="O16" s="39" t="n">
        <v>0</v>
      </c>
      <c r="P16" s="39" t="n">
        <f aca="false">+'CCs # Master'!N104</f>
        <v>0</v>
      </c>
      <c r="Q16" s="39" t="n">
        <f aca="false">+'CCs # Master'!O104</f>
        <v>0</v>
      </c>
      <c r="R16" s="39" t="n">
        <f aca="false">+'CCs # Master'!P104</f>
        <v>0</v>
      </c>
      <c r="S16" s="39" t="n">
        <f aca="false">+'CCs # Master'!Q104</f>
        <v>0</v>
      </c>
      <c r="T16" s="39" t="n">
        <f aca="false">+'CCs # Master'!R104</f>
        <v>0</v>
      </c>
      <c r="U16" s="39" t="n">
        <f aca="false">+'CCs # Master'!S104</f>
        <v>0</v>
      </c>
      <c r="V16" s="39" t="n">
        <f aca="false">+'CCs # Master'!T104</f>
        <v>0</v>
      </c>
      <c r="W16" s="39" t="n">
        <f aca="false">+'CCs # Master'!U104</f>
        <v>0</v>
      </c>
      <c r="X16" s="39" t="n">
        <f aca="false">+'CCs # Master'!V104</f>
        <v>0</v>
      </c>
      <c r="Y16" s="39" t="n">
        <f aca="false">+'CCs # Master'!W104</f>
        <v>0</v>
      </c>
      <c r="Z16" s="39" t="n">
        <f aca="false">+'CCs # Master'!X104</f>
        <v>0</v>
      </c>
      <c r="AA16" s="39" t="n">
        <f aca="false">+'CCs # Master'!Y104</f>
        <v>0</v>
      </c>
      <c r="AB16" s="39" t="n">
        <f aca="false">+'CCs # Master'!Z104</f>
        <v>0</v>
      </c>
      <c r="AC16" s="39" t="n">
        <f aca="false">+'CCs # Master'!AA104</f>
        <v>0</v>
      </c>
      <c r="AD16" s="39" t="n">
        <f aca="false">+'CCs # Master'!AB104</f>
        <v>0</v>
      </c>
      <c r="AE16" s="39" t="n">
        <f aca="false">+'CCs # Master'!AC104</f>
        <v>0</v>
      </c>
      <c r="AF16" s="39" t="n">
        <f aca="false">+'CCs # Master'!AD104</f>
        <v>0</v>
      </c>
      <c r="AG16" s="39" t="n">
        <f aca="false">+'CCs # Master'!AE104</f>
        <v>0</v>
      </c>
      <c r="AH16" s="39" t="n">
        <f aca="false">+'CCs # Master'!AF104</f>
        <v>0</v>
      </c>
      <c r="AI16" s="39" t="n">
        <f aca="false">+'CCs # Master'!AG104</f>
        <v>0</v>
      </c>
      <c r="AJ16" s="39" t="n">
        <f aca="false">+'CCs # Master'!AH104</f>
        <v>0</v>
      </c>
      <c r="AK16" s="39" t="n">
        <f aca="false">+'CCs # Master'!AI104</f>
        <v>0</v>
      </c>
      <c r="AL16" s="39" t="n">
        <f aca="false">+'CCs # Master'!AJ104</f>
        <v>0</v>
      </c>
      <c r="AM16" s="39" t="n">
        <f aca="false">+'CCs # Master'!AK104</f>
        <v>0</v>
      </c>
      <c r="AN16" s="39" t="n">
        <f aca="false">+'CCs # Master'!AL104</f>
        <v>0</v>
      </c>
      <c r="AO16" s="39" t="n">
        <f aca="false">+'CCs # Master'!AM104</f>
        <v>0</v>
      </c>
      <c r="AP16" s="39" t="n">
        <f aca="false">+'CCs # Master'!AN104</f>
        <v>0</v>
      </c>
      <c r="AQ16" s="39" t="n">
        <f aca="false">+'CCs # Master'!AO104</f>
        <v>0</v>
      </c>
      <c r="AR16" s="39" t="n">
        <f aca="false">+'CCs # Master'!AP104</f>
        <v>0</v>
      </c>
      <c r="AS16" s="39" t="n">
        <f aca="false">+'CCs # Master'!AQ104</f>
        <v>0</v>
      </c>
      <c r="AT16" s="39" t="n">
        <f aca="false">+'CCs # Master'!AR104</f>
        <v>0</v>
      </c>
      <c r="AU16" s="39" t="n">
        <f aca="false">+'CCs # Master'!AS104</f>
        <v>0</v>
      </c>
      <c r="AV16" s="39" t="n">
        <f aca="false">+'CCs # Master'!AT104</f>
        <v>0</v>
      </c>
      <c r="AW16" s="0"/>
      <c r="AX16" s="71" t="n">
        <f aca="false">SUM(N16:AW16)</f>
        <v>5000</v>
      </c>
      <c r="AY16" s="71" t="n">
        <f aca="false">+K16-AX16</f>
        <v>0</v>
      </c>
      <c r="AZ16" s="39"/>
      <c r="BA16" s="39" t="n">
        <f aca="false">+P16+Q16+T16+U16+V16+W16+X16+Y16</f>
        <v>0</v>
      </c>
      <c r="BB16" s="39" t="n">
        <f aca="false">N16</f>
        <v>5000</v>
      </c>
      <c r="BC16" s="39" t="n">
        <f aca="false">SUM(P16:AW16)</f>
        <v>0</v>
      </c>
      <c r="BD16" s="39"/>
      <c r="BE16" s="39" t="n">
        <f aca="false">SUM(BB16:BC16)</f>
        <v>5000</v>
      </c>
      <c r="BF16" s="39"/>
      <c r="BG16" s="48" t="n">
        <f aca="false">SUM(N16:AW16)</f>
        <v>5000</v>
      </c>
      <c r="BH16" s="39" t="n">
        <f aca="false">BE16-BG16</f>
        <v>0</v>
      </c>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row>
    <row r="17" customFormat="false" ht="12.95" hidden="false" customHeight="true" outlineLevel="0" collapsed="false">
      <c r="A17" s="37" t="n">
        <v>11</v>
      </c>
      <c r="B17" s="39" t="str">
        <f aca="false">'CCs # Master'!B113</f>
        <v>Corp Strategic Initiatives</v>
      </c>
      <c r="C17" s="39" t="str">
        <f aca="false">'CCs # Master'!C113</f>
        <v>Becker, Melissa</v>
      </c>
      <c r="D17" s="96" t="n">
        <f aca="false">'CCs # Master'!D113</f>
        <v>100236</v>
      </c>
      <c r="E17" s="39" t="n">
        <f aca="false">+'CCs # Master'!E113</f>
        <v>247</v>
      </c>
      <c r="F17" s="39" t="n">
        <f aca="false">+'CCs # Master'!F113</f>
        <v>37</v>
      </c>
      <c r="G17" s="39" t="n">
        <f aca="false">+'CCs # Master'!G113</f>
        <v>6</v>
      </c>
      <c r="H17" s="39" t="n">
        <f aca="false">+'CCs # Master'!H113</f>
        <v>0</v>
      </c>
      <c r="I17" s="39" t="n">
        <f aca="false">+'CCs # Master'!I113</f>
        <v>0</v>
      </c>
      <c r="J17" s="39" t="n">
        <f aca="false">+'CCs # Master'!J113</f>
        <v>3000</v>
      </c>
      <c r="K17" s="39" t="n">
        <f aca="false">+'CCs # Master'!K113</f>
        <v>3290</v>
      </c>
      <c r="L17" s="39"/>
      <c r="M17" s="39" t="str">
        <f aca="false">+'CCs # Master'!M105</f>
        <v>MMF</v>
      </c>
      <c r="N17" s="39" t="n">
        <f aca="false">+'CCs # Master'!AW113</f>
        <v>3290</v>
      </c>
      <c r="O17" s="39" t="n">
        <v>0</v>
      </c>
      <c r="P17" s="39" t="n">
        <f aca="false">+'CCs # Master'!N113</f>
        <v>0</v>
      </c>
      <c r="Q17" s="39" t="n">
        <f aca="false">+'CCs # Master'!O113</f>
        <v>0</v>
      </c>
      <c r="R17" s="39" t="n">
        <f aca="false">+'CCs # Master'!P113</f>
        <v>0</v>
      </c>
      <c r="S17" s="39" t="n">
        <f aca="false">+'CCs # Master'!Q113</f>
        <v>0</v>
      </c>
      <c r="T17" s="39" t="n">
        <f aca="false">+'CCs # Master'!R113</f>
        <v>0</v>
      </c>
      <c r="U17" s="39" t="n">
        <f aca="false">+'CCs # Master'!S113</f>
        <v>0</v>
      </c>
      <c r="V17" s="39" t="n">
        <f aca="false">+'CCs # Master'!T113</f>
        <v>0</v>
      </c>
      <c r="W17" s="39" t="n">
        <f aca="false">+'CCs # Master'!U113</f>
        <v>0</v>
      </c>
      <c r="X17" s="39" t="n">
        <f aca="false">+'CCs # Master'!V113</f>
        <v>0</v>
      </c>
      <c r="Y17" s="39" t="n">
        <f aca="false">+'CCs # Master'!W113</f>
        <v>0</v>
      </c>
      <c r="Z17" s="39" t="n">
        <f aca="false">+'CCs # Master'!X113</f>
        <v>0</v>
      </c>
      <c r="AA17" s="39" t="n">
        <f aca="false">+'CCs # Master'!Y113</f>
        <v>0</v>
      </c>
      <c r="AB17" s="39" t="n">
        <f aca="false">+'CCs # Master'!Z113</f>
        <v>0</v>
      </c>
      <c r="AC17" s="39" t="n">
        <f aca="false">+'CCs # Master'!AA113</f>
        <v>0</v>
      </c>
      <c r="AD17" s="39" t="n">
        <f aca="false">+'CCs # Master'!AB113</f>
        <v>0</v>
      </c>
      <c r="AE17" s="39" t="n">
        <f aca="false">+'CCs # Master'!AC113</f>
        <v>0</v>
      </c>
      <c r="AF17" s="39" t="n">
        <f aca="false">+'CCs # Master'!AD113</f>
        <v>0</v>
      </c>
      <c r="AG17" s="39" t="n">
        <f aca="false">+'CCs # Master'!AE113</f>
        <v>0</v>
      </c>
      <c r="AH17" s="39" t="n">
        <f aca="false">+'CCs # Master'!AF113</f>
        <v>0</v>
      </c>
      <c r="AI17" s="39" t="n">
        <f aca="false">+'CCs # Master'!AG113</f>
        <v>0</v>
      </c>
      <c r="AJ17" s="39" t="n">
        <f aca="false">+'CCs # Master'!AH113</f>
        <v>0</v>
      </c>
      <c r="AK17" s="39" t="n">
        <f aca="false">+'CCs # Master'!AI113</f>
        <v>0</v>
      </c>
      <c r="AL17" s="39" t="n">
        <f aca="false">+'CCs # Master'!AJ113</f>
        <v>0</v>
      </c>
      <c r="AM17" s="39" t="n">
        <f aca="false">+'CCs # Master'!AK113</f>
        <v>0</v>
      </c>
      <c r="AN17" s="39" t="n">
        <f aca="false">+'CCs # Master'!AL113</f>
        <v>0</v>
      </c>
      <c r="AO17" s="39" t="n">
        <f aca="false">+'CCs # Master'!AM113</f>
        <v>0</v>
      </c>
      <c r="AP17" s="39" t="n">
        <f aca="false">+'CCs # Master'!AN113</f>
        <v>0</v>
      </c>
      <c r="AQ17" s="39" t="n">
        <f aca="false">+'CCs # Master'!AO113</f>
        <v>0</v>
      </c>
      <c r="AR17" s="39" t="n">
        <f aca="false">+'CCs # Master'!AP113</f>
        <v>0</v>
      </c>
      <c r="AS17" s="39" t="n">
        <f aca="false">+'CCs # Master'!AQ113</f>
        <v>0</v>
      </c>
      <c r="AT17" s="39" t="n">
        <f aca="false">+'CCs # Master'!AR113</f>
        <v>0</v>
      </c>
      <c r="AU17" s="39" t="n">
        <f aca="false">+'CCs # Master'!AS113</f>
        <v>0</v>
      </c>
      <c r="AV17" s="39" t="n">
        <f aca="false">+'CCs # Master'!AT113</f>
        <v>0</v>
      </c>
      <c r="AW17" s="0"/>
      <c r="AX17" s="71" t="n">
        <f aca="false">SUM(N17:AW17)</f>
        <v>3290</v>
      </c>
      <c r="AY17" s="71" t="n">
        <f aca="false">+K17-AX17</f>
        <v>0</v>
      </c>
      <c r="AZ17" s="39"/>
      <c r="BA17" s="39" t="n">
        <f aca="false">+P17+Q17+T17+U17+V17+W17+X17+Y17</f>
        <v>0</v>
      </c>
      <c r="BB17" s="39" t="n">
        <f aca="false">N17</f>
        <v>3290</v>
      </c>
      <c r="BC17" s="39" t="n">
        <f aca="false">SUM(P17:AW17)</f>
        <v>0</v>
      </c>
      <c r="BD17" s="39"/>
      <c r="BE17" s="39" t="n">
        <f aca="false">SUM(BB17:BC17)</f>
        <v>3290</v>
      </c>
      <c r="BF17" s="39"/>
      <c r="BG17" s="48" t="n">
        <f aca="false">SUM(N17:AW17)</f>
        <v>3290</v>
      </c>
      <c r="BH17" s="39" t="n">
        <f aca="false">BE17-BG17</f>
        <v>0</v>
      </c>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row>
    <row r="18" customFormat="false" ht="12.95" hidden="false" customHeight="true" outlineLevel="0" collapsed="false">
      <c r="A18" s="37" t="n">
        <f aca="false">+'CCs # Master'!A109</f>
        <v>11</v>
      </c>
      <c r="B18" s="39" t="str">
        <f aca="false">+'CCs # Master'!B109</f>
        <v>Vision &amp; Values Task Force</v>
      </c>
      <c r="C18" s="39" t="str">
        <f aca="false">+'CCs # Master'!C109</f>
        <v>Kean, Steve</v>
      </c>
      <c r="D18" s="96" t="n">
        <f aca="false">+'CCs # Master'!D109</f>
        <v>100230</v>
      </c>
      <c r="E18" s="39" t="n">
        <f aca="false">+'CCs # Master'!E109</f>
        <v>0</v>
      </c>
      <c r="F18" s="39" t="n">
        <f aca="false">+'CCs # Master'!F109</f>
        <v>17</v>
      </c>
      <c r="G18" s="39" t="n">
        <f aca="false">+'CCs # Master'!G109</f>
        <v>80</v>
      </c>
      <c r="H18" s="39" t="n">
        <f aca="false">+'CCs # Master'!H109</f>
        <v>253</v>
      </c>
      <c r="I18" s="39" t="n">
        <f aca="false">+'CCs # Master'!I109</f>
        <v>0</v>
      </c>
      <c r="J18" s="39" t="n">
        <f aca="false">+'CCs # Master'!J109</f>
        <v>0</v>
      </c>
      <c r="K18" s="39" t="n">
        <f aca="false">SUM(E18:J18)</f>
        <v>350</v>
      </c>
      <c r="L18" s="39"/>
      <c r="M18" s="39" t="str">
        <f aca="false">+'CCs # Master'!M109</f>
        <v>MMF</v>
      </c>
      <c r="N18" s="39" t="n">
        <f aca="false">+'CCs # Master'!AW109</f>
        <v>350</v>
      </c>
      <c r="O18" s="39" t="n">
        <v>0</v>
      </c>
      <c r="P18" s="39" t="n">
        <f aca="false">+'CCs # Master'!N109</f>
        <v>0</v>
      </c>
      <c r="Q18" s="39" t="n">
        <f aca="false">+'CCs # Master'!O109</f>
        <v>0</v>
      </c>
      <c r="R18" s="39" t="n">
        <f aca="false">+'CCs # Master'!P109</f>
        <v>0</v>
      </c>
      <c r="S18" s="39" t="n">
        <f aca="false">+'CCs # Master'!Q109</f>
        <v>0</v>
      </c>
      <c r="T18" s="39" t="n">
        <f aca="false">+'CCs # Master'!R109</f>
        <v>0</v>
      </c>
      <c r="U18" s="39" t="n">
        <f aca="false">+'CCs # Master'!S109</f>
        <v>0</v>
      </c>
      <c r="V18" s="39" t="n">
        <f aca="false">+'CCs # Master'!T109</f>
        <v>0</v>
      </c>
      <c r="W18" s="39" t="n">
        <f aca="false">+'CCs # Master'!U109</f>
        <v>0</v>
      </c>
      <c r="X18" s="39" t="n">
        <f aca="false">+'CCs # Master'!V109</f>
        <v>0</v>
      </c>
      <c r="Y18" s="39" t="n">
        <f aca="false">+'CCs # Master'!W109</f>
        <v>0</v>
      </c>
      <c r="Z18" s="39" t="n">
        <f aca="false">+'CCs # Master'!X109</f>
        <v>0</v>
      </c>
      <c r="AA18" s="39" t="n">
        <f aca="false">+'CCs # Master'!Y109</f>
        <v>0</v>
      </c>
      <c r="AB18" s="39" t="n">
        <f aca="false">+'CCs # Master'!Z109</f>
        <v>0</v>
      </c>
      <c r="AC18" s="39" t="n">
        <f aca="false">+'CCs # Master'!AA109</f>
        <v>0</v>
      </c>
      <c r="AD18" s="39" t="n">
        <f aca="false">+'CCs # Master'!AB109</f>
        <v>0</v>
      </c>
      <c r="AE18" s="39" t="n">
        <f aca="false">+'CCs # Master'!AC109</f>
        <v>0</v>
      </c>
      <c r="AF18" s="39" t="n">
        <f aca="false">+'CCs # Master'!AD109</f>
        <v>0</v>
      </c>
      <c r="AG18" s="39" t="n">
        <f aca="false">+'CCs # Master'!AE109</f>
        <v>0</v>
      </c>
      <c r="AH18" s="39" t="n">
        <f aca="false">+'CCs # Master'!AF109</f>
        <v>0</v>
      </c>
      <c r="AI18" s="39" t="n">
        <f aca="false">+'CCs # Master'!AG109</f>
        <v>0</v>
      </c>
      <c r="AJ18" s="39" t="n">
        <f aca="false">+'CCs # Master'!AH109</f>
        <v>0</v>
      </c>
      <c r="AK18" s="39" t="n">
        <f aca="false">+'CCs # Master'!AI109</f>
        <v>0</v>
      </c>
      <c r="AL18" s="39" t="n">
        <f aca="false">+'CCs # Master'!AJ109</f>
        <v>0</v>
      </c>
      <c r="AM18" s="39" t="n">
        <f aca="false">+'CCs # Master'!AK109</f>
        <v>0</v>
      </c>
      <c r="AN18" s="39" t="n">
        <f aca="false">+'CCs # Master'!AL109</f>
        <v>0</v>
      </c>
      <c r="AO18" s="39" t="n">
        <f aca="false">+'CCs # Master'!AM109</f>
        <v>0</v>
      </c>
      <c r="AP18" s="39" t="n">
        <f aca="false">+'CCs # Master'!AN109</f>
        <v>0</v>
      </c>
      <c r="AQ18" s="39" t="n">
        <f aca="false">+'CCs # Master'!AO109</f>
        <v>0</v>
      </c>
      <c r="AR18" s="39" t="n">
        <f aca="false">+'CCs # Master'!AP109</f>
        <v>0</v>
      </c>
      <c r="AS18" s="39" t="n">
        <f aca="false">+'CCs # Master'!AQ109</f>
        <v>0</v>
      </c>
      <c r="AT18" s="39" t="n">
        <f aca="false">+'CCs # Master'!AR109</f>
        <v>0</v>
      </c>
      <c r="AU18" s="39" t="n">
        <f aca="false">+'CCs # Master'!AS109</f>
        <v>0</v>
      </c>
      <c r="AV18" s="39" t="n">
        <f aca="false">+'CCs # Master'!AT109</f>
        <v>0</v>
      </c>
      <c r="AW18" s="0"/>
      <c r="AX18" s="71" t="n">
        <f aca="false">SUM(N18:AW18)</f>
        <v>350</v>
      </c>
      <c r="AY18" s="71" t="n">
        <f aca="false">+K18-AX18</f>
        <v>0</v>
      </c>
      <c r="AZ18" s="39"/>
      <c r="BA18" s="39" t="n">
        <f aca="false">+P18+Q18+T18+U18+V18+W18+X18+Y18</f>
        <v>0</v>
      </c>
      <c r="BB18" s="39" t="n">
        <f aca="false">N18</f>
        <v>350</v>
      </c>
      <c r="BC18" s="39" t="n">
        <f aca="false">SUM(P18:AW18)</f>
        <v>0</v>
      </c>
      <c r="BD18" s="39"/>
      <c r="BE18" s="39" t="n">
        <f aca="false">SUM(BB18:BC18)</f>
        <v>350</v>
      </c>
      <c r="BF18" s="39"/>
      <c r="BG18" s="48" t="n">
        <f aca="false">SUM(N18:AW18)</f>
        <v>350</v>
      </c>
      <c r="BH18" s="39" t="n">
        <f aca="false">BE18-BG18</f>
        <v>0</v>
      </c>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row>
    <row r="19" customFormat="false" ht="12.95" hidden="false" customHeight="true" outlineLevel="0" collapsed="false">
      <c r="A19" s="37" t="n">
        <v>11</v>
      </c>
      <c r="B19" s="39" t="str">
        <f aca="false">'CCs # Master'!B148</f>
        <v>EVP &amp; Chief Strategy Officer</v>
      </c>
      <c r="C19" s="39" t="str">
        <f aca="false">'CCs # Master'!C148</f>
        <v>Baxter, C</v>
      </c>
      <c r="D19" s="96" t="n">
        <f aca="false">'CCs # Master'!D148</f>
        <v>102817</v>
      </c>
      <c r="E19" s="39" t="n">
        <f aca="false">+'CCs # Master'!E148</f>
        <v>423</v>
      </c>
      <c r="F19" s="39" t="n">
        <f aca="false">+'CCs # Master'!F148</f>
        <v>380</v>
      </c>
      <c r="G19" s="39" t="n">
        <f aca="false">+'CCs # Master'!G148</f>
        <v>11</v>
      </c>
      <c r="H19" s="39" t="n">
        <f aca="false">+'CCs # Master'!H148</f>
        <v>262</v>
      </c>
      <c r="I19" s="39" t="n">
        <f aca="false">+'CCs # Master'!I148</f>
        <v>55</v>
      </c>
      <c r="J19" s="39" t="n">
        <f aca="false">+'CCs # Master'!J148</f>
        <v>419</v>
      </c>
      <c r="K19" s="39" t="n">
        <f aca="false">SUM(E19:J19)</f>
        <v>1550</v>
      </c>
      <c r="L19" s="39"/>
      <c r="M19" s="39" t="s">
        <v>98</v>
      </c>
      <c r="N19" s="39" t="n">
        <f aca="false">+'CCs # Master'!AW148</f>
        <v>1550</v>
      </c>
      <c r="O19" s="39" t="n">
        <v>0</v>
      </c>
      <c r="P19" s="39" t="n">
        <v>0</v>
      </c>
      <c r="Q19" s="39" t="n">
        <v>0</v>
      </c>
      <c r="R19" s="39" t="n">
        <v>0</v>
      </c>
      <c r="S19" s="39" t="n">
        <v>0</v>
      </c>
      <c r="T19" s="39" t="n">
        <v>0</v>
      </c>
      <c r="U19" s="39" t="n">
        <v>0</v>
      </c>
      <c r="V19" s="39" t="n">
        <v>0</v>
      </c>
      <c r="W19" s="39" t="n">
        <v>0</v>
      </c>
      <c r="X19" s="39" t="n">
        <v>0</v>
      </c>
      <c r="Y19" s="39" t="n">
        <v>0</v>
      </c>
      <c r="Z19" s="39" t="n">
        <v>0</v>
      </c>
      <c r="AA19" s="39" t="n">
        <v>0</v>
      </c>
      <c r="AB19" s="39" t="n">
        <v>0</v>
      </c>
      <c r="AC19" s="39" t="n">
        <v>0</v>
      </c>
      <c r="AD19" s="39" t="n">
        <v>0</v>
      </c>
      <c r="AE19" s="39" t="n">
        <v>0</v>
      </c>
      <c r="AF19" s="39" t="n">
        <v>0</v>
      </c>
      <c r="AG19" s="39" t="n">
        <v>0</v>
      </c>
      <c r="AH19" s="39" t="n">
        <v>0</v>
      </c>
      <c r="AI19" s="39" t="n">
        <v>0</v>
      </c>
      <c r="AJ19" s="39" t="n">
        <v>0</v>
      </c>
      <c r="AK19" s="39" t="n">
        <v>0</v>
      </c>
      <c r="AL19" s="39" t="n">
        <v>0</v>
      </c>
      <c r="AM19" s="39" t="n">
        <v>0</v>
      </c>
      <c r="AN19" s="39" t="n">
        <v>0</v>
      </c>
      <c r="AO19" s="39" t="n">
        <v>0</v>
      </c>
      <c r="AP19" s="39" t="n">
        <v>0</v>
      </c>
      <c r="AQ19" s="39" t="n">
        <v>0</v>
      </c>
      <c r="AR19" s="39" t="n">
        <v>0</v>
      </c>
      <c r="AS19" s="39" t="n">
        <v>0</v>
      </c>
      <c r="AT19" s="39" t="n">
        <v>0</v>
      </c>
      <c r="AU19" s="39" t="n">
        <v>0</v>
      </c>
      <c r="AV19" s="39" t="n">
        <v>0</v>
      </c>
      <c r="AW19" s="0"/>
      <c r="AX19" s="71" t="n">
        <f aca="false">SUM(N19:AW19)</f>
        <v>1550</v>
      </c>
      <c r="AY19" s="71" t="n">
        <f aca="false">+K19-AX19</f>
        <v>0</v>
      </c>
      <c r="AZ19" s="39"/>
      <c r="BA19" s="39" t="n">
        <f aca="false">+P19+Q19+T19+U19+V19+W19+X19+Y19</f>
        <v>0</v>
      </c>
      <c r="BB19" s="39" t="n">
        <f aca="false">N19</f>
        <v>1550</v>
      </c>
      <c r="BC19" s="39" t="n">
        <f aca="false">SUM(P19:AW19)</f>
        <v>0</v>
      </c>
      <c r="BD19" s="39"/>
      <c r="BE19" s="39" t="n">
        <f aca="false">SUM(BB19:BC19)</f>
        <v>1550</v>
      </c>
      <c r="BF19" s="39"/>
      <c r="BG19" s="48" t="n">
        <f aca="false">SUM(N19:AW19)</f>
        <v>1550</v>
      </c>
      <c r="BH19" s="39" t="n">
        <f aca="false">BE19-BG19</f>
        <v>0</v>
      </c>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c r="IW19" s="39"/>
    </row>
    <row r="20" customFormat="false" ht="12.95" hidden="false" customHeight="true" outlineLevel="0" collapsed="false">
      <c r="A20" s="37" t="n">
        <f aca="false">+'CCs # Master'!A117</f>
        <v>11</v>
      </c>
      <c r="B20" s="39" t="str">
        <f aca="false">+'CCs # Master'!B117</f>
        <v>Vice- Chairman  (Sutton)</v>
      </c>
      <c r="C20" s="39" t="str">
        <f aca="false">+'CCs # Master'!C117</f>
        <v>Sutton, Joe</v>
      </c>
      <c r="D20" s="96" t="n">
        <f aca="false">+'CCs # Master'!D117</f>
        <v>100281</v>
      </c>
      <c r="E20" s="39" t="n">
        <f aca="false">+'CCs # Master'!E117</f>
        <v>0</v>
      </c>
      <c r="F20" s="39" t="n">
        <f aca="false">+'CCs # Master'!F117</f>
        <v>0</v>
      </c>
      <c r="G20" s="39" t="n">
        <f aca="false">+'CCs # Master'!G117</f>
        <v>0</v>
      </c>
      <c r="H20" s="39" t="n">
        <f aca="false">+'CCs # Master'!H117</f>
        <v>0</v>
      </c>
      <c r="I20" s="39" t="n">
        <f aca="false">+'CCs # Master'!I117</f>
        <v>0</v>
      </c>
      <c r="J20" s="39" t="n">
        <f aca="false">+'CCs # Master'!J117</f>
        <v>0</v>
      </c>
      <c r="K20" s="39" t="n">
        <f aca="false">SUM(E20:J20)</f>
        <v>0</v>
      </c>
      <c r="L20" s="39"/>
      <c r="M20" s="39" t="str">
        <f aca="false">+'CCs # Master'!M117</f>
        <v>MMF</v>
      </c>
      <c r="N20" s="39" t="n">
        <f aca="false">+'CCs # Master'!AW117</f>
        <v>0</v>
      </c>
      <c r="O20" s="39" t="n">
        <v>0</v>
      </c>
      <c r="P20" s="39" t="n">
        <f aca="false">+'CCs # Master'!N117</f>
        <v>0</v>
      </c>
      <c r="Q20" s="39" t="n">
        <f aca="false">+'CCs # Master'!O117</f>
        <v>0</v>
      </c>
      <c r="R20" s="39" t="n">
        <f aca="false">+'CCs # Master'!P117</f>
        <v>0</v>
      </c>
      <c r="S20" s="39" t="n">
        <f aca="false">+'CCs # Master'!Q117</f>
        <v>0</v>
      </c>
      <c r="T20" s="39" t="n">
        <f aca="false">+'CCs # Master'!R117</f>
        <v>0</v>
      </c>
      <c r="U20" s="39" t="n">
        <f aca="false">+'CCs # Master'!S117</f>
        <v>0</v>
      </c>
      <c r="V20" s="39" t="n">
        <f aca="false">+'CCs # Master'!T117</f>
        <v>0</v>
      </c>
      <c r="W20" s="39" t="n">
        <f aca="false">+'CCs # Master'!U117</f>
        <v>0</v>
      </c>
      <c r="X20" s="39" t="n">
        <f aca="false">+'CCs # Master'!V117</f>
        <v>0</v>
      </c>
      <c r="Y20" s="39" t="n">
        <f aca="false">+'CCs # Master'!W117</f>
        <v>0</v>
      </c>
      <c r="Z20" s="39" t="n">
        <f aca="false">+'CCs # Master'!X117</f>
        <v>0</v>
      </c>
      <c r="AA20" s="39" t="n">
        <f aca="false">+'CCs # Master'!Y117</f>
        <v>0</v>
      </c>
      <c r="AB20" s="39" t="n">
        <f aca="false">+'CCs # Master'!Z117</f>
        <v>0</v>
      </c>
      <c r="AC20" s="39" t="n">
        <f aca="false">+'CCs # Master'!AA117</f>
        <v>0</v>
      </c>
      <c r="AD20" s="39" t="n">
        <f aca="false">+'CCs # Master'!AB117</f>
        <v>0</v>
      </c>
      <c r="AE20" s="39" t="n">
        <f aca="false">+'CCs # Master'!AC117</f>
        <v>0</v>
      </c>
      <c r="AF20" s="39" t="n">
        <f aca="false">+'CCs # Master'!AD117</f>
        <v>0</v>
      </c>
      <c r="AG20" s="39" t="n">
        <f aca="false">+'CCs # Master'!AE117</f>
        <v>0</v>
      </c>
      <c r="AH20" s="39" t="n">
        <f aca="false">+'CCs # Master'!AF117</f>
        <v>0</v>
      </c>
      <c r="AI20" s="39" t="n">
        <f aca="false">+'CCs # Master'!AG117</f>
        <v>0</v>
      </c>
      <c r="AJ20" s="39" t="n">
        <f aca="false">+'CCs # Master'!AH117</f>
        <v>0</v>
      </c>
      <c r="AK20" s="39" t="n">
        <f aca="false">+'CCs # Master'!AI117</f>
        <v>0</v>
      </c>
      <c r="AL20" s="39" t="n">
        <f aca="false">+'CCs # Master'!AJ117</f>
        <v>0</v>
      </c>
      <c r="AM20" s="39" t="n">
        <f aca="false">+'CCs # Master'!AK117</f>
        <v>0</v>
      </c>
      <c r="AN20" s="39" t="n">
        <f aca="false">+'CCs # Master'!AL117</f>
        <v>0</v>
      </c>
      <c r="AO20" s="39" t="n">
        <f aca="false">+'CCs # Master'!AM117</f>
        <v>0</v>
      </c>
      <c r="AP20" s="39" t="n">
        <f aca="false">+'CCs # Master'!AN117</f>
        <v>0</v>
      </c>
      <c r="AQ20" s="39" t="n">
        <f aca="false">+'CCs # Master'!AO117</f>
        <v>0</v>
      </c>
      <c r="AR20" s="39" t="n">
        <f aca="false">+'CCs # Master'!AP117</f>
        <v>0</v>
      </c>
      <c r="AS20" s="39" t="n">
        <f aca="false">+'CCs # Master'!AQ117</f>
        <v>0</v>
      </c>
      <c r="AT20" s="39" t="n">
        <f aca="false">+'CCs # Master'!AR117</f>
        <v>0</v>
      </c>
      <c r="AU20" s="39" t="n">
        <f aca="false">+'CCs # Master'!AS117</f>
        <v>0</v>
      </c>
      <c r="AV20" s="39" t="n">
        <f aca="false">+'CCs # Master'!AT117</f>
        <v>0</v>
      </c>
      <c r="AW20" s="0"/>
      <c r="AX20" s="71" t="n">
        <f aca="false">SUM(N20:AW20)</f>
        <v>0</v>
      </c>
      <c r="AY20" s="71" t="n">
        <f aca="false">+K20-AX20</f>
        <v>0</v>
      </c>
      <c r="AZ20" s="39"/>
      <c r="BA20" s="39" t="n">
        <f aca="false">+P20+Q20+T20+U20+V20+W20+X20+Y20</f>
        <v>0</v>
      </c>
      <c r="BB20" s="39" t="n">
        <f aca="false">N20</f>
        <v>0</v>
      </c>
      <c r="BC20" s="97" t="n">
        <f aca="false">SUM(P20:AW20)</f>
        <v>0</v>
      </c>
      <c r="BD20" s="39"/>
      <c r="BE20" s="97" t="n">
        <f aca="false">SUM(BB20:BC20)</f>
        <v>0</v>
      </c>
      <c r="BF20" s="39"/>
      <c r="BG20" s="98" t="n">
        <f aca="false">SUM(N20:AW20)</f>
        <v>0</v>
      </c>
      <c r="BH20" s="39" t="n">
        <f aca="false">BE20-BG20</f>
        <v>0</v>
      </c>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c r="IV20" s="39"/>
      <c r="IW20" s="39"/>
    </row>
    <row r="21" customFormat="false" ht="8.1" hidden="false" customHeight="true" outlineLevel="0" collapsed="false">
      <c r="A21" s="37"/>
      <c r="B21" s="39"/>
      <c r="C21" s="39"/>
      <c r="D21" s="96"/>
      <c r="E21" s="91"/>
      <c r="F21" s="91"/>
      <c r="G21" s="91"/>
      <c r="H21" s="91"/>
      <c r="I21" s="91"/>
      <c r="J21" s="91"/>
      <c r="K21" s="91"/>
      <c r="L21" s="39"/>
      <c r="M21" s="39"/>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0"/>
      <c r="AX21" s="91"/>
      <c r="AY21" s="91"/>
      <c r="AZ21" s="39"/>
      <c r="BA21" s="91"/>
      <c r="BB21" s="91"/>
      <c r="BC21" s="39"/>
      <c r="BD21" s="39"/>
      <c r="BE21" s="39"/>
      <c r="BF21" s="39"/>
      <c r="BG21" s="48"/>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39"/>
      <c r="IV21" s="39"/>
      <c r="IW21" s="39"/>
    </row>
    <row r="22" customFormat="false" ht="12.95" hidden="false" customHeight="true" outlineLevel="0" collapsed="false">
      <c r="A22" s="37"/>
      <c r="B22" s="39"/>
      <c r="C22" s="39"/>
      <c r="D22" s="96"/>
      <c r="E22" s="97" t="n">
        <f aca="false">SUM(E10:E21)</f>
        <v>4137</v>
      </c>
      <c r="F22" s="97" t="n">
        <f aca="false">SUM(F10:F21)</f>
        <v>3280</v>
      </c>
      <c r="G22" s="97" t="n">
        <f aca="false">SUM(G10:G21)</f>
        <v>160</v>
      </c>
      <c r="H22" s="97" t="n">
        <f aca="false">SUM(H10:H21)</f>
        <v>3354</v>
      </c>
      <c r="I22" s="97" t="n">
        <f aca="false">SUM(I10:I21)</f>
        <v>676</v>
      </c>
      <c r="J22" s="97" t="n">
        <f aca="false">SUM(J10:J21)</f>
        <v>9343</v>
      </c>
      <c r="K22" s="97" t="n">
        <f aca="false">SUM(K10:K21)</f>
        <v>20950</v>
      </c>
      <c r="L22" s="39"/>
      <c r="M22" s="39"/>
      <c r="N22" s="97" t="n">
        <f aca="false">SUM(N10:N21)</f>
        <v>20422</v>
      </c>
      <c r="O22" s="97" t="n">
        <f aca="false">SUM(O10:O21)</f>
        <v>0</v>
      </c>
      <c r="P22" s="97" t="n">
        <f aca="false">SUM(P10:P21)</f>
        <v>2</v>
      </c>
      <c r="Q22" s="97" t="n">
        <f aca="false">SUM(Q10:Q21)</f>
        <v>4</v>
      </c>
      <c r="R22" s="97" t="n">
        <f aca="false">SUM(R10:R21)</f>
        <v>30</v>
      </c>
      <c r="S22" s="97" t="n">
        <f aca="false">SUM(S10:S21)</f>
        <v>0</v>
      </c>
      <c r="T22" s="97" t="n">
        <f aca="false">SUM(T10:T21)</f>
        <v>4</v>
      </c>
      <c r="U22" s="97" t="n">
        <f aca="false">SUM(U10:U21)</f>
        <v>0</v>
      </c>
      <c r="V22" s="97" t="n">
        <f aca="false">SUM(V10:V21)</f>
        <v>7</v>
      </c>
      <c r="W22" s="97" t="n">
        <f aca="false">SUM(W10:W21)</f>
        <v>7</v>
      </c>
      <c r="X22" s="97" t="n">
        <f aca="false">SUM(X10:X21)</f>
        <v>20</v>
      </c>
      <c r="Y22" s="97" t="n">
        <f aca="false">SUM(Y10:Y21)</f>
        <v>0</v>
      </c>
      <c r="Z22" s="97" t="n">
        <f aca="false">SUM(Z10:Z21)</f>
        <v>138</v>
      </c>
      <c r="AA22" s="97" t="n">
        <f aca="false">SUM(AA10:AA21)</f>
        <v>4</v>
      </c>
      <c r="AB22" s="97" t="n">
        <f aca="false">SUM(AB10:AB21)</f>
        <v>1</v>
      </c>
      <c r="AC22" s="97" t="n">
        <f aca="false">SUM(AC10:AC21)</f>
        <v>0</v>
      </c>
      <c r="AD22" s="97" t="n">
        <f aca="false">SUM(AD10:AD21)</f>
        <v>0</v>
      </c>
      <c r="AE22" s="97" t="n">
        <f aca="false">SUM(AE10:AE21)</f>
        <v>13</v>
      </c>
      <c r="AF22" s="97" t="n">
        <f aca="false">SUM(AF10:AF21)</f>
        <v>64</v>
      </c>
      <c r="AG22" s="97" t="n">
        <f aca="false">SUM(AG10:AG21)</f>
        <v>72</v>
      </c>
      <c r="AH22" s="97" t="n">
        <f aca="false">SUM(AH10:AH21)</f>
        <v>5</v>
      </c>
      <c r="AI22" s="97" t="n">
        <f aca="false">SUM(AI10:AI21)</f>
        <v>0</v>
      </c>
      <c r="AJ22" s="97" t="n">
        <f aca="false">SUM(AJ10:AJ21)</f>
        <v>26</v>
      </c>
      <c r="AK22" s="97" t="n">
        <f aca="false">SUM(AK10:AK21)</f>
        <v>35</v>
      </c>
      <c r="AL22" s="97" t="n">
        <f aca="false">SUM(AL10:AL21)</f>
        <v>13</v>
      </c>
      <c r="AM22" s="97" t="n">
        <f aca="false">SUM(AM10:AM21)</f>
        <v>8</v>
      </c>
      <c r="AN22" s="97" t="n">
        <f aca="false">SUM(AN10:AN21)</f>
        <v>13</v>
      </c>
      <c r="AO22" s="97" t="n">
        <f aca="false">SUM(AO10:AO21)</f>
        <v>23</v>
      </c>
      <c r="AP22" s="97" t="n">
        <f aca="false">SUM(AP10:AP21)</f>
        <v>0</v>
      </c>
      <c r="AQ22" s="97" t="n">
        <f aca="false">SUM(AQ10:AQ21)</f>
        <v>28</v>
      </c>
      <c r="AR22" s="97" t="n">
        <f aca="false">SUM(AR10:AR21)</f>
        <v>9</v>
      </c>
      <c r="AS22" s="97" t="n">
        <f aca="false">SUM(AS10:AS21)</f>
        <v>0</v>
      </c>
      <c r="AT22" s="97" t="n">
        <f aca="false">SUM(AT10:AT21)</f>
        <v>2</v>
      </c>
      <c r="AU22" s="97" t="n">
        <f aca="false">SUM(AU10:AU21)</f>
        <v>0</v>
      </c>
      <c r="AV22" s="97" t="n">
        <f aca="false">SUM(AV10:AV21)</f>
        <v>0</v>
      </c>
      <c r="AW22" s="0"/>
      <c r="AX22" s="97" t="n">
        <f aca="false">SUM(AX10:AX21)</f>
        <v>20950</v>
      </c>
      <c r="AY22" s="97" t="n">
        <f aca="false">SUM(AY10:AY21)</f>
        <v>0</v>
      </c>
      <c r="AZ22" s="39"/>
      <c r="BA22" s="97" t="n">
        <f aca="false">SUM(BA10:BA21)</f>
        <v>44</v>
      </c>
      <c r="BB22" s="97" t="n">
        <f aca="false">SUM(BB10:BB21)</f>
        <v>20422</v>
      </c>
      <c r="BC22" s="97" t="n">
        <f aca="false">SUM(BC10:BC21)</f>
        <v>528</v>
      </c>
      <c r="BD22" s="39"/>
      <c r="BE22" s="97" t="n">
        <f aca="false">SUM(BE10:BE21)</f>
        <v>20950</v>
      </c>
      <c r="BF22" s="39"/>
      <c r="BG22" s="98" t="n">
        <f aca="false">SUM(N22:AV22)</f>
        <v>20950</v>
      </c>
      <c r="BH22" s="39" t="n">
        <f aca="false">BE22-BG22</f>
        <v>0</v>
      </c>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39"/>
      <c r="IV22" s="39"/>
      <c r="IW22" s="39"/>
    </row>
    <row r="23" customFormat="false" ht="8.1" hidden="false" customHeight="true" outlineLevel="0" collapsed="false">
      <c r="A23" s="37"/>
      <c r="B23" s="39"/>
      <c r="C23" s="39"/>
      <c r="D23" s="96"/>
      <c r="E23" s="39"/>
      <c r="F23" s="39"/>
      <c r="G23" s="39"/>
      <c r="H23" s="39"/>
      <c r="I23" s="39"/>
      <c r="J23" s="39"/>
      <c r="K23" s="71"/>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0"/>
      <c r="AX23" s="71"/>
      <c r="AY23" s="71"/>
      <c r="AZ23" s="39"/>
      <c r="BA23" s="39"/>
      <c r="BB23" s="39"/>
      <c r="BC23" s="39"/>
      <c r="BD23" s="39"/>
      <c r="BE23" s="39"/>
      <c r="BF23" s="39"/>
      <c r="BG23" s="48"/>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39"/>
      <c r="IV23" s="39"/>
      <c r="IW23" s="39"/>
    </row>
    <row r="24" customFormat="false" ht="12.95" hidden="false" customHeight="true" outlineLevel="0" collapsed="false">
      <c r="A24" s="95" t="s">
        <v>417</v>
      </c>
      <c r="B24" s="38"/>
      <c r="C24" s="39"/>
      <c r="D24" s="96"/>
      <c r="E24" s="39"/>
      <c r="F24" s="71"/>
      <c r="G24" s="71"/>
      <c r="H24" s="39"/>
      <c r="I24" s="39"/>
      <c r="J24" s="39"/>
      <c r="K24" s="71"/>
      <c r="L24" s="39"/>
      <c r="M24" s="39"/>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0"/>
      <c r="AX24" s="71"/>
      <c r="AY24" s="71"/>
      <c r="AZ24" s="39"/>
      <c r="BA24" s="71"/>
      <c r="BB24" s="71"/>
      <c r="BC24" s="71"/>
      <c r="BD24" s="39"/>
      <c r="BE24" s="71"/>
      <c r="BF24" s="71"/>
      <c r="BG24" s="48"/>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c r="IT24" s="39"/>
      <c r="IU24" s="39"/>
      <c r="IV24" s="39"/>
      <c r="IW24" s="39"/>
    </row>
    <row r="25" customFormat="false" ht="12.95" hidden="false" customHeight="true" outlineLevel="0" collapsed="false">
      <c r="A25" s="37" t="n">
        <f aca="false">+'CCs # Master'!A30</f>
        <v>11</v>
      </c>
      <c r="B25" s="39" t="str">
        <f aca="false">+'CCs # Master'!B30</f>
        <v>Corporate Secretary</v>
      </c>
      <c r="C25" s="39" t="str">
        <f aca="false">+'CCs # Master'!C30</f>
        <v>Menchaca, P</v>
      </c>
      <c r="D25" s="96" t="n">
        <f aca="false">+'CCs # Master'!D30</f>
        <v>100030</v>
      </c>
      <c r="E25" s="39" t="n">
        <f aca="false">+'CCs # Master'!E30</f>
        <v>1697</v>
      </c>
      <c r="F25" s="39" t="n">
        <f aca="false">+'CCs # Master'!F30</f>
        <v>45</v>
      </c>
      <c r="G25" s="39" t="n">
        <f aca="false">+'CCs # Master'!G30</f>
        <v>6</v>
      </c>
      <c r="H25" s="39" t="n">
        <f aca="false">+'CCs # Master'!H30</f>
        <v>1760</v>
      </c>
      <c r="I25" s="39" t="n">
        <f aca="false">+'CCs # Master'!I30</f>
        <v>210</v>
      </c>
      <c r="J25" s="39" t="n">
        <f aca="false">+'CCs # Master'!J30</f>
        <v>900</v>
      </c>
      <c r="K25" s="39" t="n">
        <f aca="false">SUM(E25:J25)</f>
        <v>4618</v>
      </c>
      <c r="L25" s="39"/>
      <c r="M25" s="39" t="str">
        <f aca="false">+'CCs # Master'!M30</f>
        <v>Anticipated Resources/Company Numbers</v>
      </c>
      <c r="N25" s="39" t="n">
        <f aca="false">+'CCs # Master'!AW30</f>
        <v>3805</v>
      </c>
      <c r="O25" s="39" t="n">
        <v>0</v>
      </c>
      <c r="P25" s="39" t="n">
        <f aca="false">+'CCs # Master'!N30</f>
        <v>0</v>
      </c>
      <c r="Q25" s="39" t="n">
        <f aca="false">+'CCs # Master'!O30</f>
        <v>0</v>
      </c>
      <c r="R25" s="39" t="n">
        <f aca="false">+'CCs # Master'!P30</f>
        <v>0</v>
      </c>
      <c r="S25" s="39" t="n">
        <f aca="false">+'CCs # Master'!Q30</f>
        <v>0</v>
      </c>
      <c r="T25" s="39" t="n">
        <f aca="false">+'CCs # Master'!R30</f>
        <v>0</v>
      </c>
      <c r="U25" s="39" t="n">
        <f aca="false">+'CCs # Master'!S30</f>
        <v>17</v>
      </c>
      <c r="V25" s="39" t="n">
        <f aca="false">+'CCs # Master'!T30</f>
        <v>0</v>
      </c>
      <c r="W25" s="39" t="n">
        <f aca="false">+'CCs # Master'!U30</f>
        <v>0</v>
      </c>
      <c r="X25" s="39" t="n">
        <f aca="false">+'CCs # Master'!V30</f>
        <v>67</v>
      </c>
      <c r="Y25" s="39" t="n">
        <f aca="false">+'CCs # Master'!W30</f>
        <v>0</v>
      </c>
      <c r="Z25" s="39" t="n">
        <f aca="false">+'CCs # Master'!X30</f>
        <v>278</v>
      </c>
      <c r="AA25" s="39" t="n">
        <f aca="false">+'CCs # Master'!Y30</f>
        <v>0</v>
      </c>
      <c r="AB25" s="39" t="n">
        <f aca="false">+'CCs # Master'!Z30</f>
        <v>0</v>
      </c>
      <c r="AC25" s="39" t="n">
        <f aca="false">+'CCs # Master'!AA30</f>
        <v>0</v>
      </c>
      <c r="AD25" s="39" t="n">
        <f aca="false">+'CCs # Master'!AB30</f>
        <v>0</v>
      </c>
      <c r="AE25" s="39" t="n">
        <f aca="false">+'CCs # Master'!AC30</f>
        <v>0</v>
      </c>
      <c r="AF25" s="39" t="n">
        <f aca="false">+'CCs # Master'!AD30</f>
        <v>73</v>
      </c>
      <c r="AG25" s="39" t="n">
        <f aca="false">+'CCs # Master'!AE30</f>
        <v>67</v>
      </c>
      <c r="AH25" s="39" t="n">
        <f aca="false">+'CCs # Master'!AF30</f>
        <v>0</v>
      </c>
      <c r="AI25" s="39" t="n">
        <f aca="false">+'CCs # Master'!AG30</f>
        <v>67</v>
      </c>
      <c r="AJ25" s="39" t="n">
        <f aca="false">+'CCs # Master'!AH30</f>
        <v>67</v>
      </c>
      <c r="AK25" s="39" t="n">
        <f aca="false">+'CCs # Master'!AI30</f>
        <v>67</v>
      </c>
      <c r="AL25" s="39" t="n">
        <f aca="false">+'CCs # Master'!AJ30</f>
        <v>0</v>
      </c>
      <c r="AM25" s="39" t="n">
        <f aca="false">+'CCs # Master'!AK30</f>
        <v>0</v>
      </c>
      <c r="AN25" s="39" t="n">
        <f aca="false">+'CCs # Master'!AL30</f>
        <v>30</v>
      </c>
      <c r="AO25" s="39" t="n">
        <f aca="false">+'CCs # Master'!AM30</f>
        <v>0</v>
      </c>
      <c r="AP25" s="39" t="n">
        <f aca="false">+'CCs # Master'!AN30</f>
        <v>0</v>
      </c>
      <c r="AQ25" s="39" t="n">
        <f aca="false">+'CCs # Master'!AO30</f>
        <v>37</v>
      </c>
      <c r="AR25" s="39" t="n">
        <f aca="false">+'CCs # Master'!AP30</f>
        <v>26</v>
      </c>
      <c r="AS25" s="39" t="n">
        <f aca="false">+'CCs # Master'!AQ30</f>
        <v>0</v>
      </c>
      <c r="AT25" s="39" t="n">
        <f aca="false">+'CCs # Master'!AR30</f>
        <v>17</v>
      </c>
      <c r="AU25" s="39" t="n">
        <f aca="false">+'CCs # Master'!AS30</f>
        <v>0</v>
      </c>
      <c r="AV25" s="39" t="n">
        <f aca="false">+'CCs # Master'!AT30</f>
        <v>0</v>
      </c>
      <c r="AW25" s="0"/>
      <c r="AX25" s="71" t="n">
        <f aca="false">SUM(N25:AW25)</f>
        <v>4618</v>
      </c>
      <c r="AY25" s="71" t="n">
        <f aca="false">+K25-AX25</f>
        <v>0</v>
      </c>
      <c r="AZ25" s="39"/>
      <c r="BA25" s="39" t="n">
        <f aca="false">+P25+Q25+T25+U25+V25+W25+X25+Y25</f>
        <v>84</v>
      </c>
      <c r="BB25" s="39" t="n">
        <f aca="false">N25</f>
        <v>3805</v>
      </c>
      <c r="BC25" s="39" t="n">
        <f aca="false">SUM(P25:AW25)</f>
        <v>813</v>
      </c>
      <c r="BD25" s="39"/>
      <c r="BE25" s="39" t="n">
        <f aca="false">SUM(BB25:BC25)</f>
        <v>4618</v>
      </c>
      <c r="BF25" s="39"/>
      <c r="BG25" s="48" t="n">
        <f aca="false">SUM(N25:AW25)</f>
        <v>4618</v>
      </c>
      <c r="BH25" s="39" t="n">
        <f aca="false">BE25-BG25</f>
        <v>0</v>
      </c>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c r="IV25" s="39"/>
      <c r="IW25" s="39"/>
    </row>
    <row r="26" customFormat="false" ht="12.95" hidden="false" customHeight="true" outlineLevel="0" collapsed="false">
      <c r="A26" s="37" t="n">
        <f aca="false">+'CCs # Master'!A31</f>
        <v>11</v>
      </c>
      <c r="B26" s="39" t="str">
        <f aca="false">+'CCs # Master'!B31</f>
        <v>MLP Services</v>
      </c>
      <c r="C26" s="39" t="str">
        <f aca="false">+'CCs # Master'!C31</f>
        <v>Davis, Hardie</v>
      </c>
      <c r="D26" s="96" t="n">
        <f aca="false">+'CCs # Master'!D31</f>
        <v>100031</v>
      </c>
      <c r="E26" s="39" t="n">
        <f aca="false">+'CCs # Master'!E31</f>
        <v>355</v>
      </c>
      <c r="F26" s="39" t="n">
        <f aca="false">+'CCs # Master'!F31</f>
        <v>20</v>
      </c>
      <c r="G26" s="39" t="n">
        <f aca="false">+'CCs # Master'!G31</f>
        <v>6</v>
      </c>
      <c r="H26" s="39" t="n">
        <f aca="false">+'CCs # Master'!H31</f>
        <v>106</v>
      </c>
      <c r="I26" s="39" t="n">
        <f aca="false">+'CCs # Master'!I31</f>
        <v>55</v>
      </c>
      <c r="J26" s="39" t="n">
        <f aca="false">+'CCs # Master'!J31</f>
        <v>0</v>
      </c>
      <c r="K26" s="39" t="n">
        <f aca="false">SUM(E26:J26)</f>
        <v>542</v>
      </c>
      <c r="L26" s="39"/>
      <c r="M26" s="39" t="str">
        <f aca="false">+'CCs # Master'!M31</f>
        <v>MMF/MLP Direct</v>
      </c>
      <c r="N26" s="39" t="n">
        <f aca="false">+'CCs # Master'!AW31</f>
        <v>216</v>
      </c>
      <c r="O26" s="39" t="n">
        <v>0</v>
      </c>
      <c r="P26" s="39" t="n">
        <f aca="false">+'CCs # Master'!N31</f>
        <v>0</v>
      </c>
      <c r="Q26" s="39" t="n">
        <f aca="false">+'CCs # Master'!O31</f>
        <v>0</v>
      </c>
      <c r="R26" s="39" t="n">
        <f aca="false">+'CCs # Master'!P31</f>
        <v>0</v>
      </c>
      <c r="S26" s="39" t="n">
        <f aca="false">+'CCs # Master'!Q31</f>
        <v>0</v>
      </c>
      <c r="T26" s="39" t="n">
        <f aca="false">+'CCs # Master'!R31</f>
        <v>0</v>
      </c>
      <c r="U26" s="39" t="n">
        <f aca="false">+'CCs # Master'!S31</f>
        <v>136</v>
      </c>
      <c r="V26" s="39" t="n">
        <f aca="false">+'CCs # Master'!T31</f>
        <v>190</v>
      </c>
      <c r="W26" s="39" t="n">
        <f aca="false">+'CCs # Master'!U31</f>
        <v>0</v>
      </c>
      <c r="X26" s="39" t="n">
        <f aca="false">+'CCs # Master'!V31</f>
        <v>0</v>
      </c>
      <c r="Y26" s="39" t="n">
        <f aca="false">+'CCs # Master'!W31</f>
        <v>0</v>
      </c>
      <c r="Z26" s="39" t="n">
        <f aca="false">+'CCs # Master'!X31</f>
        <v>0</v>
      </c>
      <c r="AA26" s="39" t="n">
        <f aca="false">+'CCs # Master'!Y31</f>
        <v>0</v>
      </c>
      <c r="AB26" s="39" t="n">
        <f aca="false">+'CCs # Master'!Z31</f>
        <v>0</v>
      </c>
      <c r="AC26" s="39" t="n">
        <f aca="false">+'CCs # Master'!AA31</f>
        <v>0</v>
      </c>
      <c r="AD26" s="39" t="n">
        <f aca="false">+'CCs # Master'!AB31</f>
        <v>0</v>
      </c>
      <c r="AE26" s="39" t="n">
        <f aca="false">+'CCs # Master'!AC31</f>
        <v>0</v>
      </c>
      <c r="AF26" s="39" t="n">
        <f aca="false">+'CCs # Master'!AD31</f>
        <v>0</v>
      </c>
      <c r="AG26" s="39" t="n">
        <f aca="false">+'CCs # Master'!AE31</f>
        <v>0</v>
      </c>
      <c r="AH26" s="39" t="n">
        <f aca="false">+'CCs # Master'!AF31</f>
        <v>0</v>
      </c>
      <c r="AI26" s="39" t="n">
        <f aca="false">+'CCs # Master'!AG31</f>
        <v>0</v>
      </c>
      <c r="AJ26" s="39" t="n">
        <f aca="false">+'CCs # Master'!AH31</f>
        <v>0</v>
      </c>
      <c r="AK26" s="39" t="n">
        <f aca="false">+'CCs # Master'!AI31</f>
        <v>0</v>
      </c>
      <c r="AL26" s="39" t="n">
        <f aca="false">+'CCs # Master'!AJ31</f>
        <v>0</v>
      </c>
      <c r="AM26" s="39" t="n">
        <f aca="false">+'CCs # Master'!AK31</f>
        <v>0</v>
      </c>
      <c r="AN26" s="39" t="n">
        <f aca="false">+'CCs # Master'!AL31</f>
        <v>0</v>
      </c>
      <c r="AO26" s="39" t="n">
        <f aca="false">+'CCs # Master'!AM31</f>
        <v>0</v>
      </c>
      <c r="AP26" s="39" t="n">
        <f aca="false">+'CCs # Master'!AN31</f>
        <v>0</v>
      </c>
      <c r="AQ26" s="39" t="n">
        <f aca="false">+'CCs # Master'!AO31</f>
        <v>0</v>
      </c>
      <c r="AR26" s="39" t="n">
        <f aca="false">+'CCs # Master'!AP31</f>
        <v>0</v>
      </c>
      <c r="AS26" s="39" t="n">
        <f aca="false">+'CCs # Master'!AQ31</f>
        <v>0</v>
      </c>
      <c r="AT26" s="39" t="n">
        <f aca="false">+'CCs # Master'!AR31</f>
        <v>0</v>
      </c>
      <c r="AU26" s="39" t="n">
        <f aca="false">+'CCs # Master'!AS31</f>
        <v>0</v>
      </c>
      <c r="AV26" s="39" t="n">
        <f aca="false">+'CCs # Master'!AT31</f>
        <v>0</v>
      </c>
      <c r="AW26" s="0"/>
      <c r="AX26" s="71" t="n">
        <f aca="false">SUM(N26:AW26)</f>
        <v>542</v>
      </c>
      <c r="AY26" s="71" t="n">
        <f aca="false">+K26-AX26</f>
        <v>0</v>
      </c>
      <c r="AZ26" s="39"/>
      <c r="BA26" s="39" t="n">
        <f aca="false">+P26+Q26+T26+U26+V26+W26+X26+Y26</f>
        <v>326</v>
      </c>
      <c r="BB26" s="39" t="n">
        <f aca="false">N26</f>
        <v>216</v>
      </c>
      <c r="BC26" s="39" t="n">
        <f aca="false">SUM(P26:AW26)</f>
        <v>326</v>
      </c>
      <c r="BD26" s="39"/>
      <c r="BE26" s="39" t="n">
        <f aca="false">SUM(BB26:BC26)</f>
        <v>542</v>
      </c>
      <c r="BF26" s="39"/>
      <c r="BG26" s="48" t="n">
        <f aca="false">SUM(N26:AW26)</f>
        <v>542</v>
      </c>
      <c r="BH26" s="39" t="n">
        <f aca="false">BE26-BG26</f>
        <v>0</v>
      </c>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c r="IV26" s="39"/>
      <c r="IW26" s="39"/>
    </row>
    <row r="27" customFormat="false" ht="12.95" hidden="false" customHeight="true" outlineLevel="0" collapsed="false">
      <c r="A27" s="37" t="str">
        <f aca="false">+'CCs # Master'!A36</f>
        <v>0011</v>
      </c>
      <c r="B27" s="39" t="str">
        <f aca="false">+'CCs # Master'!B36</f>
        <v>Legal - Litigations</v>
      </c>
      <c r="C27" s="39" t="str">
        <f aca="false">+'CCs # Master'!C36</f>
        <v>Cheek, Chuck</v>
      </c>
      <c r="D27" s="96" t="n">
        <f aca="false">+'CCs # Master'!D36</f>
        <v>100039</v>
      </c>
      <c r="E27" s="39" t="n">
        <f aca="false">+'CCs # Master'!E36</f>
        <v>2459</v>
      </c>
      <c r="F27" s="39" t="n">
        <f aca="false">+'CCs # Master'!F36</f>
        <v>100</v>
      </c>
      <c r="G27" s="39" t="n">
        <f aca="false">+'CCs # Master'!G36</f>
        <v>24</v>
      </c>
      <c r="H27" s="39" t="n">
        <f aca="false">+'CCs # Master'!H36</f>
        <v>1099</v>
      </c>
      <c r="I27" s="39" t="n">
        <f aca="false">+'CCs # Master'!I36</f>
        <v>405</v>
      </c>
      <c r="J27" s="39" t="n">
        <f aca="false">+'CCs # Master'!J36</f>
        <v>43</v>
      </c>
      <c r="K27" s="39" t="n">
        <f aca="false">SUM(E27:J27)</f>
        <v>4130</v>
      </c>
      <c r="L27" s="39"/>
      <c r="M27" s="39" t="str">
        <f aca="false">+'CCs # Master'!M36</f>
        <v>Usage</v>
      </c>
      <c r="N27" s="39" t="n">
        <f aca="false">+'CCs # Master'!AW36</f>
        <v>824</v>
      </c>
      <c r="O27" s="39" t="n">
        <v>0</v>
      </c>
      <c r="P27" s="39" t="n">
        <f aca="false">+'CCs # Master'!N36</f>
        <v>0</v>
      </c>
      <c r="Q27" s="39" t="n">
        <f aca="false">+'CCs # Master'!O36</f>
        <v>0</v>
      </c>
      <c r="R27" s="39" t="n">
        <f aca="false">+'CCs # Master'!P36</f>
        <v>0</v>
      </c>
      <c r="S27" s="39" t="n">
        <f aca="false">+'CCs # Master'!Q36</f>
        <v>0</v>
      </c>
      <c r="T27" s="39" t="n">
        <f aca="false">+'CCs # Master'!R36</f>
        <v>0</v>
      </c>
      <c r="U27" s="39" t="n">
        <f aca="false">+'CCs # Master'!S36</f>
        <v>25</v>
      </c>
      <c r="V27" s="39" t="n">
        <f aca="false">+'CCs # Master'!T36</f>
        <v>150</v>
      </c>
      <c r="W27" s="39" t="n">
        <f aca="false">+'CCs # Master'!U36</f>
        <v>0</v>
      </c>
      <c r="X27" s="39" t="n">
        <f aca="false">+'CCs # Master'!V36</f>
        <v>900</v>
      </c>
      <c r="Y27" s="39" t="n">
        <f aca="false">+'CCs # Master'!W36</f>
        <v>0</v>
      </c>
      <c r="Z27" s="39" t="n">
        <f aca="false">+'CCs # Master'!X36</f>
        <v>458</v>
      </c>
      <c r="AA27" s="39" t="n">
        <f aca="false">+'CCs # Master'!Y36</f>
        <v>0</v>
      </c>
      <c r="AB27" s="39" t="n">
        <f aca="false">+'CCs # Master'!Z36</f>
        <v>0</v>
      </c>
      <c r="AC27" s="39" t="n">
        <f aca="false">+'CCs # Master'!AA36</f>
        <v>0</v>
      </c>
      <c r="AD27" s="39" t="n">
        <f aca="false">+'CCs # Master'!AB36</f>
        <v>0</v>
      </c>
      <c r="AE27" s="39" t="n">
        <f aca="false">+'CCs # Master'!AC36</f>
        <v>0</v>
      </c>
      <c r="AF27" s="39" t="n">
        <f aca="false">+'CCs # Master'!AD36</f>
        <v>30</v>
      </c>
      <c r="AG27" s="39" t="n">
        <f aca="false">+'CCs # Master'!AE36</f>
        <v>250</v>
      </c>
      <c r="AH27" s="39" t="n">
        <f aca="false">+'CCs # Master'!AF36</f>
        <v>1</v>
      </c>
      <c r="AI27" s="39" t="n">
        <f aca="false">+'CCs # Master'!AG36</f>
        <v>180</v>
      </c>
      <c r="AJ27" s="39" t="n">
        <f aca="false">+'CCs # Master'!AH36</f>
        <v>0</v>
      </c>
      <c r="AK27" s="39" t="n">
        <f aca="false">+'CCs # Master'!AI36</f>
        <v>440</v>
      </c>
      <c r="AL27" s="39" t="n">
        <f aca="false">+'CCs # Master'!AJ36</f>
        <v>0</v>
      </c>
      <c r="AM27" s="39" t="n">
        <f aca="false">+'CCs # Master'!AK36</f>
        <v>0</v>
      </c>
      <c r="AN27" s="39" t="n">
        <f aca="false">+'CCs # Master'!AL36</f>
        <v>257</v>
      </c>
      <c r="AO27" s="39" t="n">
        <f aca="false">+'CCs # Master'!AM36</f>
        <v>0</v>
      </c>
      <c r="AP27" s="39" t="n">
        <f aca="false">+'CCs # Master'!AN36</f>
        <v>0</v>
      </c>
      <c r="AQ27" s="39" t="n">
        <f aca="false">+'CCs # Master'!AO36</f>
        <v>513</v>
      </c>
      <c r="AR27" s="39" t="n">
        <f aca="false">+'CCs # Master'!AP36</f>
        <v>42</v>
      </c>
      <c r="AS27" s="39" t="n">
        <f aca="false">+'CCs # Master'!AQ36</f>
        <v>30</v>
      </c>
      <c r="AT27" s="39" t="n">
        <f aca="false">+'CCs # Master'!AR36</f>
        <v>5</v>
      </c>
      <c r="AU27" s="39" t="n">
        <f aca="false">+'CCs # Master'!AS36</f>
        <v>25</v>
      </c>
      <c r="AV27" s="39" t="n">
        <f aca="false">+'CCs # Master'!AT36</f>
        <v>0</v>
      </c>
      <c r="AW27" s="0"/>
      <c r="AX27" s="71" t="n">
        <f aca="false">SUM(N27:AW27)</f>
        <v>4130</v>
      </c>
      <c r="AY27" s="71" t="n">
        <f aca="false">+K27-AX27</f>
        <v>0</v>
      </c>
      <c r="AZ27" s="39"/>
      <c r="BA27" s="39" t="n">
        <f aca="false">+P27+Q27+T27+U27+V27+W27+X27+Y27</f>
        <v>1075</v>
      </c>
      <c r="BB27" s="39" t="n">
        <f aca="false">N27</f>
        <v>824</v>
      </c>
      <c r="BC27" s="39" t="n">
        <f aca="false">SUM(P27:AW27)</f>
        <v>3306</v>
      </c>
      <c r="BD27" s="39"/>
      <c r="BE27" s="39" t="n">
        <f aca="false">SUM(BB27:BC27)</f>
        <v>4130</v>
      </c>
      <c r="BF27" s="39"/>
      <c r="BG27" s="48" t="n">
        <f aca="false">SUM(N27:AW27)</f>
        <v>4130</v>
      </c>
      <c r="BH27" s="39" t="n">
        <f aca="false">BE27-BG27</f>
        <v>0</v>
      </c>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c r="IV27" s="39"/>
      <c r="IW27" s="39"/>
    </row>
    <row r="28" customFormat="false" ht="12.95" hidden="false" customHeight="true" outlineLevel="0" collapsed="false">
      <c r="A28" s="37" t="n">
        <f aca="false">+'CCs # Master'!A37</f>
        <v>11</v>
      </c>
      <c r="B28" s="39" t="str">
        <f aca="false">+'CCs # Master'!B37</f>
        <v>Corporate Legal</v>
      </c>
      <c r="C28" s="39" t="str">
        <f aca="false">+'CCs # Master'!C37</f>
        <v>Derrick, Jim</v>
      </c>
      <c r="D28" s="96" t="n">
        <f aca="false">+'CCs # Master'!D37</f>
        <v>100040</v>
      </c>
      <c r="E28" s="39" t="n">
        <f aca="false">+'CCs # Master'!E37</f>
        <v>3668</v>
      </c>
      <c r="F28" s="39" t="n">
        <f aca="false">+'CCs # Master'!F37</f>
        <v>517</v>
      </c>
      <c r="G28" s="39" t="n">
        <f aca="false">+'CCs # Master'!G37</f>
        <v>42</v>
      </c>
      <c r="H28" s="39" t="n">
        <f aca="false">+'CCs # Master'!H37</f>
        <v>751</v>
      </c>
      <c r="I28" s="39" t="n">
        <f aca="false">+'CCs # Master'!I37</f>
        <v>436</v>
      </c>
      <c r="J28" s="39" t="n">
        <f aca="false">+'CCs # Master'!J37</f>
        <v>56</v>
      </c>
      <c r="K28" s="39" t="n">
        <f aca="false">SUM(E28:J28)</f>
        <v>5470</v>
      </c>
      <c r="L28" s="39"/>
      <c r="M28" s="39" t="str">
        <f aca="false">+'CCs # Master'!M37</f>
        <v>Anticipated Resources</v>
      </c>
      <c r="N28" s="39" t="n">
        <f aca="false">+'CCs # Master'!AW37</f>
        <v>1368</v>
      </c>
      <c r="O28" s="39" t="n">
        <v>0</v>
      </c>
      <c r="P28" s="39" t="n">
        <f aca="false">+'CCs # Master'!N37</f>
        <v>0</v>
      </c>
      <c r="Q28" s="39" t="n">
        <f aca="false">+'CCs # Master'!O37</f>
        <v>0</v>
      </c>
      <c r="R28" s="39" t="n">
        <f aca="false">+'CCs # Master'!P37</f>
        <v>133</v>
      </c>
      <c r="S28" s="39" t="n">
        <f aca="false">+'CCs # Master'!Q37</f>
        <v>141</v>
      </c>
      <c r="T28" s="39" t="n">
        <f aca="false">+'CCs # Master'!R37</f>
        <v>0</v>
      </c>
      <c r="U28" s="39" t="n">
        <f aca="false">+'CCs # Master'!S37</f>
        <v>0</v>
      </c>
      <c r="V28" s="39" t="n">
        <f aca="false">+'CCs # Master'!T37</f>
        <v>0</v>
      </c>
      <c r="W28" s="39" t="n">
        <f aca="false">+'CCs # Master'!U37</f>
        <v>0</v>
      </c>
      <c r="X28" s="39" t="n">
        <f aca="false">+'CCs # Master'!V37</f>
        <v>0</v>
      </c>
      <c r="Y28" s="39" t="n">
        <f aca="false">+'CCs # Master'!W37</f>
        <v>0</v>
      </c>
      <c r="Z28" s="39" t="n">
        <f aca="false">+'CCs # Master'!X37</f>
        <v>990</v>
      </c>
      <c r="AA28" s="39" t="n">
        <f aca="false">+'CCs # Master'!Y37</f>
        <v>0</v>
      </c>
      <c r="AB28" s="39" t="n">
        <f aca="false">+'CCs # Master'!Z37</f>
        <v>0</v>
      </c>
      <c r="AC28" s="39" t="n">
        <f aca="false">+'CCs # Master'!AA37</f>
        <v>0</v>
      </c>
      <c r="AD28" s="39" t="n">
        <f aca="false">+'CCs # Master'!AB37</f>
        <v>274</v>
      </c>
      <c r="AE28" s="39" t="n">
        <f aca="false">+'CCs # Master'!AC37</f>
        <v>274</v>
      </c>
      <c r="AF28" s="39" t="n">
        <f aca="false">+'CCs # Master'!AD37</f>
        <v>546</v>
      </c>
      <c r="AG28" s="39" t="n">
        <f aca="false">+'CCs # Master'!AE37</f>
        <v>546</v>
      </c>
      <c r="AH28" s="39" t="n">
        <f aca="false">+'CCs # Master'!AF37</f>
        <v>0</v>
      </c>
      <c r="AI28" s="39" t="n">
        <f aca="false">+'CCs # Master'!AG37</f>
        <v>274</v>
      </c>
      <c r="AJ28" s="39" t="n">
        <f aca="false">+'CCs # Master'!AH37</f>
        <v>274</v>
      </c>
      <c r="AK28" s="39" t="n">
        <f aca="false">+'CCs # Master'!AI37</f>
        <v>274</v>
      </c>
      <c r="AL28" s="39" t="n">
        <f aca="false">+'CCs # Master'!AJ37</f>
        <v>274</v>
      </c>
      <c r="AM28" s="39" t="n">
        <f aca="false">+'CCs # Master'!AK37</f>
        <v>0</v>
      </c>
      <c r="AN28" s="39" t="n">
        <f aca="false">+'CCs # Master'!AL37</f>
        <v>0</v>
      </c>
      <c r="AO28" s="39" t="n">
        <f aca="false">+'CCs # Master'!AM37</f>
        <v>0</v>
      </c>
      <c r="AP28" s="39" t="n">
        <f aca="false">+'CCs # Master'!AN37</f>
        <v>0</v>
      </c>
      <c r="AQ28" s="39" t="n">
        <f aca="false">+'CCs # Master'!AO37</f>
        <v>0</v>
      </c>
      <c r="AR28" s="39" t="n">
        <f aca="false">+'CCs # Master'!AP37</f>
        <v>102</v>
      </c>
      <c r="AS28" s="39" t="n">
        <f aca="false">+'CCs # Master'!AQ37</f>
        <v>0</v>
      </c>
      <c r="AT28" s="39" t="n">
        <f aca="false">+'CCs # Master'!AR37</f>
        <v>0</v>
      </c>
      <c r="AU28" s="39" t="n">
        <f aca="false">+'CCs # Master'!AS37</f>
        <v>0</v>
      </c>
      <c r="AV28" s="39" t="n">
        <f aca="false">+'CCs # Master'!AT37</f>
        <v>0</v>
      </c>
      <c r="AW28" s="0"/>
      <c r="AX28" s="71" t="n">
        <f aca="false">SUM(N28:AW28)</f>
        <v>5470</v>
      </c>
      <c r="AY28" s="71" t="n">
        <f aca="false">+K28-AX28</f>
        <v>0</v>
      </c>
      <c r="AZ28" s="39"/>
      <c r="BA28" s="39" t="n">
        <f aca="false">+P28+Q28+T28+U28+V28+W28+X28+Y28</f>
        <v>0</v>
      </c>
      <c r="BB28" s="39" t="n">
        <f aca="false">N28</f>
        <v>1368</v>
      </c>
      <c r="BC28" s="39" t="n">
        <f aca="false">SUM(P28:AW28)</f>
        <v>4102</v>
      </c>
      <c r="BD28" s="39"/>
      <c r="BE28" s="39" t="n">
        <f aca="false">SUM(BB28:BC28)</f>
        <v>5470</v>
      </c>
      <c r="BF28" s="39"/>
      <c r="BG28" s="48" t="n">
        <f aca="false">SUM(N28:AW28)</f>
        <v>5470</v>
      </c>
      <c r="BH28" s="39" t="n">
        <f aca="false">BE28-BG28</f>
        <v>0</v>
      </c>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2.95" hidden="false" customHeight="true" outlineLevel="0" collapsed="false">
      <c r="A29" s="37" t="str">
        <f aca="false">+'CCs # Master'!A38</f>
        <v>0011</v>
      </c>
      <c r="B29" s="39" t="str">
        <f aca="false">+'CCs # Master'!B38</f>
        <v>Environmental Legal</v>
      </c>
      <c r="C29" s="39" t="str">
        <f aca="false">+'CCs # Master'!C38</f>
        <v>Derrick, Jim</v>
      </c>
      <c r="D29" s="96" t="n">
        <f aca="false">+'CCs # Master'!D38</f>
        <v>100041</v>
      </c>
      <c r="E29" s="39" t="n">
        <f aca="false">+'CCs # Master'!E38</f>
        <v>453</v>
      </c>
      <c r="F29" s="39" t="n">
        <f aca="false">+'CCs # Master'!F38</f>
        <v>25</v>
      </c>
      <c r="G29" s="39" t="n">
        <f aca="false">+'CCs # Master'!G38</f>
        <v>0</v>
      </c>
      <c r="H29" s="39" t="n">
        <f aca="false">+'CCs # Master'!H38</f>
        <v>15</v>
      </c>
      <c r="I29" s="39" t="n">
        <f aca="false">+'CCs # Master'!I38</f>
        <v>52</v>
      </c>
      <c r="J29" s="39" t="n">
        <f aca="false">+'CCs # Master'!J38</f>
        <v>0</v>
      </c>
      <c r="K29" s="39" t="n">
        <f aca="false">SUM(E29:J29)</f>
        <v>545</v>
      </c>
      <c r="L29" s="39"/>
      <c r="M29" s="39" t="str">
        <f aca="false">+'CCs # Master'!M38</f>
        <v>Anticipated Resources</v>
      </c>
      <c r="N29" s="39" t="n">
        <f aca="false">+'CCs # Master'!AW38</f>
        <v>3</v>
      </c>
      <c r="O29" s="39" t="n">
        <v>0</v>
      </c>
      <c r="P29" s="39" t="n">
        <f aca="false">+'CCs # Master'!N38</f>
        <v>27</v>
      </c>
      <c r="Q29" s="39" t="n">
        <f aca="false">+'CCs # Master'!O38</f>
        <v>81</v>
      </c>
      <c r="R29" s="39" t="n">
        <f aca="false">+'CCs # Master'!P38</f>
        <v>0</v>
      </c>
      <c r="S29" s="39" t="n">
        <f aca="false">+'CCs # Master'!Q38</f>
        <v>0</v>
      </c>
      <c r="T29" s="39" t="n">
        <f aca="false">+'CCs # Master'!R38</f>
        <v>0</v>
      </c>
      <c r="U29" s="39" t="n">
        <f aca="false">+'CCs # Master'!S38</f>
        <v>27</v>
      </c>
      <c r="V29" s="39" t="n">
        <f aca="false">+'CCs # Master'!T38</f>
        <v>27</v>
      </c>
      <c r="W29" s="39" t="n">
        <f aca="false">+'CCs # Master'!U38</f>
        <v>54</v>
      </c>
      <c r="X29" s="39" t="n">
        <f aca="false">+'CCs # Master'!V38</f>
        <v>0</v>
      </c>
      <c r="Y29" s="39" t="n">
        <f aca="false">+'CCs # Master'!W38</f>
        <v>0</v>
      </c>
      <c r="Z29" s="39" t="n">
        <f aca="false">+'CCs # Master'!X38</f>
        <v>76</v>
      </c>
      <c r="AA29" s="39" t="n">
        <f aca="false">+'CCs # Master'!Y38</f>
        <v>0</v>
      </c>
      <c r="AB29" s="39" t="n">
        <f aca="false">+'CCs # Master'!Z38</f>
        <v>0</v>
      </c>
      <c r="AC29" s="39" t="n">
        <f aca="false">+'CCs # Master'!AA38</f>
        <v>0</v>
      </c>
      <c r="AD29" s="39" t="n">
        <f aca="false">+'CCs # Master'!AB38</f>
        <v>0</v>
      </c>
      <c r="AE29" s="39" t="n">
        <f aca="false">+'CCs # Master'!AC38</f>
        <v>0</v>
      </c>
      <c r="AF29" s="39" t="n">
        <f aca="false">+'CCs # Master'!AD38</f>
        <v>81</v>
      </c>
      <c r="AG29" s="39" t="n">
        <f aca="false">+'CCs # Master'!AE38</f>
        <v>27</v>
      </c>
      <c r="AH29" s="39" t="n">
        <f aca="false">+'CCs # Master'!AF38</f>
        <v>0</v>
      </c>
      <c r="AI29" s="39" t="n">
        <f aca="false">+'CCs # Master'!AG38</f>
        <v>0</v>
      </c>
      <c r="AJ29" s="39" t="n">
        <f aca="false">+'CCs # Master'!AH38</f>
        <v>27</v>
      </c>
      <c r="AK29" s="39" t="n">
        <f aca="false">+'CCs # Master'!AI38</f>
        <v>54</v>
      </c>
      <c r="AL29" s="39" t="n">
        <f aca="false">+'CCs # Master'!AJ38</f>
        <v>27</v>
      </c>
      <c r="AM29" s="39" t="n">
        <f aca="false">+'CCs # Master'!AK38</f>
        <v>0</v>
      </c>
      <c r="AN29" s="39" t="n">
        <f aca="false">+'CCs # Master'!AL38</f>
        <v>12</v>
      </c>
      <c r="AO29" s="39" t="n">
        <f aca="false">+'CCs # Master'!AM38</f>
        <v>0</v>
      </c>
      <c r="AP29" s="39" t="n">
        <f aca="false">+'CCs # Master'!AN38</f>
        <v>0</v>
      </c>
      <c r="AQ29" s="39" t="n">
        <f aca="false">+'CCs # Master'!AO38</f>
        <v>15</v>
      </c>
      <c r="AR29" s="39" t="n">
        <f aca="false">+'CCs # Master'!AP38</f>
        <v>7</v>
      </c>
      <c r="AS29" s="39" t="n">
        <f aca="false">+'CCs # Master'!AQ38</f>
        <v>0</v>
      </c>
      <c r="AT29" s="39" t="n">
        <f aca="false">+'CCs # Master'!AR38</f>
        <v>0</v>
      </c>
      <c r="AU29" s="39" t="n">
        <f aca="false">+'CCs # Master'!AS38</f>
        <v>0</v>
      </c>
      <c r="AV29" s="39" t="n">
        <f aca="false">+'CCs # Master'!AT38</f>
        <v>0</v>
      </c>
      <c r="AW29" s="0"/>
      <c r="AX29" s="71" t="n">
        <f aca="false">SUM(N29:AW29)</f>
        <v>545</v>
      </c>
      <c r="AY29" s="71" t="n">
        <f aca="false">+K29-AX29</f>
        <v>0</v>
      </c>
      <c r="AZ29" s="39"/>
      <c r="BA29" s="39" t="n">
        <f aca="false">+P29+Q29+T29+U29+V29+W29+X29+Y29</f>
        <v>216</v>
      </c>
      <c r="BB29" s="39" t="n">
        <f aca="false">N29</f>
        <v>3</v>
      </c>
      <c r="BC29" s="39" t="n">
        <f aca="false">SUM(P29:AW29)</f>
        <v>542</v>
      </c>
      <c r="BD29" s="39"/>
      <c r="BE29" s="39" t="n">
        <f aca="false">SUM(BB29:BC29)</f>
        <v>545</v>
      </c>
      <c r="BF29" s="39"/>
      <c r="BG29" s="48" t="n">
        <f aca="false">SUM(N29:AW29)</f>
        <v>545</v>
      </c>
      <c r="BH29" s="39" t="n">
        <f aca="false">BE29-BG29</f>
        <v>0</v>
      </c>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c r="IW29" s="39"/>
    </row>
    <row r="30" customFormat="false" ht="12.95" hidden="false" customHeight="true" outlineLevel="0" collapsed="false">
      <c r="A30" s="37" t="str">
        <f aca="false">+'CCs # Master'!A97</f>
        <v>0011</v>
      </c>
      <c r="B30" s="39" t="str">
        <f aca="false">+'CCs # Master'!B97</f>
        <v>Legal Library</v>
      </c>
      <c r="C30" s="39" t="str">
        <f aca="false">+'CCs # Master'!C97</f>
        <v>Hu, Sylvia</v>
      </c>
      <c r="D30" s="96" t="n">
        <f aca="false">+'CCs # Master'!D97</f>
        <v>100139</v>
      </c>
      <c r="E30" s="39" t="n">
        <f aca="false">+'CCs # Master'!E97</f>
        <v>176</v>
      </c>
      <c r="F30" s="39" t="n">
        <f aca="false">+'CCs # Master'!F97</f>
        <v>8</v>
      </c>
      <c r="G30" s="39" t="n">
        <f aca="false">+'CCs # Master'!G97</f>
        <v>26</v>
      </c>
      <c r="H30" s="39" t="n">
        <f aca="false">+'CCs # Master'!H97</f>
        <v>53</v>
      </c>
      <c r="I30" s="39" t="n">
        <f aca="false">+'CCs # Master'!I97</f>
        <v>218</v>
      </c>
      <c r="J30" s="39" t="n">
        <f aca="false">+'CCs # Master'!J97</f>
        <v>234</v>
      </c>
      <c r="K30" s="39" t="n">
        <f aca="false">SUM(E30:J30)</f>
        <v>715</v>
      </c>
      <c r="L30" s="39"/>
      <c r="M30" s="39" t="str">
        <f aca="false">+'CCs # Master'!M97</f>
        <v>% DT Attorneys</v>
      </c>
      <c r="N30" s="39" t="n">
        <f aca="false">+'CCs # Master'!AW97</f>
        <v>129</v>
      </c>
      <c r="O30" s="39" t="n">
        <v>0</v>
      </c>
      <c r="P30" s="39" t="n">
        <f aca="false">+'CCs # Master'!N97</f>
        <v>0</v>
      </c>
      <c r="Q30" s="39" t="n">
        <f aca="false">+'CCs # Master'!O97</f>
        <v>0</v>
      </c>
      <c r="R30" s="39" t="n">
        <f aca="false">+'CCs # Master'!P97</f>
        <v>14</v>
      </c>
      <c r="S30" s="39" t="n">
        <f aca="false">+'CCs # Master'!Q97</f>
        <v>0</v>
      </c>
      <c r="T30" s="39" t="n">
        <f aca="false">+'CCs # Master'!R97</f>
        <v>0</v>
      </c>
      <c r="U30" s="39" t="n">
        <f aca="false">+'CCs # Master'!S97</f>
        <v>0</v>
      </c>
      <c r="V30" s="39" t="n">
        <f aca="false">+'CCs # Master'!T97</f>
        <v>14</v>
      </c>
      <c r="W30" s="39" t="n">
        <f aca="false">+'CCs # Master'!U97</f>
        <v>14</v>
      </c>
      <c r="X30" s="39" t="n">
        <f aca="false">+'CCs # Master'!V97</f>
        <v>57</v>
      </c>
      <c r="Y30" s="39" t="n">
        <f aca="false">+'CCs # Master'!W97</f>
        <v>0</v>
      </c>
      <c r="Z30" s="39" t="n">
        <f aca="false">+'CCs # Master'!X97</f>
        <v>217</v>
      </c>
      <c r="AA30" s="39" t="n">
        <f aca="false">+'CCs # Master'!Y97</f>
        <v>0</v>
      </c>
      <c r="AB30" s="39" t="n">
        <f aca="false">+'CCs # Master'!Z97</f>
        <v>0</v>
      </c>
      <c r="AC30" s="39" t="n">
        <f aca="false">+'CCs # Master'!AA97</f>
        <v>0</v>
      </c>
      <c r="AD30" s="39" t="n">
        <f aca="false">+'CCs # Master'!AB97</f>
        <v>0</v>
      </c>
      <c r="AE30" s="39" t="n">
        <f aca="false">+'CCs # Master'!AC97</f>
        <v>29</v>
      </c>
      <c r="AF30" s="39" t="n">
        <f aca="false">+'CCs # Master'!AD97</f>
        <v>65</v>
      </c>
      <c r="AG30" s="39" t="n">
        <f aca="false">+'CCs # Master'!AE97</f>
        <v>36</v>
      </c>
      <c r="AH30" s="39" t="n">
        <f aca="false">+'CCs # Master'!AF97</f>
        <v>0</v>
      </c>
      <c r="AI30" s="39" t="n">
        <f aca="false">+'CCs # Master'!AG97</f>
        <v>14</v>
      </c>
      <c r="AJ30" s="39" t="n">
        <f aca="false">+'CCs # Master'!AH97</f>
        <v>29</v>
      </c>
      <c r="AK30" s="39" t="n">
        <f aca="false">+'CCs # Master'!AI97</f>
        <v>21</v>
      </c>
      <c r="AL30" s="39" t="n">
        <f aca="false">+'CCs # Master'!AJ97</f>
        <v>14</v>
      </c>
      <c r="AM30" s="39" t="n">
        <f aca="false">+'CCs # Master'!AK97</f>
        <v>21</v>
      </c>
      <c r="AN30" s="39" t="n">
        <f aca="false">+'CCs # Master'!AL97</f>
        <v>9</v>
      </c>
      <c r="AO30" s="39" t="n">
        <f aca="false">+'CCs # Master'!AM97</f>
        <v>0</v>
      </c>
      <c r="AP30" s="39" t="n">
        <f aca="false">+'CCs # Master'!AN97</f>
        <v>0</v>
      </c>
      <c r="AQ30" s="39" t="n">
        <f aca="false">+'CCs # Master'!AO97</f>
        <v>12</v>
      </c>
      <c r="AR30" s="39" t="n">
        <f aca="false">+'CCs # Master'!AP97</f>
        <v>20</v>
      </c>
      <c r="AS30" s="39" t="n">
        <f aca="false">+'CCs # Master'!AQ97</f>
        <v>0</v>
      </c>
      <c r="AT30" s="39" t="n">
        <f aca="false">+'CCs # Master'!AR97</f>
        <v>0</v>
      </c>
      <c r="AU30" s="39" t="n">
        <f aca="false">+'CCs # Master'!AS97</f>
        <v>0</v>
      </c>
      <c r="AV30" s="39" t="n">
        <f aca="false">+'CCs # Master'!AT97</f>
        <v>0</v>
      </c>
      <c r="AW30" s="0"/>
      <c r="AX30" s="71" t="n">
        <f aca="false">SUM(N30:AW30)</f>
        <v>715</v>
      </c>
      <c r="AY30" s="71" t="n">
        <f aca="false">+K30-AX30</f>
        <v>0</v>
      </c>
      <c r="AZ30" s="39"/>
      <c r="BA30" s="39" t="n">
        <f aca="false">+P30+Q30+T30+U30+V30+W30+X30+Y30</f>
        <v>85</v>
      </c>
      <c r="BB30" s="39" t="n">
        <f aca="false">N30</f>
        <v>129</v>
      </c>
      <c r="BC30" s="39" t="n">
        <f aca="false">SUM(P30:AW30)</f>
        <v>586</v>
      </c>
      <c r="BD30" s="39"/>
      <c r="BE30" s="39" t="n">
        <f aca="false">SUM(BB30:BC30)</f>
        <v>715</v>
      </c>
      <c r="BF30" s="39"/>
      <c r="BG30" s="48" t="n">
        <f aca="false">SUM(N30:AW30)</f>
        <v>715</v>
      </c>
      <c r="BH30" s="39" t="n">
        <f aca="false">BE30-BG30</f>
        <v>0</v>
      </c>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c r="IW30" s="39"/>
    </row>
    <row r="31" customFormat="false" ht="12.95" hidden="false" customHeight="true" outlineLevel="0" collapsed="false">
      <c r="A31" s="37" t="n">
        <f aca="false">+'CCs # Master'!A98</f>
        <v>11</v>
      </c>
      <c r="B31" s="39" t="str">
        <f aca="false">+'CCs # Master'!B98</f>
        <v>Executive Board Meeting Exp</v>
      </c>
      <c r="C31" s="39" t="str">
        <f aca="false">+'CCs # Master'!C98</f>
        <v>Menchaca, P</v>
      </c>
      <c r="D31" s="96" t="n">
        <f aca="false">+'CCs # Master'!D98</f>
        <v>100140</v>
      </c>
      <c r="E31" s="39" t="n">
        <f aca="false">+'CCs # Master'!E98</f>
        <v>0</v>
      </c>
      <c r="F31" s="39" t="n">
        <f aca="false">+'CCs # Master'!F98</f>
        <v>35</v>
      </c>
      <c r="G31" s="39" t="n">
        <f aca="false">+'CCs # Master'!G98</f>
        <v>0</v>
      </c>
      <c r="H31" s="39" t="n">
        <f aca="false">+'CCs # Master'!H98</f>
        <v>2300</v>
      </c>
      <c r="I31" s="39" t="n">
        <f aca="false">+'CCs # Master'!I98</f>
        <v>10</v>
      </c>
      <c r="J31" s="39" t="n">
        <f aca="false">+'CCs # Master'!J98</f>
        <v>0</v>
      </c>
      <c r="K31" s="39" t="n">
        <f aca="false">SUM(E31:J31)</f>
        <v>2345</v>
      </c>
      <c r="L31" s="39"/>
      <c r="M31" s="39" t="str">
        <f aca="false">+'CCs # Master'!M98</f>
        <v>MMF</v>
      </c>
      <c r="N31" s="39" t="n">
        <f aca="false">+'CCs # Master'!AW98</f>
        <v>2345</v>
      </c>
      <c r="O31" s="39" t="n">
        <v>0</v>
      </c>
      <c r="P31" s="39" t="n">
        <f aca="false">+'CCs # Master'!N98</f>
        <v>0</v>
      </c>
      <c r="Q31" s="39" t="n">
        <f aca="false">+'CCs # Master'!O98</f>
        <v>0</v>
      </c>
      <c r="R31" s="39" t="n">
        <f aca="false">+'CCs # Master'!P98</f>
        <v>0</v>
      </c>
      <c r="S31" s="39" t="n">
        <f aca="false">+'CCs # Master'!Q98</f>
        <v>0</v>
      </c>
      <c r="T31" s="39" t="n">
        <f aca="false">+'CCs # Master'!R98</f>
        <v>0</v>
      </c>
      <c r="U31" s="39" t="n">
        <f aca="false">+'CCs # Master'!S98</f>
        <v>0</v>
      </c>
      <c r="V31" s="39" t="n">
        <f aca="false">+'CCs # Master'!T98</f>
        <v>0</v>
      </c>
      <c r="W31" s="39" t="n">
        <f aca="false">+'CCs # Master'!U98</f>
        <v>0</v>
      </c>
      <c r="X31" s="39" t="n">
        <f aca="false">+'CCs # Master'!V98</f>
        <v>0</v>
      </c>
      <c r="Y31" s="39" t="n">
        <f aca="false">+'CCs # Master'!W98</f>
        <v>0</v>
      </c>
      <c r="Z31" s="39" t="n">
        <f aca="false">+'CCs # Master'!X98</f>
        <v>0</v>
      </c>
      <c r="AA31" s="39" t="n">
        <f aca="false">+'CCs # Master'!Y98</f>
        <v>0</v>
      </c>
      <c r="AB31" s="39" t="n">
        <f aca="false">+'CCs # Master'!Z98</f>
        <v>0</v>
      </c>
      <c r="AC31" s="39" t="n">
        <f aca="false">+'CCs # Master'!AA98</f>
        <v>0</v>
      </c>
      <c r="AD31" s="39" t="n">
        <f aca="false">+'CCs # Master'!AB98</f>
        <v>0</v>
      </c>
      <c r="AE31" s="39" t="n">
        <f aca="false">+'CCs # Master'!AC98</f>
        <v>0</v>
      </c>
      <c r="AF31" s="39" t="n">
        <f aca="false">+'CCs # Master'!AD98</f>
        <v>0</v>
      </c>
      <c r="AG31" s="39" t="n">
        <f aca="false">+'CCs # Master'!AE98</f>
        <v>0</v>
      </c>
      <c r="AH31" s="39" t="n">
        <f aca="false">+'CCs # Master'!AF98</f>
        <v>0</v>
      </c>
      <c r="AI31" s="39" t="n">
        <f aca="false">+'CCs # Master'!AG98</f>
        <v>0</v>
      </c>
      <c r="AJ31" s="39" t="n">
        <f aca="false">+'CCs # Master'!AH98</f>
        <v>0</v>
      </c>
      <c r="AK31" s="39" t="n">
        <f aca="false">+'CCs # Master'!AI98</f>
        <v>0</v>
      </c>
      <c r="AL31" s="39" t="n">
        <f aca="false">+'CCs # Master'!AJ98</f>
        <v>0</v>
      </c>
      <c r="AM31" s="39" t="n">
        <f aca="false">+'CCs # Master'!AK98</f>
        <v>0</v>
      </c>
      <c r="AN31" s="39" t="n">
        <f aca="false">+'CCs # Master'!AL98</f>
        <v>0</v>
      </c>
      <c r="AO31" s="39" t="n">
        <f aca="false">+'CCs # Master'!AM98</f>
        <v>0</v>
      </c>
      <c r="AP31" s="39" t="n">
        <f aca="false">+'CCs # Master'!AN98</f>
        <v>0</v>
      </c>
      <c r="AQ31" s="39" t="n">
        <f aca="false">+'CCs # Master'!AO98</f>
        <v>0</v>
      </c>
      <c r="AR31" s="39" t="n">
        <f aca="false">+'CCs # Master'!AP98</f>
        <v>0</v>
      </c>
      <c r="AS31" s="39" t="n">
        <f aca="false">+'CCs # Master'!AQ98</f>
        <v>0</v>
      </c>
      <c r="AT31" s="39" t="n">
        <f aca="false">+'CCs # Master'!AR98</f>
        <v>0</v>
      </c>
      <c r="AU31" s="39" t="n">
        <f aca="false">+'CCs # Master'!AS98</f>
        <v>0</v>
      </c>
      <c r="AV31" s="39" t="n">
        <f aca="false">+'CCs # Master'!AT98</f>
        <v>0</v>
      </c>
      <c r="AW31" s="0"/>
      <c r="AX31" s="71" t="n">
        <f aca="false">SUM(N31:AW31)</f>
        <v>2345</v>
      </c>
      <c r="AY31" s="71" t="n">
        <f aca="false">+K31-AX31</f>
        <v>0</v>
      </c>
      <c r="AZ31" s="39"/>
      <c r="BA31" s="39" t="n">
        <f aca="false">+P31+Q31+T31+U31+V31+W31+X31+Y31</f>
        <v>0</v>
      </c>
      <c r="BB31" s="39" t="n">
        <f aca="false">N31</f>
        <v>2345</v>
      </c>
      <c r="BC31" s="39" t="n">
        <f aca="false">SUM(P31:AW31)</f>
        <v>0</v>
      </c>
      <c r="BD31" s="39"/>
      <c r="BE31" s="39" t="n">
        <f aca="false">SUM(BB31:BC31)</f>
        <v>2345</v>
      </c>
      <c r="BF31" s="39"/>
      <c r="BG31" s="48" t="n">
        <f aca="false">SUM(N31:AW31)</f>
        <v>2345</v>
      </c>
      <c r="BH31" s="39" t="n">
        <f aca="false">BE31-BG31</f>
        <v>0</v>
      </c>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c r="IW31" s="39"/>
    </row>
    <row r="32" customFormat="false" ht="12.95" hidden="false" customHeight="true" outlineLevel="0" collapsed="false">
      <c r="A32" s="37" t="n">
        <f aca="false">+'CCs # Master'!A133</f>
        <v>11</v>
      </c>
      <c r="B32" s="99" t="str">
        <f aca="false">+'CCs # Master'!B133</f>
        <v>International Litigation</v>
      </c>
      <c r="C32" s="99" t="str">
        <f aca="false">+'CCs # Master'!C133</f>
        <v>Higgason, Kelly</v>
      </c>
      <c r="D32" s="37" t="n">
        <f aca="false">+'CCs # Master'!D133</f>
        <v>100818</v>
      </c>
      <c r="E32" s="39" t="n">
        <f aca="false">+'CCs # Master'!E133</f>
        <v>802</v>
      </c>
      <c r="F32" s="39" t="n">
        <f aca="false">+'CCs # Master'!F133</f>
        <v>203</v>
      </c>
      <c r="G32" s="39" t="n">
        <f aca="false">+'CCs # Master'!G133</f>
        <v>90</v>
      </c>
      <c r="H32" s="39" t="n">
        <f aca="false">+'CCs # Master'!H133</f>
        <v>31</v>
      </c>
      <c r="I32" s="39" t="n">
        <f aca="false">+'CCs # Master'!I133</f>
        <v>72</v>
      </c>
      <c r="J32" s="39" t="n">
        <f aca="false">+'CCs # Master'!J133</f>
        <v>183</v>
      </c>
      <c r="K32" s="39" t="n">
        <f aca="false">SUM(E32:J32)</f>
        <v>1381</v>
      </c>
      <c r="L32" s="39"/>
      <c r="M32" s="39" t="str">
        <f aca="false">+'CCs # Master'!M133</f>
        <v>Historical Usage</v>
      </c>
      <c r="N32" s="39" t="n">
        <f aca="false">+'CCs # Master'!AW133</f>
        <v>0</v>
      </c>
      <c r="O32" s="39" t="n">
        <v>0</v>
      </c>
      <c r="P32" s="39" t="n">
        <f aca="false">+'CCs # Master'!N133</f>
        <v>0</v>
      </c>
      <c r="Q32" s="39" t="n">
        <f aca="false">+'CCs # Master'!O133</f>
        <v>0</v>
      </c>
      <c r="R32" s="39" t="n">
        <f aca="false">+'CCs # Master'!P133</f>
        <v>0</v>
      </c>
      <c r="S32" s="39" t="n">
        <f aca="false">+'CCs # Master'!Q133</f>
        <v>0</v>
      </c>
      <c r="T32" s="39" t="n">
        <f aca="false">+'CCs # Master'!R133</f>
        <v>0</v>
      </c>
      <c r="U32" s="39" t="n">
        <f aca="false">+'CCs # Master'!S133</f>
        <v>0</v>
      </c>
      <c r="V32" s="39" t="n">
        <f aca="false">+'CCs # Master'!T133</f>
        <v>0</v>
      </c>
      <c r="W32" s="39" t="n">
        <f aca="false">+'CCs # Master'!U133</f>
        <v>0</v>
      </c>
      <c r="X32" s="39" t="n">
        <f aca="false">+'CCs # Master'!V133</f>
        <v>0</v>
      </c>
      <c r="Y32" s="39" t="n">
        <f aca="false">+'CCs # Master'!W133</f>
        <v>0</v>
      </c>
      <c r="Z32" s="39" t="n">
        <f aca="false">+'CCs # Master'!X133</f>
        <v>0</v>
      </c>
      <c r="AA32" s="39" t="n">
        <f aca="false">+'CCs # Master'!Y133</f>
        <v>0</v>
      </c>
      <c r="AB32" s="39" t="n">
        <f aca="false">+'CCs # Master'!Z133</f>
        <v>0</v>
      </c>
      <c r="AC32" s="39" t="n">
        <f aca="false">+'CCs # Master'!AA133</f>
        <v>0</v>
      </c>
      <c r="AD32" s="39" t="n">
        <f aca="false">+'CCs # Master'!AB133</f>
        <v>0</v>
      </c>
      <c r="AE32" s="39" t="n">
        <f aca="false">+'CCs # Master'!AC133</f>
        <v>0</v>
      </c>
      <c r="AF32" s="39" t="n">
        <f aca="false">+'CCs # Master'!AD133</f>
        <v>276</v>
      </c>
      <c r="AG32" s="39" t="n">
        <f aca="false">+'CCs # Master'!AE133</f>
        <v>276</v>
      </c>
      <c r="AH32" s="39" t="n">
        <f aca="false">+'CCs # Master'!AF133</f>
        <v>0</v>
      </c>
      <c r="AI32" s="39" t="n">
        <f aca="false">+'CCs # Master'!AG133</f>
        <v>0</v>
      </c>
      <c r="AJ32" s="39" t="n">
        <f aca="false">+'CCs # Master'!AH133</f>
        <v>0</v>
      </c>
      <c r="AK32" s="39" t="n">
        <f aca="false">+'CCs # Master'!AI133</f>
        <v>0</v>
      </c>
      <c r="AL32" s="39" t="n">
        <f aca="false">+'CCs # Master'!AJ133</f>
        <v>0</v>
      </c>
      <c r="AM32" s="39" t="n">
        <f aca="false">+'CCs # Master'!AK133</f>
        <v>0</v>
      </c>
      <c r="AN32" s="39" t="n">
        <f aca="false">+'CCs # Master'!AL133</f>
        <v>276</v>
      </c>
      <c r="AO32" s="39" t="n">
        <f aca="false">+'CCs # Master'!AM133</f>
        <v>0</v>
      </c>
      <c r="AP32" s="39" t="n">
        <f aca="false">+'CCs # Master'!AN133</f>
        <v>0</v>
      </c>
      <c r="AQ32" s="39" t="n">
        <f aca="false">+'CCs # Master'!AO133</f>
        <v>553</v>
      </c>
      <c r="AR32" s="39" t="n">
        <f aca="false">+'CCs # Master'!AP133</f>
        <v>0</v>
      </c>
      <c r="AS32" s="39" t="n">
        <f aca="false">+'CCs # Master'!AQ133</f>
        <v>0</v>
      </c>
      <c r="AT32" s="39" t="n">
        <f aca="false">+'CCs # Master'!AR133</f>
        <v>0</v>
      </c>
      <c r="AU32" s="39" t="n">
        <f aca="false">+'CCs # Master'!AS133</f>
        <v>0</v>
      </c>
      <c r="AV32" s="39" t="n">
        <f aca="false">+'CCs # Master'!AT133</f>
        <v>0</v>
      </c>
      <c r="AW32" s="0"/>
      <c r="AX32" s="71" t="n">
        <f aca="false">SUM(N32:AW32)</f>
        <v>1381</v>
      </c>
      <c r="AY32" s="71" t="n">
        <f aca="false">+K32-AX32</f>
        <v>0</v>
      </c>
      <c r="AZ32" s="39"/>
      <c r="BA32" s="39" t="n">
        <f aca="false">+P32+Q32+T32+U32+V32+W32+X32+Y32</f>
        <v>0</v>
      </c>
      <c r="BB32" s="39" t="n">
        <f aca="false">N32</f>
        <v>0</v>
      </c>
      <c r="BC32" s="97" t="n">
        <f aca="false">SUM(P32:AW32)</f>
        <v>1381</v>
      </c>
      <c r="BD32" s="39"/>
      <c r="BE32" s="97" t="n">
        <f aca="false">SUM(BB32:BC32)</f>
        <v>1381</v>
      </c>
      <c r="BF32" s="39"/>
      <c r="BG32" s="98" t="n">
        <f aca="false">SUM(N32:AW32)</f>
        <v>1381</v>
      </c>
      <c r="BH32" s="39" t="n">
        <f aca="false">BE32-BG32</f>
        <v>0</v>
      </c>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c r="IW32" s="39"/>
    </row>
    <row r="33" customFormat="false" ht="8.1" hidden="false" customHeight="true" outlineLevel="0" collapsed="false">
      <c r="A33" s="37"/>
      <c r="B33" s="39"/>
      <c r="C33" s="39"/>
      <c r="D33" s="96"/>
      <c r="E33" s="91"/>
      <c r="F33" s="91"/>
      <c r="G33" s="91"/>
      <c r="H33" s="91"/>
      <c r="I33" s="91"/>
      <c r="J33" s="91"/>
      <c r="K33" s="91"/>
      <c r="L33" s="39"/>
      <c r="M33" s="39"/>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0"/>
      <c r="AX33" s="91"/>
      <c r="AY33" s="91"/>
      <c r="AZ33" s="39"/>
      <c r="BA33" s="91"/>
      <c r="BB33" s="91"/>
      <c r="BC33" s="39"/>
      <c r="BD33" s="39"/>
      <c r="BE33" s="39"/>
      <c r="BF33" s="39"/>
      <c r="BG33" s="48"/>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c r="IV33" s="39"/>
      <c r="IW33" s="39"/>
    </row>
    <row r="34" customFormat="false" ht="12.95" hidden="false" customHeight="true" outlineLevel="0" collapsed="false">
      <c r="A34" s="37"/>
      <c r="B34" s="39"/>
      <c r="C34" s="39"/>
      <c r="D34" s="96"/>
      <c r="E34" s="97" t="n">
        <f aca="false">SUM(E25:E33)</f>
        <v>9610</v>
      </c>
      <c r="F34" s="97" t="n">
        <f aca="false">SUM(F25:F33)</f>
        <v>953</v>
      </c>
      <c r="G34" s="97" t="n">
        <f aca="false">SUM(G25:G33)</f>
        <v>194</v>
      </c>
      <c r="H34" s="97" t="n">
        <f aca="false">SUM(H25:H33)</f>
        <v>6115</v>
      </c>
      <c r="I34" s="97" t="n">
        <f aca="false">SUM(I25:I33)</f>
        <v>1458</v>
      </c>
      <c r="J34" s="97" t="n">
        <f aca="false">SUM(J25:J33)</f>
        <v>1416</v>
      </c>
      <c r="K34" s="97" t="n">
        <f aca="false">SUM(K25:K33)</f>
        <v>19746</v>
      </c>
      <c r="L34" s="39"/>
      <c r="M34" s="39"/>
      <c r="N34" s="97" t="n">
        <f aca="false">SUM(N25:N33)</f>
        <v>8690</v>
      </c>
      <c r="O34" s="97" t="n">
        <f aca="false">SUM(O25:O33)</f>
        <v>0</v>
      </c>
      <c r="P34" s="97" t="n">
        <f aca="false">SUM(P25:P33)</f>
        <v>27</v>
      </c>
      <c r="Q34" s="97" t="n">
        <f aca="false">SUM(Q25:Q33)</f>
        <v>81</v>
      </c>
      <c r="R34" s="97" t="n">
        <f aca="false">SUM(R25:R33)</f>
        <v>147</v>
      </c>
      <c r="S34" s="97" t="n">
        <f aca="false">SUM(S25:S33)</f>
        <v>141</v>
      </c>
      <c r="T34" s="97" t="n">
        <f aca="false">SUM(T25:T33)</f>
        <v>0</v>
      </c>
      <c r="U34" s="97" t="n">
        <f aca="false">SUM(U25:U33)</f>
        <v>205</v>
      </c>
      <c r="V34" s="97" t="n">
        <f aca="false">SUM(V25:V33)</f>
        <v>381</v>
      </c>
      <c r="W34" s="97" t="n">
        <f aca="false">SUM(W25:W33)</f>
        <v>68</v>
      </c>
      <c r="X34" s="97" t="n">
        <f aca="false">SUM(X25:X33)</f>
        <v>1024</v>
      </c>
      <c r="Y34" s="97" t="n">
        <f aca="false">SUM(Y25:Y33)</f>
        <v>0</v>
      </c>
      <c r="Z34" s="97" t="n">
        <f aca="false">SUM(Z25:Z33)</f>
        <v>2019</v>
      </c>
      <c r="AA34" s="97" t="n">
        <f aca="false">SUM(AA25:AA33)</f>
        <v>0</v>
      </c>
      <c r="AB34" s="97" t="n">
        <f aca="false">SUM(AB25:AB33)</f>
        <v>0</v>
      </c>
      <c r="AC34" s="97" t="n">
        <f aca="false">SUM(AC25:AC33)</f>
        <v>0</v>
      </c>
      <c r="AD34" s="97" t="n">
        <f aca="false">SUM(AD25:AD33)</f>
        <v>274</v>
      </c>
      <c r="AE34" s="97" t="n">
        <f aca="false">SUM(AE25:AE33)</f>
        <v>303</v>
      </c>
      <c r="AF34" s="97" t="n">
        <f aca="false">SUM(AF25:AF33)</f>
        <v>1071</v>
      </c>
      <c r="AG34" s="97" t="n">
        <f aca="false">SUM(AG25:AG33)</f>
        <v>1202</v>
      </c>
      <c r="AH34" s="97" t="n">
        <f aca="false">SUM(AH25:AH33)</f>
        <v>1</v>
      </c>
      <c r="AI34" s="97" t="n">
        <f aca="false">SUM(AI25:AI33)</f>
        <v>535</v>
      </c>
      <c r="AJ34" s="97" t="n">
        <f aca="false">SUM(AJ25:AJ33)</f>
        <v>397</v>
      </c>
      <c r="AK34" s="97" t="n">
        <f aca="false">SUM(AK25:AK33)</f>
        <v>856</v>
      </c>
      <c r="AL34" s="97" t="n">
        <f aca="false">SUM(AL25:AL33)</f>
        <v>315</v>
      </c>
      <c r="AM34" s="97" t="n">
        <f aca="false">SUM(AM25:AM33)</f>
        <v>21</v>
      </c>
      <c r="AN34" s="97" t="n">
        <f aca="false">SUM(AN25:AN33)</f>
        <v>584</v>
      </c>
      <c r="AO34" s="97" t="n">
        <f aca="false">SUM(AO25:AO33)</f>
        <v>0</v>
      </c>
      <c r="AP34" s="97" t="n">
        <f aca="false">SUM(AP25:AP33)</f>
        <v>0</v>
      </c>
      <c r="AQ34" s="97" t="n">
        <f aca="false">SUM(AQ25:AQ33)</f>
        <v>1130</v>
      </c>
      <c r="AR34" s="97" t="n">
        <f aca="false">SUM(AR25:AR33)</f>
        <v>197</v>
      </c>
      <c r="AS34" s="97" t="n">
        <f aca="false">SUM(AS25:AS33)</f>
        <v>30</v>
      </c>
      <c r="AT34" s="97" t="n">
        <f aca="false">SUM(AT25:AT33)</f>
        <v>22</v>
      </c>
      <c r="AU34" s="97" t="n">
        <f aca="false">SUM(AU25:AU33)</f>
        <v>25</v>
      </c>
      <c r="AV34" s="97" t="n">
        <f aca="false">SUM(AV25:AV33)</f>
        <v>0</v>
      </c>
      <c r="AW34" s="0"/>
      <c r="AX34" s="97" t="n">
        <f aca="false">SUM(AX25:AX33)</f>
        <v>19746</v>
      </c>
      <c r="AY34" s="97" t="n">
        <f aca="false">SUM(AY25:AY33)</f>
        <v>0</v>
      </c>
      <c r="AZ34" s="39"/>
      <c r="BA34" s="97" t="n">
        <f aca="false">SUM(BA25:BA33)</f>
        <v>1786</v>
      </c>
      <c r="BB34" s="97" t="n">
        <f aca="false">SUM(BB25:BB33)</f>
        <v>8690</v>
      </c>
      <c r="BC34" s="97" t="n">
        <f aca="false">SUM(BC25:BC32)</f>
        <v>11056</v>
      </c>
      <c r="BD34" s="39"/>
      <c r="BE34" s="97" t="n">
        <f aca="false">SUM(BE25:BE32)</f>
        <v>19746</v>
      </c>
      <c r="BF34" s="39"/>
      <c r="BG34" s="98" t="n">
        <f aca="false">SUM(BG25:BG32)</f>
        <v>19746</v>
      </c>
      <c r="BH34" s="39" t="n">
        <f aca="false">SUM(BH25:BH31)</f>
        <v>0</v>
      </c>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8.1" hidden="false" customHeight="true" outlineLevel="0" collapsed="false">
      <c r="A35" s="37"/>
      <c r="B35" s="39"/>
      <c r="C35" s="39"/>
      <c r="D35" s="96"/>
      <c r="E35" s="39"/>
      <c r="F35" s="39"/>
      <c r="G35" s="39"/>
      <c r="H35" s="39"/>
      <c r="I35" s="39"/>
      <c r="J35" s="39"/>
      <c r="K35" s="71"/>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0"/>
      <c r="AX35" s="71"/>
      <c r="AY35" s="71"/>
      <c r="AZ35" s="39"/>
      <c r="BA35" s="39"/>
      <c r="BB35" s="39"/>
      <c r="BC35" s="39"/>
      <c r="BD35" s="39"/>
      <c r="BE35" s="39"/>
      <c r="BF35" s="39"/>
      <c r="BG35" s="48"/>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6" customFormat="false" ht="12.95" hidden="false" customHeight="true" outlineLevel="0" collapsed="false">
      <c r="A36" s="95" t="s">
        <v>418</v>
      </c>
      <c r="B36" s="38"/>
      <c r="C36" s="39"/>
      <c r="D36" s="96"/>
      <c r="E36" s="39"/>
      <c r="F36" s="71"/>
      <c r="G36" s="71"/>
      <c r="H36" s="39"/>
      <c r="I36" s="39"/>
      <c r="J36" s="39"/>
      <c r="K36" s="71"/>
      <c r="L36" s="39"/>
      <c r="M36" s="39"/>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0"/>
      <c r="AX36" s="71"/>
      <c r="AY36" s="71"/>
      <c r="AZ36" s="39"/>
      <c r="BA36" s="71"/>
      <c r="BB36" s="71"/>
      <c r="BC36" s="71"/>
      <c r="BD36" s="39"/>
      <c r="BE36" s="71"/>
      <c r="BF36" s="71"/>
      <c r="BG36" s="48"/>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c r="HX36" s="39"/>
      <c r="HY36" s="39"/>
      <c r="HZ36" s="39"/>
      <c r="IA36" s="39"/>
      <c r="IB36" s="39"/>
      <c r="IC36" s="39"/>
      <c r="ID36" s="39"/>
      <c r="IE36" s="39"/>
      <c r="IF36" s="39"/>
      <c r="IG36" s="39"/>
      <c r="IH36" s="39"/>
      <c r="II36" s="39"/>
      <c r="IJ36" s="39"/>
      <c r="IK36" s="39"/>
      <c r="IL36" s="39"/>
      <c r="IM36" s="39"/>
      <c r="IN36" s="39"/>
      <c r="IO36" s="39"/>
      <c r="IP36" s="39"/>
      <c r="IQ36" s="39"/>
      <c r="IR36" s="39"/>
      <c r="IS36" s="39"/>
      <c r="IT36" s="39"/>
      <c r="IU36" s="39"/>
      <c r="IV36" s="39"/>
      <c r="IW36" s="39"/>
    </row>
    <row r="37" customFormat="false" ht="12.95" hidden="false" customHeight="true" outlineLevel="0" collapsed="false">
      <c r="A37" s="37" t="n">
        <f aca="false">+'CCs # Master'!A16</f>
        <v>11</v>
      </c>
      <c r="B37" s="39" t="str">
        <f aca="false">+'CCs # Master'!B16</f>
        <v>Corp Accounting, Planning, &amp; Reporting</v>
      </c>
      <c r="C37" s="39" t="str">
        <f aca="false">+'CCs # Master'!C16</f>
        <v>Butts, Bob</v>
      </c>
      <c r="D37" s="96" t="n">
        <f aca="false">+'CCs # Master'!D16</f>
        <v>100012</v>
      </c>
      <c r="E37" s="39" t="n">
        <f aca="false">+'CCs # Master'!E16</f>
        <v>3658</v>
      </c>
      <c r="F37" s="39" t="n">
        <f aca="false">+'CCs # Master'!F16</f>
        <v>124</v>
      </c>
      <c r="G37" s="39" t="n">
        <f aca="false">+'CCs # Master'!G16</f>
        <v>50</v>
      </c>
      <c r="H37" s="39" t="n">
        <f aca="false">+'CCs # Master'!H16</f>
        <v>1701</v>
      </c>
      <c r="I37" s="39" t="n">
        <f aca="false">+'CCs # Master'!I16</f>
        <v>687</v>
      </c>
      <c r="J37" s="39" t="n">
        <f aca="false">+'CCs # Master'!J16</f>
        <v>40</v>
      </c>
      <c r="K37" s="39" t="n">
        <f aca="false">SUM(E37:J37)</f>
        <v>6260</v>
      </c>
      <c r="L37" s="39"/>
      <c r="M37" s="39" t="str">
        <f aca="false">+'CCs # Master'!M16</f>
        <v>MMF</v>
      </c>
      <c r="N37" s="39" t="n">
        <f aca="false">+'CCs # Master'!AW16</f>
        <v>6260</v>
      </c>
      <c r="O37" s="39" t="n">
        <v>0</v>
      </c>
      <c r="P37" s="39" t="n">
        <f aca="false">+'CCs # Master'!N16</f>
        <v>0</v>
      </c>
      <c r="Q37" s="39" t="n">
        <f aca="false">+'CCs # Master'!O16</f>
        <v>0</v>
      </c>
      <c r="R37" s="39" t="n">
        <f aca="false">+'CCs # Master'!P16</f>
        <v>0</v>
      </c>
      <c r="S37" s="39" t="n">
        <f aca="false">+'CCs # Master'!Q16</f>
        <v>0</v>
      </c>
      <c r="T37" s="39" t="n">
        <f aca="false">+'CCs # Master'!R16</f>
        <v>0</v>
      </c>
      <c r="U37" s="39" t="n">
        <f aca="false">+'CCs # Master'!S16</f>
        <v>0</v>
      </c>
      <c r="V37" s="39" t="n">
        <f aca="false">+'CCs # Master'!T16</f>
        <v>0</v>
      </c>
      <c r="W37" s="39" t="n">
        <f aca="false">+'CCs # Master'!U16</f>
        <v>0</v>
      </c>
      <c r="X37" s="39" t="n">
        <f aca="false">+'CCs # Master'!V16</f>
        <v>0</v>
      </c>
      <c r="Y37" s="39" t="n">
        <f aca="false">+'CCs # Master'!W16</f>
        <v>0</v>
      </c>
      <c r="Z37" s="39" t="n">
        <f aca="false">+'CCs # Master'!X16</f>
        <v>0</v>
      </c>
      <c r="AA37" s="39" t="n">
        <f aca="false">+'CCs # Master'!Y16</f>
        <v>0</v>
      </c>
      <c r="AB37" s="39" t="n">
        <f aca="false">+'CCs # Master'!Z16</f>
        <v>0</v>
      </c>
      <c r="AC37" s="39" t="n">
        <f aca="false">+'CCs # Master'!AA16</f>
        <v>0</v>
      </c>
      <c r="AD37" s="39" t="n">
        <f aca="false">+'CCs # Master'!AB16</f>
        <v>0</v>
      </c>
      <c r="AE37" s="39" t="n">
        <f aca="false">+'CCs # Master'!AC16</f>
        <v>0</v>
      </c>
      <c r="AF37" s="39" t="n">
        <f aca="false">+'CCs # Master'!AD16</f>
        <v>0</v>
      </c>
      <c r="AG37" s="39" t="n">
        <f aca="false">+'CCs # Master'!AE16</f>
        <v>0</v>
      </c>
      <c r="AH37" s="39" t="n">
        <f aca="false">+'CCs # Master'!AF16</f>
        <v>0</v>
      </c>
      <c r="AI37" s="39" t="n">
        <f aca="false">+'CCs # Master'!AG16</f>
        <v>0</v>
      </c>
      <c r="AJ37" s="39" t="n">
        <f aca="false">+'CCs # Master'!AH16</f>
        <v>0</v>
      </c>
      <c r="AK37" s="39" t="n">
        <f aca="false">+'CCs # Master'!AI16</f>
        <v>0</v>
      </c>
      <c r="AL37" s="39" t="n">
        <f aca="false">+'CCs # Master'!AJ16</f>
        <v>0</v>
      </c>
      <c r="AM37" s="39" t="n">
        <f aca="false">+'CCs # Master'!AK16</f>
        <v>0</v>
      </c>
      <c r="AN37" s="39" t="n">
        <f aca="false">+'CCs # Master'!AL16</f>
        <v>0</v>
      </c>
      <c r="AO37" s="39" t="n">
        <f aca="false">+'CCs # Master'!AM16</f>
        <v>0</v>
      </c>
      <c r="AP37" s="39" t="n">
        <f aca="false">+'CCs # Master'!AN16</f>
        <v>0</v>
      </c>
      <c r="AQ37" s="39" t="n">
        <f aca="false">+'CCs # Master'!AO16</f>
        <v>0</v>
      </c>
      <c r="AR37" s="39" t="n">
        <f aca="false">+'CCs # Master'!AP16</f>
        <v>0</v>
      </c>
      <c r="AS37" s="39" t="n">
        <f aca="false">+'CCs # Master'!AQ16</f>
        <v>0</v>
      </c>
      <c r="AT37" s="39" t="n">
        <f aca="false">+'CCs # Master'!AR16</f>
        <v>0</v>
      </c>
      <c r="AU37" s="39" t="n">
        <f aca="false">+'CCs # Master'!AS16</f>
        <v>0</v>
      </c>
      <c r="AV37" s="39" t="n">
        <f aca="false">+'CCs # Master'!AT16</f>
        <v>0</v>
      </c>
      <c r="AW37" s="0"/>
      <c r="AX37" s="71" t="n">
        <f aca="false">SUM(N37:AW37)</f>
        <v>6260</v>
      </c>
      <c r="AY37" s="71" t="n">
        <f aca="false">+K37-AX37</f>
        <v>0</v>
      </c>
      <c r="AZ37" s="39"/>
      <c r="BA37" s="39" t="n">
        <f aca="false">+P37+Q37+T37+U37+V37+W37+X37+Y37</f>
        <v>0</v>
      </c>
      <c r="BB37" s="39" t="n">
        <f aca="false">N37</f>
        <v>6260</v>
      </c>
      <c r="BC37" s="39" t="n">
        <f aca="false">SUM(P37:AW37)</f>
        <v>0</v>
      </c>
      <c r="BD37" s="39"/>
      <c r="BE37" s="39" t="n">
        <f aca="false">SUM(BB37:BC37)</f>
        <v>6260</v>
      </c>
      <c r="BF37" s="39"/>
      <c r="BG37" s="48" t="n">
        <f aca="false">SUM(N37:AW37)</f>
        <v>6260</v>
      </c>
      <c r="BH37" s="39" t="n">
        <f aca="false">BE37-BG37</f>
        <v>0</v>
      </c>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c r="ID37" s="39"/>
      <c r="IE37" s="39"/>
      <c r="IF37" s="39"/>
      <c r="IG37" s="39"/>
      <c r="IH37" s="39"/>
      <c r="II37" s="39"/>
      <c r="IJ37" s="39"/>
      <c r="IK37" s="39"/>
      <c r="IL37" s="39"/>
      <c r="IM37" s="39"/>
      <c r="IN37" s="39"/>
      <c r="IO37" s="39"/>
      <c r="IP37" s="39"/>
      <c r="IQ37" s="39"/>
      <c r="IR37" s="39"/>
      <c r="IS37" s="39"/>
      <c r="IT37" s="39"/>
      <c r="IU37" s="39"/>
      <c r="IV37" s="39"/>
      <c r="IW37" s="39"/>
    </row>
    <row r="38" customFormat="false" ht="12.95" hidden="false" customHeight="true" outlineLevel="0" collapsed="false">
      <c r="A38" s="37" t="n">
        <f aca="false">+'CCs # Master'!A18</f>
        <v>11</v>
      </c>
      <c r="B38" s="39" t="str">
        <f aca="false">+'CCs # Master'!B18</f>
        <v>Sr. VP - Chief Accounting Officer</v>
      </c>
      <c r="C38" s="39" t="str">
        <f aca="false">+'CCs # Master'!C18</f>
        <v>Causey, Rick </v>
      </c>
      <c r="D38" s="96" t="n">
        <f aca="false">+'CCs # Master'!D18</f>
        <v>100016</v>
      </c>
      <c r="E38" s="39" t="n">
        <f aca="false">+'CCs # Master'!E18</f>
        <v>797</v>
      </c>
      <c r="F38" s="39" t="n">
        <f aca="false">+'CCs # Master'!F18</f>
        <v>167</v>
      </c>
      <c r="G38" s="39" t="n">
        <f aca="false">+'CCs # Master'!G18</f>
        <v>20</v>
      </c>
      <c r="H38" s="39" t="n">
        <f aca="false">+'CCs # Master'!H18</f>
        <v>693</v>
      </c>
      <c r="I38" s="39" t="n">
        <f aca="false">+'CCs # Master'!I18</f>
        <v>120</v>
      </c>
      <c r="J38" s="39" t="n">
        <f aca="false">+'CCs # Master'!J18</f>
        <v>36</v>
      </c>
      <c r="K38" s="39" t="n">
        <f aca="false">SUM(E38:J38)</f>
        <v>1833</v>
      </c>
      <c r="L38" s="39"/>
      <c r="M38" s="39" t="str">
        <f aca="false">+'CCs # Master'!M18</f>
        <v>MMF</v>
      </c>
      <c r="N38" s="39" t="n">
        <f aca="false">+'CCs # Master'!AW18</f>
        <v>1833</v>
      </c>
      <c r="O38" s="39" t="n">
        <v>0</v>
      </c>
      <c r="P38" s="39" t="n">
        <f aca="false">+'CCs # Master'!N18</f>
        <v>0</v>
      </c>
      <c r="Q38" s="39" t="n">
        <f aca="false">+'CCs # Master'!O18</f>
        <v>0</v>
      </c>
      <c r="R38" s="39" t="n">
        <f aca="false">+'CCs # Master'!P18</f>
        <v>0</v>
      </c>
      <c r="S38" s="39" t="n">
        <f aca="false">+'CCs # Master'!Q18</f>
        <v>0</v>
      </c>
      <c r="T38" s="39" t="n">
        <f aca="false">+'CCs # Master'!R18</f>
        <v>0</v>
      </c>
      <c r="U38" s="39" t="n">
        <f aca="false">+'CCs # Master'!S18</f>
        <v>0</v>
      </c>
      <c r="V38" s="39" t="n">
        <f aca="false">+'CCs # Master'!T18</f>
        <v>0</v>
      </c>
      <c r="W38" s="39" t="n">
        <f aca="false">+'CCs # Master'!U18</f>
        <v>0</v>
      </c>
      <c r="X38" s="39" t="n">
        <f aca="false">+'CCs # Master'!V18</f>
        <v>0</v>
      </c>
      <c r="Y38" s="39" t="n">
        <f aca="false">+'CCs # Master'!W18</f>
        <v>0</v>
      </c>
      <c r="Z38" s="39" t="n">
        <f aca="false">+'CCs # Master'!X18</f>
        <v>0</v>
      </c>
      <c r="AA38" s="39" t="n">
        <f aca="false">+'CCs # Master'!Y18</f>
        <v>0</v>
      </c>
      <c r="AB38" s="39" t="n">
        <f aca="false">+'CCs # Master'!Z18</f>
        <v>0</v>
      </c>
      <c r="AC38" s="39" t="n">
        <f aca="false">+'CCs # Master'!AA18</f>
        <v>0</v>
      </c>
      <c r="AD38" s="39" t="n">
        <f aca="false">+'CCs # Master'!AB18</f>
        <v>0</v>
      </c>
      <c r="AE38" s="39" t="n">
        <f aca="false">+'CCs # Master'!AC18</f>
        <v>0</v>
      </c>
      <c r="AF38" s="39" t="n">
        <f aca="false">+'CCs # Master'!AD18</f>
        <v>0</v>
      </c>
      <c r="AG38" s="39" t="n">
        <f aca="false">+'CCs # Master'!AE18</f>
        <v>0</v>
      </c>
      <c r="AH38" s="39" t="n">
        <f aca="false">+'CCs # Master'!AF18</f>
        <v>0</v>
      </c>
      <c r="AI38" s="39" t="n">
        <f aca="false">+'CCs # Master'!AG18</f>
        <v>0</v>
      </c>
      <c r="AJ38" s="39" t="n">
        <f aca="false">+'CCs # Master'!AH18</f>
        <v>0</v>
      </c>
      <c r="AK38" s="39" t="n">
        <f aca="false">+'CCs # Master'!AI18</f>
        <v>0</v>
      </c>
      <c r="AL38" s="39" t="n">
        <f aca="false">+'CCs # Master'!AJ18</f>
        <v>0</v>
      </c>
      <c r="AM38" s="39" t="n">
        <f aca="false">+'CCs # Master'!AK18</f>
        <v>0</v>
      </c>
      <c r="AN38" s="39" t="n">
        <f aca="false">+'CCs # Master'!AL18</f>
        <v>0</v>
      </c>
      <c r="AO38" s="39" t="n">
        <f aca="false">+'CCs # Master'!AM18</f>
        <v>0</v>
      </c>
      <c r="AP38" s="39" t="n">
        <f aca="false">+'CCs # Master'!AN18</f>
        <v>0</v>
      </c>
      <c r="AQ38" s="39" t="n">
        <f aca="false">+'CCs # Master'!AO18</f>
        <v>0</v>
      </c>
      <c r="AR38" s="39" t="n">
        <f aca="false">+'CCs # Master'!AP18</f>
        <v>0</v>
      </c>
      <c r="AS38" s="39" t="n">
        <f aca="false">+'CCs # Master'!AQ18</f>
        <v>0</v>
      </c>
      <c r="AT38" s="39" t="n">
        <f aca="false">+'CCs # Master'!AR18</f>
        <v>0</v>
      </c>
      <c r="AU38" s="39" t="n">
        <f aca="false">+'CCs # Master'!AS18</f>
        <v>0</v>
      </c>
      <c r="AV38" s="39" t="n">
        <f aca="false">+'CCs # Master'!AT18</f>
        <v>0</v>
      </c>
      <c r="AW38" s="0"/>
      <c r="AX38" s="71" t="n">
        <f aca="false">SUM(N38:AW38)</f>
        <v>1833</v>
      </c>
      <c r="AY38" s="71" t="n">
        <f aca="false">+K38-AX38</f>
        <v>0</v>
      </c>
      <c r="AZ38" s="39"/>
      <c r="BA38" s="39" t="n">
        <f aca="false">+P38+Q38+T38+U38+V38+W38+X38+Y38</f>
        <v>0</v>
      </c>
      <c r="BB38" s="39" t="n">
        <f aca="false">N38</f>
        <v>1833</v>
      </c>
      <c r="BC38" s="39" t="n">
        <f aca="false">SUM(P38:AW38)</f>
        <v>0</v>
      </c>
      <c r="BD38" s="39"/>
      <c r="BE38" s="39" t="n">
        <f aca="false">SUM(BB38:BC38)</f>
        <v>1833</v>
      </c>
      <c r="BF38" s="39"/>
      <c r="BG38" s="48" t="n">
        <f aca="false">SUM(N38:AW38)</f>
        <v>1833</v>
      </c>
      <c r="BH38" s="39" t="n">
        <f aca="false">BE38-BG38</f>
        <v>0</v>
      </c>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c r="IK38" s="39"/>
      <c r="IL38" s="39"/>
      <c r="IM38" s="39"/>
      <c r="IN38" s="39"/>
      <c r="IO38" s="39"/>
      <c r="IP38" s="39"/>
      <c r="IQ38" s="39"/>
      <c r="IR38" s="39"/>
      <c r="IS38" s="39"/>
      <c r="IT38" s="39"/>
      <c r="IU38" s="39"/>
      <c r="IV38" s="39"/>
      <c r="IW38" s="39"/>
    </row>
    <row r="39" customFormat="false" ht="12.95" hidden="false" customHeight="true" outlineLevel="0" collapsed="false">
      <c r="A39" s="37" t="str">
        <f aca="false">+'CCs # Master'!A26</f>
        <v>0011</v>
      </c>
      <c r="B39" s="39" t="str">
        <f aca="false">+'CCs # Master'!B26</f>
        <v>State Tax Group</v>
      </c>
      <c r="C39" s="39" t="str">
        <f aca="false">+'CCs # Master'!C26</f>
        <v>Rice, Greek</v>
      </c>
      <c r="D39" s="96" t="n">
        <f aca="false">+'CCs # Master'!D26</f>
        <v>100026</v>
      </c>
      <c r="E39" s="39" t="n">
        <f aca="false">+'CCs # Master'!E26</f>
        <v>453</v>
      </c>
      <c r="F39" s="39" t="n">
        <f aca="false">+'CCs # Master'!F26</f>
        <v>25</v>
      </c>
      <c r="G39" s="39" t="n">
        <f aca="false">+'CCs # Master'!G26</f>
        <v>1</v>
      </c>
      <c r="H39" s="39" t="n">
        <f aca="false">+'CCs # Master'!H26</f>
        <v>63</v>
      </c>
      <c r="I39" s="39" t="n">
        <f aca="false">+'CCs # Master'!I26</f>
        <v>65</v>
      </c>
      <c r="J39" s="39" t="n">
        <f aca="false">+'CCs # Master'!J26</f>
        <v>0</v>
      </c>
      <c r="K39" s="39" t="n">
        <f aca="false">SUM(E39:J39)</f>
        <v>607</v>
      </c>
      <c r="L39" s="39"/>
      <c r="M39" s="39" t="str">
        <f aca="false">+'CCs # Master'!M26</f>
        <v>State tax returns, anticipated resources</v>
      </c>
      <c r="N39" s="39" t="n">
        <f aca="false">+'CCs # Master'!AW26</f>
        <v>137</v>
      </c>
      <c r="O39" s="39" t="n">
        <v>0</v>
      </c>
      <c r="P39" s="39" t="n">
        <f aca="false">+'CCs # Master'!N26</f>
        <v>15</v>
      </c>
      <c r="Q39" s="39" t="n">
        <f aca="false">+'CCs # Master'!O26</f>
        <v>39</v>
      </c>
      <c r="R39" s="39" t="n">
        <f aca="false">+'CCs # Master'!P26</f>
        <v>7</v>
      </c>
      <c r="S39" s="39" t="n">
        <f aca="false">+'CCs # Master'!Q26</f>
        <v>8</v>
      </c>
      <c r="T39" s="39" t="n">
        <f aca="false">+'CCs # Master'!R26</f>
        <v>0</v>
      </c>
      <c r="U39" s="39" t="n">
        <f aca="false">+'CCs # Master'!S26</f>
        <v>0</v>
      </c>
      <c r="V39" s="39" t="n">
        <f aca="false">+'CCs # Master'!T26</f>
        <v>0</v>
      </c>
      <c r="W39" s="39" t="n">
        <f aca="false">+'CCs # Master'!U26</f>
        <v>52</v>
      </c>
      <c r="X39" s="39" t="n">
        <f aca="false">+'CCs # Master'!V26</f>
        <v>0</v>
      </c>
      <c r="Y39" s="39" t="n">
        <f aca="false">+'CCs # Master'!W26</f>
        <v>0</v>
      </c>
      <c r="Z39" s="39" t="n">
        <f aca="false">+'CCs # Master'!X26</f>
        <v>228</v>
      </c>
      <c r="AA39" s="39" t="n">
        <f aca="false">+'CCs # Master'!Y26</f>
        <v>0</v>
      </c>
      <c r="AB39" s="39" t="n">
        <f aca="false">+'CCs # Master'!Z26</f>
        <v>0</v>
      </c>
      <c r="AC39" s="39" t="n">
        <f aca="false">+'CCs # Master'!AA26</f>
        <v>0</v>
      </c>
      <c r="AD39" s="39" t="n">
        <f aca="false">+'CCs # Master'!AB26</f>
        <v>0</v>
      </c>
      <c r="AE39" s="39" t="n">
        <f aca="false">+'CCs # Master'!AC26</f>
        <v>0</v>
      </c>
      <c r="AF39" s="39" t="n">
        <f aca="false">+'CCs # Master'!AD26</f>
        <v>43</v>
      </c>
      <c r="AG39" s="39" t="n">
        <f aca="false">+'CCs # Master'!AE26</f>
        <v>12</v>
      </c>
      <c r="AH39" s="39" t="n">
        <f aca="false">+'CCs # Master'!AF26</f>
        <v>42</v>
      </c>
      <c r="AI39" s="39" t="n">
        <f aca="false">+'CCs # Master'!AG26</f>
        <v>9</v>
      </c>
      <c r="AJ39" s="39" t="n">
        <f aca="false">+'CCs # Master'!AH26</f>
        <v>0</v>
      </c>
      <c r="AK39" s="39" t="n">
        <f aca="false">+'CCs # Master'!AI26</f>
        <v>0</v>
      </c>
      <c r="AL39" s="39" t="n">
        <f aca="false">+'CCs # Master'!AJ26</f>
        <v>0</v>
      </c>
      <c r="AM39" s="39" t="n">
        <f aca="false">+'CCs # Master'!AK26</f>
        <v>0</v>
      </c>
      <c r="AN39" s="39" t="n">
        <f aca="false">+'CCs # Master'!AL26</f>
        <v>0</v>
      </c>
      <c r="AO39" s="39" t="n">
        <f aca="false">+'CCs # Master'!AM26</f>
        <v>0</v>
      </c>
      <c r="AP39" s="39" t="n">
        <f aca="false">+'CCs # Master'!AN26</f>
        <v>0</v>
      </c>
      <c r="AQ39" s="39" t="n">
        <f aca="false">+'CCs # Master'!AO26</f>
        <v>0</v>
      </c>
      <c r="AR39" s="39" t="n">
        <f aca="false">+'CCs # Master'!AP26</f>
        <v>15</v>
      </c>
      <c r="AS39" s="39" t="n">
        <f aca="false">+'CCs # Master'!AQ26</f>
        <v>0</v>
      </c>
      <c r="AT39" s="39" t="n">
        <f aca="false">+'CCs # Master'!AR26</f>
        <v>0</v>
      </c>
      <c r="AU39" s="39" t="n">
        <f aca="false">+'CCs # Master'!AS26</f>
        <v>0</v>
      </c>
      <c r="AV39" s="39" t="n">
        <f aca="false">+'CCs # Master'!AT26</f>
        <v>0</v>
      </c>
      <c r="AW39" s="0"/>
      <c r="AX39" s="71" t="n">
        <f aca="false">SUM(N39:AW39)</f>
        <v>607</v>
      </c>
      <c r="AY39" s="71" t="n">
        <f aca="false">+K39-AX39</f>
        <v>0</v>
      </c>
      <c r="AZ39" s="39"/>
      <c r="BA39" s="39" t="n">
        <f aca="false">+P39+Q39+T39+U39+V39+W39+X39+Y39</f>
        <v>106</v>
      </c>
      <c r="BB39" s="39" t="n">
        <f aca="false">N39</f>
        <v>137</v>
      </c>
      <c r="BC39" s="39" t="n">
        <f aca="false">SUM(P39:AW39)</f>
        <v>470</v>
      </c>
      <c r="BD39" s="39"/>
      <c r="BE39" s="39" t="n">
        <f aca="false">SUM(BB39:BC39)</f>
        <v>607</v>
      </c>
      <c r="BF39" s="39"/>
      <c r="BG39" s="48" t="n">
        <f aca="false">SUM(N39:AW39)</f>
        <v>607</v>
      </c>
      <c r="BH39" s="39" t="n">
        <f aca="false">BE39-BG39</f>
        <v>0</v>
      </c>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c r="IK39" s="39"/>
      <c r="IL39" s="39"/>
      <c r="IM39" s="39"/>
      <c r="IN39" s="39"/>
      <c r="IO39" s="39"/>
      <c r="IP39" s="39"/>
      <c r="IQ39" s="39"/>
      <c r="IR39" s="39"/>
      <c r="IS39" s="39"/>
      <c r="IT39" s="39"/>
      <c r="IU39" s="39"/>
      <c r="IV39" s="39"/>
      <c r="IW39" s="39"/>
    </row>
    <row r="40" customFormat="false" ht="12.95" hidden="false" customHeight="true" outlineLevel="0" collapsed="false">
      <c r="A40" s="37" t="n">
        <f aca="false">+'CCs # Master'!A27</f>
        <v>11</v>
      </c>
      <c r="B40" s="39" t="str">
        <f aca="false">+'CCs # Master'!B27</f>
        <v>Vice President - Tax</v>
      </c>
      <c r="C40" s="39" t="str">
        <f aca="false">+'CCs # Master'!C27</f>
        <v>Herman, Bob</v>
      </c>
      <c r="D40" s="96" t="n">
        <f aca="false">+'CCs # Master'!D27</f>
        <v>100027</v>
      </c>
      <c r="E40" s="39" t="n">
        <f aca="false">+'CCs # Master'!E27</f>
        <v>8669</v>
      </c>
      <c r="F40" s="39" t="n">
        <f aca="false">+'CCs # Master'!F27</f>
        <v>933</v>
      </c>
      <c r="G40" s="39" t="n">
        <f aca="false">+'CCs # Master'!G27</f>
        <v>114</v>
      </c>
      <c r="H40" s="39" t="n">
        <f aca="false">+'CCs # Master'!H27</f>
        <v>2967</v>
      </c>
      <c r="I40" s="39" t="n">
        <f aca="false">+'CCs # Master'!I27</f>
        <v>1317</v>
      </c>
      <c r="J40" s="39" t="n">
        <f aca="false">+'CCs # Master'!J27</f>
        <v>184</v>
      </c>
      <c r="K40" s="39" t="n">
        <f aca="false">SUM(E40:J40)</f>
        <v>14184</v>
      </c>
      <c r="L40" s="39"/>
      <c r="M40" s="39" t="str">
        <f aca="false">+'CCs # Master'!M27</f>
        <v>Anticipated Resources/MMF</v>
      </c>
      <c r="N40" s="39" t="n">
        <f aca="false">+'CCs # Master'!AW27</f>
        <v>9986</v>
      </c>
      <c r="O40" s="39" t="n">
        <v>0</v>
      </c>
      <c r="P40" s="39" t="n">
        <f aca="false">+'CCs # Master'!N27</f>
        <v>0</v>
      </c>
      <c r="Q40" s="39" t="n">
        <f aca="false">+'CCs # Master'!O27</f>
        <v>0</v>
      </c>
      <c r="R40" s="39" t="n">
        <f aca="false">+'CCs # Master'!P27</f>
        <v>0</v>
      </c>
      <c r="S40" s="39" t="n">
        <f aca="false">+'CCs # Master'!Q27</f>
        <v>0</v>
      </c>
      <c r="T40" s="39" t="n">
        <f aca="false">+'CCs # Master'!R27</f>
        <v>0</v>
      </c>
      <c r="U40" s="39" t="n">
        <f aca="false">+'CCs # Master'!S27</f>
        <v>0</v>
      </c>
      <c r="V40" s="39" t="n">
        <f aca="false">+'CCs # Master'!T27</f>
        <v>0</v>
      </c>
      <c r="W40" s="39" t="n">
        <f aca="false">+'CCs # Master'!U27</f>
        <v>0</v>
      </c>
      <c r="X40" s="39" t="n">
        <f aca="false">+'CCs # Master'!V27</f>
        <v>100</v>
      </c>
      <c r="Y40" s="39" t="n">
        <f aca="false">+'CCs # Master'!W27</f>
        <v>0</v>
      </c>
      <c r="Z40" s="39" t="n">
        <f aca="false">+'CCs # Master'!X27</f>
        <v>236</v>
      </c>
      <c r="AA40" s="39" t="n">
        <f aca="false">+'CCs # Master'!Y27</f>
        <v>0</v>
      </c>
      <c r="AB40" s="39" t="n">
        <f aca="false">+'CCs # Master'!Z27</f>
        <v>0</v>
      </c>
      <c r="AC40" s="39" t="n">
        <f aca="false">+'CCs # Master'!AA27</f>
        <v>0</v>
      </c>
      <c r="AD40" s="39" t="n">
        <f aca="false">+'CCs # Master'!AB27</f>
        <v>180</v>
      </c>
      <c r="AE40" s="39" t="n">
        <f aca="false">+'CCs # Master'!AC27</f>
        <v>0</v>
      </c>
      <c r="AF40" s="39" t="n">
        <f aca="false">+'CCs # Master'!AD27</f>
        <v>192</v>
      </c>
      <c r="AG40" s="39" t="n">
        <f aca="false">+'CCs # Master'!AE27</f>
        <v>67</v>
      </c>
      <c r="AH40" s="39" t="n">
        <f aca="false">+'CCs # Master'!AF27</f>
        <v>25</v>
      </c>
      <c r="AI40" s="39" t="n">
        <f aca="false">+'CCs # Master'!AG27</f>
        <v>0</v>
      </c>
      <c r="AJ40" s="39" t="n">
        <f aca="false">+'CCs # Master'!AH27</f>
        <v>907</v>
      </c>
      <c r="AK40" s="39" t="n">
        <f aca="false">+'CCs # Master'!AI27</f>
        <v>907</v>
      </c>
      <c r="AL40" s="39" t="n">
        <f aca="false">+'CCs # Master'!AJ27</f>
        <v>624</v>
      </c>
      <c r="AM40" s="39" t="n">
        <f aca="false">+'CCs # Master'!AK27</f>
        <v>38</v>
      </c>
      <c r="AN40" s="39" t="n">
        <f aca="false">+'CCs # Master'!AL27</f>
        <v>408</v>
      </c>
      <c r="AO40" s="39" t="n">
        <f aca="false">+'CCs # Master'!AM27</f>
        <v>0</v>
      </c>
      <c r="AP40" s="39" t="n">
        <f aca="false">+'CCs # Master'!AN27</f>
        <v>0</v>
      </c>
      <c r="AQ40" s="39" t="n">
        <f aca="false">+'CCs # Master'!AO27</f>
        <v>499</v>
      </c>
      <c r="AR40" s="39" t="n">
        <f aca="false">+'CCs # Master'!AP27</f>
        <v>15</v>
      </c>
      <c r="AS40" s="39" t="n">
        <f aca="false">+'CCs # Master'!AQ27</f>
        <v>0</v>
      </c>
      <c r="AT40" s="39" t="n">
        <f aca="false">+'CCs # Master'!AR27</f>
        <v>0</v>
      </c>
      <c r="AU40" s="39" t="n">
        <f aca="false">+'CCs # Master'!AS27</f>
        <v>0</v>
      </c>
      <c r="AV40" s="39" t="n">
        <f aca="false">+'CCs # Master'!AT27</f>
        <v>0</v>
      </c>
      <c r="AW40" s="0"/>
      <c r="AX40" s="71" t="n">
        <f aca="false">SUM(N40:AW40)</f>
        <v>14184</v>
      </c>
      <c r="AY40" s="71" t="n">
        <f aca="false">+K40-AX40</f>
        <v>0</v>
      </c>
      <c r="AZ40" s="39"/>
      <c r="BA40" s="39" t="n">
        <f aca="false">+P40+Q40+T40+U40+V40+W40+X40+Y40</f>
        <v>100</v>
      </c>
      <c r="BB40" s="39" t="n">
        <f aca="false">N40</f>
        <v>9986</v>
      </c>
      <c r="BC40" s="39" t="n">
        <f aca="false">SUM(P40:AW40)</f>
        <v>4198</v>
      </c>
      <c r="BD40" s="39"/>
      <c r="BE40" s="39" t="n">
        <f aca="false">SUM(BB40:BC40)</f>
        <v>14184</v>
      </c>
      <c r="BF40" s="39"/>
      <c r="BG40" s="48" t="n">
        <f aca="false">SUM(N40:AW40)</f>
        <v>14184</v>
      </c>
      <c r="BH40" s="39" t="n">
        <f aca="false">BE40-BG40</f>
        <v>0</v>
      </c>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c r="IT40" s="39"/>
      <c r="IU40" s="39"/>
      <c r="IV40" s="39"/>
      <c r="IW40" s="39"/>
    </row>
    <row r="41" customFormat="false" ht="12.95" hidden="false" customHeight="true" outlineLevel="0" collapsed="false">
      <c r="A41" s="37" t="str">
        <f aca="false">+'CCs # Master'!A29</f>
        <v>0011</v>
      </c>
      <c r="B41" s="39" t="str">
        <f aca="false">+'CCs # Master'!B29</f>
        <v>Ad Valorem Tax</v>
      </c>
      <c r="C41" s="39" t="str">
        <f aca="false">+'CCs # Master'!C29</f>
        <v>Russo, Gavin</v>
      </c>
      <c r="D41" s="96" t="n">
        <f aca="false">+'CCs # Master'!D29</f>
        <v>100029</v>
      </c>
      <c r="E41" s="39" t="n">
        <f aca="false">+'CCs # Master'!E29</f>
        <v>945</v>
      </c>
      <c r="F41" s="39" t="n">
        <f aca="false">+'CCs # Master'!F29</f>
        <v>176</v>
      </c>
      <c r="G41" s="39" t="n">
        <f aca="false">+'CCs # Master'!G29</f>
        <v>6</v>
      </c>
      <c r="H41" s="39" t="n">
        <f aca="false">+'CCs # Master'!H29</f>
        <v>143</v>
      </c>
      <c r="I41" s="39" t="n">
        <f aca="false">+'CCs # Master'!I29</f>
        <v>110</v>
      </c>
      <c r="J41" s="39" t="n">
        <f aca="false">+'CCs # Master'!J29</f>
        <v>8</v>
      </c>
      <c r="K41" s="39" t="n">
        <f aca="false">SUM(E41:J41)</f>
        <v>1388</v>
      </c>
      <c r="L41" s="39"/>
      <c r="M41" s="39" t="str">
        <f aca="false">+'CCs # Master'!M29</f>
        <v>Properties, Tax,  &amp; MMF </v>
      </c>
      <c r="N41" s="39" t="n">
        <f aca="false">+'CCs # Master'!AW29</f>
        <v>255</v>
      </c>
      <c r="O41" s="39" t="n">
        <v>0</v>
      </c>
      <c r="P41" s="39" t="n">
        <f aca="false">+'CCs # Master'!N29</f>
        <v>79</v>
      </c>
      <c r="Q41" s="39" t="n">
        <f aca="false">+'CCs # Master'!O29</f>
        <v>123</v>
      </c>
      <c r="R41" s="39" t="n">
        <f aca="false">+'CCs # Master'!P29</f>
        <v>0</v>
      </c>
      <c r="S41" s="39" t="n">
        <f aca="false">+'CCs # Master'!Q29</f>
        <v>0</v>
      </c>
      <c r="T41" s="39" t="n">
        <f aca="false">+'CCs # Master'!R29</f>
        <v>0</v>
      </c>
      <c r="U41" s="39" t="n">
        <f aca="false">+'CCs # Master'!S29</f>
        <v>0</v>
      </c>
      <c r="V41" s="39" t="n">
        <f aca="false">+'CCs # Master'!T29</f>
        <v>0</v>
      </c>
      <c r="W41" s="39" t="n">
        <f aca="false">+'CCs # Master'!U29</f>
        <v>304</v>
      </c>
      <c r="X41" s="39" t="n">
        <f aca="false">+'CCs # Master'!V29</f>
        <v>0</v>
      </c>
      <c r="Y41" s="39" t="n">
        <f aca="false">+'CCs # Master'!W29</f>
        <v>0</v>
      </c>
      <c r="Z41" s="39" t="n">
        <f aca="false">+'CCs # Master'!X29</f>
        <v>234</v>
      </c>
      <c r="AA41" s="39" t="n">
        <f aca="false">+'CCs # Master'!Y29</f>
        <v>0</v>
      </c>
      <c r="AB41" s="39" t="n">
        <f aca="false">+'CCs # Master'!Z29</f>
        <v>43</v>
      </c>
      <c r="AC41" s="39" t="n">
        <f aca="false">+'CCs # Master'!AA29</f>
        <v>0</v>
      </c>
      <c r="AD41" s="39" t="n">
        <f aca="false">+'CCs # Master'!AB29</f>
        <v>0</v>
      </c>
      <c r="AE41" s="39" t="n">
        <f aca="false">+'CCs # Master'!AC29</f>
        <v>0</v>
      </c>
      <c r="AF41" s="39" t="n">
        <f aca="false">+'CCs # Master'!AD29</f>
        <v>100</v>
      </c>
      <c r="AG41" s="39" t="n">
        <f aca="false">+'CCs # Master'!AE29</f>
        <v>150</v>
      </c>
      <c r="AH41" s="39" t="n">
        <f aca="false">+'CCs # Master'!AF29</f>
        <v>75</v>
      </c>
      <c r="AI41" s="39" t="n">
        <f aca="false">+'CCs # Master'!AG29</f>
        <v>10</v>
      </c>
      <c r="AJ41" s="39" t="n">
        <f aca="false">+'CCs # Master'!AH29</f>
        <v>0</v>
      </c>
      <c r="AK41" s="39" t="n">
        <f aca="false">+'CCs # Master'!AI29</f>
        <v>0</v>
      </c>
      <c r="AL41" s="39" t="n">
        <f aca="false">+'CCs # Master'!AJ29</f>
        <v>0</v>
      </c>
      <c r="AM41" s="39" t="n">
        <f aca="false">+'CCs # Master'!AK29</f>
        <v>0</v>
      </c>
      <c r="AN41" s="39" t="n">
        <f aca="false">+'CCs # Master'!AL29</f>
        <v>0</v>
      </c>
      <c r="AO41" s="39" t="n">
        <f aca="false">+'CCs # Master'!AM29</f>
        <v>0</v>
      </c>
      <c r="AP41" s="39" t="n">
        <f aca="false">+'CCs # Master'!AN29</f>
        <v>0</v>
      </c>
      <c r="AQ41" s="39" t="n">
        <f aca="false">+'CCs # Master'!AO29</f>
        <v>0</v>
      </c>
      <c r="AR41" s="39" t="n">
        <f aca="false">+'CCs # Master'!AP29</f>
        <v>15</v>
      </c>
      <c r="AS41" s="39" t="n">
        <f aca="false">+'CCs # Master'!AQ29</f>
        <v>0</v>
      </c>
      <c r="AT41" s="39" t="n">
        <f aca="false">+'CCs # Master'!AR29</f>
        <v>0</v>
      </c>
      <c r="AU41" s="39" t="n">
        <f aca="false">+'CCs # Master'!AS29</f>
        <v>0</v>
      </c>
      <c r="AV41" s="39" t="n">
        <f aca="false">+'CCs # Master'!AT29</f>
        <v>0</v>
      </c>
      <c r="AW41" s="0"/>
      <c r="AX41" s="71" t="n">
        <f aca="false">SUM(N41:AW41)</f>
        <v>1388</v>
      </c>
      <c r="AY41" s="71" t="n">
        <f aca="false">+K41-AX41</f>
        <v>0</v>
      </c>
      <c r="AZ41" s="39"/>
      <c r="BA41" s="39" t="n">
        <f aca="false">+P41+Q41+T41+U41+V41+W41+X41+Y41</f>
        <v>506</v>
      </c>
      <c r="BB41" s="39" t="n">
        <f aca="false">N41</f>
        <v>255</v>
      </c>
      <c r="BC41" s="39" t="n">
        <f aca="false">SUM(P41:AW41)</f>
        <v>1133</v>
      </c>
      <c r="BD41" s="39"/>
      <c r="BE41" s="39" t="n">
        <f aca="false">SUM(BB41:BC41)</f>
        <v>1388</v>
      </c>
      <c r="BF41" s="39"/>
      <c r="BG41" s="48" t="n">
        <f aca="false">SUM(N41:AW41)</f>
        <v>1388</v>
      </c>
      <c r="BH41" s="39" t="n">
        <f aca="false">BE41-BG41</f>
        <v>0</v>
      </c>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c r="IK41" s="39"/>
      <c r="IL41" s="39"/>
      <c r="IM41" s="39"/>
      <c r="IN41" s="39"/>
      <c r="IO41" s="39"/>
      <c r="IP41" s="39"/>
      <c r="IQ41" s="39"/>
      <c r="IR41" s="39"/>
      <c r="IS41" s="39"/>
      <c r="IT41" s="39"/>
      <c r="IU41" s="39"/>
      <c r="IV41" s="39"/>
      <c r="IW41" s="39"/>
    </row>
    <row r="42" customFormat="false" ht="12.95" hidden="false" customHeight="true" outlineLevel="0" collapsed="false">
      <c r="A42" s="37" t="n">
        <f aca="false">+'CCs # Master'!A41</f>
        <v>11</v>
      </c>
      <c r="B42" s="39" t="str">
        <f aca="false">+'CCs # Master'!B41</f>
        <v>Tax - Analyst/Intern Recruiting</v>
      </c>
      <c r="C42" s="39" t="str">
        <f aca="false">+'CCs # Master'!C41</f>
        <v>Coats, Ed</v>
      </c>
      <c r="D42" s="96" t="n">
        <f aca="false">+'CCs # Master'!D41</f>
        <v>100045</v>
      </c>
      <c r="E42" s="39" t="n">
        <f aca="false">+'CCs # Master'!E41</f>
        <v>2154</v>
      </c>
      <c r="F42" s="39" t="n">
        <f aca="false">+'CCs # Master'!F41</f>
        <v>80</v>
      </c>
      <c r="G42" s="39" t="n">
        <f aca="false">+'CCs # Master'!G41</f>
        <v>5</v>
      </c>
      <c r="H42" s="39" t="n">
        <f aca="false">+'CCs # Master'!H41</f>
        <v>18</v>
      </c>
      <c r="I42" s="39" t="n">
        <f aca="false">+'CCs # Master'!I41</f>
        <v>62</v>
      </c>
      <c r="J42" s="39" t="n">
        <f aca="false">+'CCs # Master'!J41</f>
        <v>0</v>
      </c>
      <c r="K42" s="39" t="n">
        <f aca="false">SUM(E42:J42)</f>
        <v>2319</v>
      </c>
      <c r="L42" s="39"/>
      <c r="M42" s="39" t="str">
        <f aca="false">+'CCs # Master'!M41</f>
        <v>Resources &amp; Assignment</v>
      </c>
      <c r="N42" s="39" t="n">
        <f aca="false">+'CCs # Master'!AW41</f>
        <v>2319</v>
      </c>
      <c r="O42" s="39" t="n">
        <v>0</v>
      </c>
      <c r="P42" s="39" t="n">
        <f aca="false">+'CCs # Master'!N41</f>
        <v>0</v>
      </c>
      <c r="Q42" s="39" t="n">
        <f aca="false">+'CCs # Master'!O41</f>
        <v>0</v>
      </c>
      <c r="R42" s="39" t="n">
        <f aca="false">+'CCs # Master'!P41</f>
        <v>0</v>
      </c>
      <c r="S42" s="39" t="n">
        <f aca="false">+'CCs # Master'!Q41</f>
        <v>0</v>
      </c>
      <c r="T42" s="39" t="n">
        <f aca="false">+'CCs # Master'!R41</f>
        <v>0</v>
      </c>
      <c r="U42" s="39" t="n">
        <f aca="false">+'CCs # Master'!S41</f>
        <v>0</v>
      </c>
      <c r="V42" s="39" t="n">
        <f aca="false">+'CCs # Master'!T41</f>
        <v>0</v>
      </c>
      <c r="W42" s="39" t="n">
        <f aca="false">+'CCs # Master'!U41</f>
        <v>0</v>
      </c>
      <c r="X42" s="39" t="n">
        <f aca="false">+'CCs # Master'!V41</f>
        <v>0</v>
      </c>
      <c r="Y42" s="39" t="n">
        <f aca="false">+'CCs # Master'!W41</f>
        <v>0</v>
      </c>
      <c r="Z42" s="39" t="n">
        <f aca="false">+'CCs # Master'!X41</f>
        <v>0</v>
      </c>
      <c r="AA42" s="39" t="n">
        <f aca="false">+'CCs # Master'!Y41</f>
        <v>0</v>
      </c>
      <c r="AB42" s="39" t="n">
        <f aca="false">+'CCs # Master'!Z41</f>
        <v>0</v>
      </c>
      <c r="AC42" s="39" t="n">
        <f aca="false">+'CCs # Master'!AA41</f>
        <v>0</v>
      </c>
      <c r="AD42" s="39" t="n">
        <f aca="false">+'CCs # Master'!AB41</f>
        <v>0</v>
      </c>
      <c r="AE42" s="39" t="n">
        <f aca="false">+'CCs # Master'!AC41</f>
        <v>0</v>
      </c>
      <c r="AF42" s="39" t="n">
        <f aca="false">+'CCs # Master'!AD41</f>
        <v>0</v>
      </c>
      <c r="AG42" s="39" t="n">
        <f aca="false">+'CCs # Master'!AE41</f>
        <v>0</v>
      </c>
      <c r="AH42" s="39" t="n">
        <f aca="false">+'CCs # Master'!AF41</f>
        <v>0</v>
      </c>
      <c r="AI42" s="39" t="n">
        <f aca="false">+'CCs # Master'!AG41</f>
        <v>0</v>
      </c>
      <c r="AJ42" s="39" t="n">
        <f aca="false">+'CCs # Master'!AH41</f>
        <v>0</v>
      </c>
      <c r="AK42" s="39" t="n">
        <f aca="false">+'CCs # Master'!AI41</f>
        <v>0</v>
      </c>
      <c r="AL42" s="39" t="n">
        <f aca="false">+'CCs # Master'!AJ41</f>
        <v>0</v>
      </c>
      <c r="AM42" s="39" t="n">
        <f aca="false">+'CCs # Master'!AK41</f>
        <v>0</v>
      </c>
      <c r="AN42" s="39" t="n">
        <f aca="false">+'CCs # Master'!AL41</f>
        <v>0</v>
      </c>
      <c r="AO42" s="39" t="n">
        <f aca="false">+'CCs # Master'!AM41</f>
        <v>0</v>
      </c>
      <c r="AP42" s="39" t="n">
        <f aca="false">+'CCs # Master'!AN41</f>
        <v>0</v>
      </c>
      <c r="AQ42" s="39" t="n">
        <f aca="false">+'CCs # Master'!AO41</f>
        <v>0</v>
      </c>
      <c r="AR42" s="39" t="n">
        <f aca="false">+'CCs # Master'!AP41</f>
        <v>0</v>
      </c>
      <c r="AS42" s="39" t="n">
        <f aca="false">+'CCs # Master'!AQ41</f>
        <v>0</v>
      </c>
      <c r="AT42" s="39" t="n">
        <f aca="false">+'CCs # Master'!AR41</f>
        <v>0</v>
      </c>
      <c r="AU42" s="39" t="n">
        <f aca="false">+'CCs # Master'!AS41</f>
        <v>0</v>
      </c>
      <c r="AV42" s="39" t="n">
        <f aca="false">+'CCs # Master'!AT41</f>
        <v>0</v>
      </c>
      <c r="AW42" s="0"/>
      <c r="AX42" s="71" t="n">
        <f aca="false">SUM(N42:AW42)</f>
        <v>2319</v>
      </c>
      <c r="AY42" s="71" t="n">
        <f aca="false">+K42-AX42</f>
        <v>0</v>
      </c>
      <c r="AZ42" s="39"/>
      <c r="BA42" s="39" t="n">
        <f aca="false">+P42+Q42+T42+U42+V42+W42+X42+Y42</f>
        <v>0</v>
      </c>
      <c r="BB42" s="39" t="n">
        <f aca="false">N42</f>
        <v>2319</v>
      </c>
      <c r="BC42" s="39" t="n">
        <f aca="false">SUM(P42:AW42)</f>
        <v>0</v>
      </c>
      <c r="BD42" s="39"/>
      <c r="BE42" s="39" t="n">
        <f aca="false">SUM(BB42:BC42)</f>
        <v>2319</v>
      </c>
      <c r="BF42" s="39"/>
      <c r="BG42" s="48" t="n">
        <f aca="false">SUM(N42:AW42)</f>
        <v>2319</v>
      </c>
      <c r="BH42" s="39" t="n">
        <f aca="false">BE42-BG42</f>
        <v>0</v>
      </c>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c r="IT42" s="39"/>
      <c r="IU42" s="39"/>
      <c r="IV42" s="39"/>
      <c r="IW42" s="39"/>
    </row>
    <row r="43" customFormat="false" ht="12.95" hidden="false" customHeight="true" outlineLevel="0" collapsed="false">
      <c r="A43" s="37" t="n">
        <f aca="false">+'CCs # Master'!A127</f>
        <v>11</v>
      </c>
      <c r="B43" s="99" t="str">
        <f aca="false">+'CCs # Master'!B127</f>
        <v>CORP - IT Compliance</v>
      </c>
      <c r="C43" s="99" t="str">
        <f aca="false">+'CCs # Master'!C127</f>
        <v>Parsons, A</v>
      </c>
      <c r="D43" s="37" t="n">
        <f aca="false">+'CCs # Master'!D127</f>
        <v>100091</v>
      </c>
      <c r="E43" s="39" t="n">
        <f aca="false">+'CCs # Master'!E127</f>
        <v>500</v>
      </c>
      <c r="F43" s="39" t="n">
        <f aca="false">+'CCs # Master'!F127</f>
        <v>65</v>
      </c>
      <c r="G43" s="39" t="n">
        <f aca="false">+'CCs # Master'!G127</f>
        <v>6</v>
      </c>
      <c r="H43" s="39" t="n">
        <f aca="false">+'CCs # Master'!H127</f>
        <v>121</v>
      </c>
      <c r="I43" s="39" t="n">
        <f aca="false">+'CCs # Master'!I127</f>
        <v>18</v>
      </c>
      <c r="J43" s="39" t="n">
        <f aca="false">+'CCs # Master'!J127</f>
        <v>17</v>
      </c>
      <c r="K43" s="39" t="n">
        <f aca="false">SUM(E43:J43)</f>
        <v>727</v>
      </c>
      <c r="L43" s="39"/>
      <c r="M43" s="39" t="str">
        <f aca="false">+'CCs # Master'!M127</f>
        <v>Retained at Corp</v>
      </c>
      <c r="N43" s="39" t="n">
        <f aca="false">+'CCs # Master'!AW127</f>
        <v>727</v>
      </c>
      <c r="O43" s="39" t="n">
        <v>0</v>
      </c>
      <c r="P43" s="39" t="n">
        <f aca="false">+'CCs # Master'!N127</f>
        <v>0</v>
      </c>
      <c r="Q43" s="39" t="n">
        <f aca="false">+'CCs # Master'!O127</f>
        <v>0</v>
      </c>
      <c r="R43" s="39" t="n">
        <f aca="false">+'CCs # Master'!P127</f>
        <v>0</v>
      </c>
      <c r="S43" s="39" t="n">
        <f aca="false">+'CCs # Master'!Q127</f>
        <v>0</v>
      </c>
      <c r="T43" s="39" t="n">
        <f aca="false">+'CCs # Master'!R127</f>
        <v>0</v>
      </c>
      <c r="U43" s="39" t="n">
        <f aca="false">+'CCs # Master'!S127</f>
        <v>0</v>
      </c>
      <c r="V43" s="39" t="n">
        <f aca="false">+'CCs # Master'!T127</f>
        <v>0</v>
      </c>
      <c r="W43" s="39" t="n">
        <f aca="false">+'CCs # Master'!U127</f>
        <v>0</v>
      </c>
      <c r="X43" s="39" t="n">
        <f aca="false">+'CCs # Master'!V127</f>
        <v>0</v>
      </c>
      <c r="Y43" s="39" t="n">
        <f aca="false">+'CCs # Master'!W127</f>
        <v>0</v>
      </c>
      <c r="Z43" s="39" t="n">
        <f aca="false">+'CCs # Master'!X127</f>
        <v>0</v>
      </c>
      <c r="AA43" s="39" t="n">
        <f aca="false">+'CCs # Master'!Y127</f>
        <v>0</v>
      </c>
      <c r="AB43" s="39" t="n">
        <f aca="false">+'CCs # Master'!Z127</f>
        <v>0</v>
      </c>
      <c r="AC43" s="39" t="n">
        <f aca="false">+'CCs # Master'!AA127</f>
        <v>0</v>
      </c>
      <c r="AD43" s="39" t="n">
        <f aca="false">+'CCs # Master'!AB127</f>
        <v>0</v>
      </c>
      <c r="AE43" s="39" t="n">
        <f aca="false">+'CCs # Master'!AC127</f>
        <v>0</v>
      </c>
      <c r="AF43" s="39" t="n">
        <f aca="false">+'CCs # Master'!AD127</f>
        <v>0</v>
      </c>
      <c r="AG43" s="39" t="n">
        <f aca="false">+'CCs # Master'!AE127</f>
        <v>0</v>
      </c>
      <c r="AH43" s="39" t="n">
        <f aca="false">+'CCs # Master'!AF127</f>
        <v>0</v>
      </c>
      <c r="AI43" s="39" t="n">
        <f aca="false">+'CCs # Master'!AG127</f>
        <v>0</v>
      </c>
      <c r="AJ43" s="39" t="n">
        <f aca="false">+'CCs # Master'!AH127</f>
        <v>0</v>
      </c>
      <c r="AK43" s="39" t="n">
        <f aca="false">+'CCs # Master'!AI127</f>
        <v>0</v>
      </c>
      <c r="AL43" s="39" t="n">
        <f aca="false">+'CCs # Master'!AJ127</f>
        <v>0</v>
      </c>
      <c r="AM43" s="39" t="n">
        <f aca="false">+'CCs # Master'!AK127</f>
        <v>0</v>
      </c>
      <c r="AN43" s="39" t="n">
        <f aca="false">+'CCs # Master'!AL127</f>
        <v>0</v>
      </c>
      <c r="AO43" s="39" t="n">
        <f aca="false">+'CCs # Master'!AM127</f>
        <v>0</v>
      </c>
      <c r="AP43" s="39" t="n">
        <f aca="false">+'CCs # Master'!AN127</f>
        <v>0</v>
      </c>
      <c r="AQ43" s="39" t="n">
        <f aca="false">+'CCs # Master'!AO127</f>
        <v>0</v>
      </c>
      <c r="AR43" s="39" t="n">
        <f aca="false">+'CCs # Master'!AP127</f>
        <v>0</v>
      </c>
      <c r="AS43" s="39" t="n">
        <f aca="false">+'CCs # Master'!AQ127</f>
        <v>0</v>
      </c>
      <c r="AT43" s="39" t="n">
        <f aca="false">+'CCs # Master'!AR127</f>
        <v>0</v>
      </c>
      <c r="AU43" s="39" t="n">
        <f aca="false">+'CCs # Master'!AS127</f>
        <v>0</v>
      </c>
      <c r="AV43" s="39" t="n">
        <f aca="false">+'CCs # Master'!AT127</f>
        <v>0</v>
      </c>
      <c r="AW43" s="0"/>
      <c r="AX43" s="71" t="n">
        <f aca="false">SUM(N43:AW43)</f>
        <v>727</v>
      </c>
      <c r="AY43" s="71" t="n">
        <f aca="false">+K43-AX43</f>
        <v>0</v>
      </c>
      <c r="AZ43" s="39"/>
      <c r="BA43" s="39" t="n">
        <f aca="false">+P43+Q43+T43+U43+V43+W43+X43+Y43</f>
        <v>0</v>
      </c>
      <c r="BB43" s="39" t="n">
        <f aca="false">N43</f>
        <v>727</v>
      </c>
      <c r="BC43" s="39" t="n">
        <f aca="false">SUM(P43:AW43)</f>
        <v>0</v>
      </c>
      <c r="BD43" s="39"/>
      <c r="BE43" s="39" t="n">
        <f aca="false">SUM(BB43:BC43)</f>
        <v>727</v>
      </c>
      <c r="BF43" s="39"/>
      <c r="BG43" s="48" t="n">
        <f aca="false">SUM(N43:AW43)</f>
        <v>727</v>
      </c>
      <c r="BH43" s="39" t="n">
        <f aca="false">BE43-BG43</f>
        <v>0</v>
      </c>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c r="IT43" s="39"/>
      <c r="IU43" s="39"/>
      <c r="IV43" s="39"/>
      <c r="IW43" s="39"/>
    </row>
    <row r="44" customFormat="false" ht="12.95" hidden="false" customHeight="true" outlineLevel="0" collapsed="false">
      <c r="A44" s="37" t="str">
        <f aca="false">+'CCs # Master'!A89</f>
        <v>0011</v>
      </c>
      <c r="B44" s="39" t="str">
        <f aca="false">+'CCs # Master'!B89</f>
        <v>Professional Accounting Fees</v>
      </c>
      <c r="C44" s="39" t="str">
        <f aca="false">+'CCs # Master'!C89</f>
        <v>Butts, Bob</v>
      </c>
      <c r="D44" s="96" t="n">
        <f aca="false">+'CCs # Master'!D89</f>
        <v>100127</v>
      </c>
      <c r="E44" s="39" t="n">
        <f aca="false">+'CCs # Master'!E89</f>
        <v>881</v>
      </c>
      <c r="F44" s="39" t="n">
        <f aca="false">+'CCs # Master'!F89</f>
        <v>81</v>
      </c>
      <c r="G44" s="39" t="n">
        <f aca="false">+'CCs # Master'!G89</f>
        <v>2</v>
      </c>
      <c r="H44" s="39" t="n">
        <f aca="false">+'CCs # Master'!H89</f>
        <v>11964</v>
      </c>
      <c r="I44" s="39" t="n">
        <f aca="false">+'CCs # Master'!I89</f>
        <v>132</v>
      </c>
      <c r="J44" s="39" t="n">
        <f aca="false">+'CCs # Master'!J89</f>
        <v>3</v>
      </c>
      <c r="K44" s="39" t="n">
        <f aca="false">SUM(E44:J44)</f>
        <v>13063</v>
      </c>
      <c r="L44" s="39"/>
      <c r="M44" s="39" t="str">
        <f aca="false">+'CCs # Master'!M89</f>
        <v>Contract Specific &amp; MMF</v>
      </c>
      <c r="N44" s="39" t="n">
        <f aca="false">+'CCs # Master'!AW89</f>
        <v>3969</v>
      </c>
      <c r="O44" s="39" t="n">
        <v>0</v>
      </c>
      <c r="P44" s="39" t="n">
        <f aca="false">+'CCs # Master'!N89</f>
        <v>0</v>
      </c>
      <c r="Q44" s="39" t="n">
        <f aca="false">+'CCs # Master'!O89</f>
        <v>0</v>
      </c>
      <c r="R44" s="39" t="n">
        <f aca="false">+'CCs # Master'!P89</f>
        <v>97</v>
      </c>
      <c r="S44" s="39" t="n">
        <f aca="false">+'CCs # Master'!Q89</f>
        <v>103</v>
      </c>
      <c r="T44" s="39" t="n">
        <f aca="false">+'CCs # Master'!R89</f>
        <v>0</v>
      </c>
      <c r="U44" s="39" t="n">
        <f aca="false">+'CCs # Master'!S89</f>
        <v>0</v>
      </c>
      <c r="V44" s="39" t="n">
        <f aca="false">+'CCs # Master'!T89</f>
        <v>0</v>
      </c>
      <c r="W44" s="39" t="n">
        <f aca="false">+'CCs # Master'!U89</f>
        <v>785</v>
      </c>
      <c r="X44" s="39" t="n">
        <f aca="false">+'CCs # Master'!V89</f>
        <v>0</v>
      </c>
      <c r="Y44" s="39" t="n">
        <f aca="false">+'CCs # Master'!W89</f>
        <v>0</v>
      </c>
      <c r="Z44" s="39" t="n">
        <f aca="false">+'CCs # Master'!X89</f>
        <v>3000</v>
      </c>
      <c r="AA44" s="39" t="n">
        <f aca="false">+'CCs # Master'!Y89</f>
        <v>0</v>
      </c>
      <c r="AB44" s="39" t="n">
        <f aca="false">+'CCs # Master'!Z89</f>
        <v>42</v>
      </c>
      <c r="AC44" s="39" t="n">
        <f aca="false">+'CCs # Master'!AA89</f>
        <v>0</v>
      </c>
      <c r="AD44" s="39" t="n">
        <f aca="false">+'CCs # Master'!AB89</f>
        <v>0</v>
      </c>
      <c r="AE44" s="39" t="n">
        <f aca="false">+'CCs # Master'!AC89</f>
        <v>215</v>
      </c>
      <c r="AF44" s="39" t="n">
        <f aca="false">+'CCs # Master'!AD89</f>
        <v>1300</v>
      </c>
      <c r="AG44" s="39" t="n">
        <f aca="false">+'CCs # Master'!AE89</f>
        <v>1000</v>
      </c>
      <c r="AH44" s="39" t="n">
        <f aca="false">+'CCs # Master'!AF89</f>
        <v>0</v>
      </c>
      <c r="AI44" s="39" t="n">
        <f aca="false">+'CCs # Master'!AG89</f>
        <v>0</v>
      </c>
      <c r="AJ44" s="39" t="n">
        <f aca="false">+'CCs # Master'!AH89</f>
        <v>150</v>
      </c>
      <c r="AK44" s="39" t="n">
        <f aca="false">+'CCs # Master'!AI89</f>
        <v>275</v>
      </c>
      <c r="AL44" s="39" t="n">
        <f aca="false">+'CCs # Master'!AJ89</f>
        <v>200</v>
      </c>
      <c r="AM44" s="39" t="n">
        <f aca="false">+'CCs # Master'!AK89</f>
        <v>60</v>
      </c>
      <c r="AN44" s="39" t="n">
        <f aca="false">+'CCs # Master'!AL89</f>
        <v>0</v>
      </c>
      <c r="AO44" s="39" t="n">
        <f aca="false">+'CCs # Master'!AM89</f>
        <v>49</v>
      </c>
      <c r="AP44" s="39" t="n">
        <f aca="false">+'CCs # Master'!AN89</f>
        <v>0</v>
      </c>
      <c r="AQ44" s="39" t="n">
        <f aca="false">+'CCs # Master'!AO89</f>
        <v>1500</v>
      </c>
      <c r="AR44" s="39" t="n">
        <f aca="false">+'CCs # Master'!AP89</f>
        <v>318</v>
      </c>
      <c r="AS44" s="39" t="n">
        <f aca="false">+'CCs # Master'!AQ89</f>
        <v>0</v>
      </c>
      <c r="AT44" s="39" t="n">
        <f aca="false">+'CCs # Master'!AR89</f>
        <v>0</v>
      </c>
      <c r="AU44" s="39" t="n">
        <f aca="false">+'CCs # Master'!AS89</f>
        <v>0</v>
      </c>
      <c r="AV44" s="39" t="n">
        <f aca="false">+'CCs # Master'!AT89</f>
        <v>0</v>
      </c>
      <c r="AW44" s="0"/>
      <c r="AX44" s="71" t="n">
        <f aca="false">SUM(N44:AW44)</f>
        <v>13063</v>
      </c>
      <c r="AY44" s="71" t="n">
        <f aca="false">+K44-AX44</f>
        <v>0</v>
      </c>
      <c r="AZ44" s="39"/>
      <c r="BA44" s="39" t="n">
        <f aca="false">+P44+Q44+T44+U44+V44+W44+X44+Y44</f>
        <v>785</v>
      </c>
      <c r="BB44" s="39" t="n">
        <f aca="false">N44</f>
        <v>3969</v>
      </c>
      <c r="BC44" s="39" t="n">
        <f aca="false">SUM(P44:AW44)</f>
        <v>9094</v>
      </c>
      <c r="BD44" s="39"/>
      <c r="BE44" s="39" t="n">
        <f aca="false">SUM(BB44:BC44)</f>
        <v>13063</v>
      </c>
      <c r="BF44" s="39"/>
      <c r="BG44" s="48" t="n">
        <f aca="false">SUM(N44:AW44)</f>
        <v>13063</v>
      </c>
      <c r="BH44" s="39" t="n">
        <f aca="false">BE44-BG44</f>
        <v>0</v>
      </c>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c r="IT44" s="39"/>
      <c r="IU44" s="39"/>
      <c r="IV44" s="39"/>
      <c r="IW44" s="39"/>
    </row>
    <row r="45" customFormat="false" ht="12.95" hidden="false" customHeight="true" outlineLevel="0" collapsed="false">
      <c r="A45" s="37" t="n">
        <f aca="false">+'CCs # Master'!A116</f>
        <v>11</v>
      </c>
      <c r="B45" s="39" t="str">
        <f aca="false">+'CCs # Master'!B116</f>
        <v>Sales &amp; Use Tax</v>
      </c>
      <c r="C45" s="39" t="str">
        <f aca="false">+'CCs # Master'!C116</f>
        <v>Moore, Jerry</v>
      </c>
      <c r="D45" s="96" t="n">
        <f aca="false">+'CCs # Master'!D116</f>
        <v>100280</v>
      </c>
      <c r="E45" s="39" t="n">
        <f aca="false">+'CCs # Master'!E116</f>
        <v>1384</v>
      </c>
      <c r="F45" s="39" t="n">
        <f aca="false">+'CCs # Master'!F116</f>
        <v>154</v>
      </c>
      <c r="G45" s="39" t="n">
        <f aca="false">+'CCs # Master'!G116</f>
        <v>12</v>
      </c>
      <c r="H45" s="39" t="n">
        <f aca="false">+'CCs # Master'!H116</f>
        <v>269</v>
      </c>
      <c r="I45" s="39" t="n">
        <f aca="false">+'CCs # Master'!I116</f>
        <v>110</v>
      </c>
      <c r="J45" s="39" t="n">
        <f aca="false">+'CCs # Master'!J116</f>
        <v>7</v>
      </c>
      <c r="K45" s="39" t="n">
        <f aca="false">SUM(E45:J45)</f>
        <v>1936</v>
      </c>
      <c r="L45" s="39"/>
      <c r="M45" s="39" t="str">
        <f aca="false">+'CCs # Master'!M116</f>
        <v>Anticipated Resources</v>
      </c>
      <c r="N45" s="39" t="n">
        <f aca="false">+'CCs # Master'!AW116</f>
        <v>163</v>
      </c>
      <c r="O45" s="39" t="n">
        <v>0</v>
      </c>
      <c r="P45" s="39" t="n">
        <f aca="false">+'CCs # Master'!N116</f>
        <v>9</v>
      </c>
      <c r="Q45" s="39" t="n">
        <f aca="false">+'CCs # Master'!O116</f>
        <v>123</v>
      </c>
      <c r="R45" s="39" t="n">
        <f aca="false">+'CCs # Master'!P116</f>
        <v>133</v>
      </c>
      <c r="S45" s="39" t="n">
        <f aca="false">+'CCs # Master'!Q116</f>
        <v>142</v>
      </c>
      <c r="T45" s="39" t="n">
        <f aca="false">+'CCs # Master'!R116</f>
        <v>0</v>
      </c>
      <c r="U45" s="39" t="n">
        <f aca="false">+'CCs # Master'!S116</f>
        <v>0</v>
      </c>
      <c r="V45" s="39" t="n">
        <f aca="false">+'CCs # Master'!T116</f>
        <v>0</v>
      </c>
      <c r="W45" s="39" t="n">
        <f aca="false">+'CCs # Master'!U116</f>
        <v>142</v>
      </c>
      <c r="X45" s="39" t="n">
        <f aca="false">+'CCs # Master'!V116</f>
        <v>0</v>
      </c>
      <c r="Y45" s="39" t="n">
        <f aca="false">+'CCs # Master'!W116</f>
        <v>0</v>
      </c>
      <c r="Z45" s="39" t="n">
        <f aca="false">+'CCs # Master'!X116</f>
        <v>821</v>
      </c>
      <c r="AA45" s="39" t="n">
        <f aca="false">+'CCs # Master'!Y116</f>
        <v>0</v>
      </c>
      <c r="AB45" s="39" t="n">
        <f aca="false">+'CCs # Master'!Z116</f>
        <v>75</v>
      </c>
      <c r="AC45" s="39" t="n">
        <f aca="false">+'CCs # Master'!AA116</f>
        <v>0</v>
      </c>
      <c r="AD45" s="39" t="n">
        <f aca="false">+'CCs # Master'!AB116</f>
        <v>0</v>
      </c>
      <c r="AE45" s="39" t="n">
        <f aca="false">+'CCs # Master'!AC116</f>
        <v>0</v>
      </c>
      <c r="AF45" s="39" t="n">
        <f aca="false">+'CCs # Master'!AD116</f>
        <v>275</v>
      </c>
      <c r="AG45" s="39" t="n">
        <f aca="false">+'CCs # Master'!AE116</f>
        <v>0</v>
      </c>
      <c r="AH45" s="39" t="n">
        <f aca="false">+'CCs # Master'!AF116</f>
        <v>0</v>
      </c>
      <c r="AI45" s="39" t="n">
        <f aca="false">+'CCs # Master'!AG116</f>
        <v>0</v>
      </c>
      <c r="AJ45" s="39" t="n">
        <f aca="false">+'CCs # Master'!AH116</f>
        <v>0</v>
      </c>
      <c r="AK45" s="39" t="n">
        <f aca="false">+'CCs # Master'!AI116</f>
        <v>0</v>
      </c>
      <c r="AL45" s="39" t="n">
        <f aca="false">+'CCs # Master'!AJ116</f>
        <v>0</v>
      </c>
      <c r="AM45" s="39" t="n">
        <f aca="false">+'CCs # Master'!AK116</f>
        <v>0</v>
      </c>
      <c r="AN45" s="39" t="n">
        <f aca="false">+'CCs # Master'!AL116</f>
        <v>0</v>
      </c>
      <c r="AO45" s="39" t="n">
        <f aca="false">+'CCs # Master'!AM116</f>
        <v>0</v>
      </c>
      <c r="AP45" s="39" t="n">
        <f aca="false">+'CCs # Master'!AN116</f>
        <v>0</v>
      </c>
      <c r="AQ45" s="39" t="n">
        <f aca="false">+'CCs # Master'!AO116</f>
        <v>0</v>
      </c>
      <c r="AR45" s="39" t="n">
        <f aca="false">+'CCs # Master'!AP116</f>
        <v>53</v>
      </c>
      <c r="AS45" s="39" t="n">
        <f aca="false">+'CCs # Master'!AQ116</f>
        <v>0</v>
      </c>
      <c r="AT45" s="39" t="n">
        <f aca="false">+'CCs # Master'!AR116</f>
        <v>0</v>
      </c>
      <c r="AU45" s="39" t="n">
        <f aca="false">+'CCs # Master'!AS116</f>
        <v>0</v>
      </c>
      <c r="AV45" s="39" t="n">
        <f aca="false">+'CCs # Master'!AT116</f>
        <v>0</v>
      </c>
      <c r="AW45" s="0"/>
      <c r="AX45" s="71" t="n">
        <f aca="false">SUM(N45:AW45)</f>
        <v>1936</v>
      </c>
      <c r="AY45" s="71" t="n">
        <f aca="false">+K45-AX45</f>
        <v>0</v>
      </c>
      <c r="AZ45" s="39"/>
      <c r="BA45" s="39" t="n">
        <f aca="false">+P45+Q45+T45+U45+V45+W45+X45+Y45</f>
        <v>274</v>
      </c>
      <c r="BB45" s="39" t="n">
        <f aca="false">N45</f>
        <v>163</v>
      </c>
      <c r="BC45" s="39" t="n">
        <f aca="false">SUM(P45:AW45)</f>
        <v>1773</v>
      </c>
      <c r="BD45" s="39"/>
      <c r="BE45" s="39" t="n">
        <f aca="false">SUM(BB45:BC45)</f>
        <v>1936</v>
      </c>
      <c r="BF45" s="39"/>
      <c r="BG45" s="48" t="n">
        <f aca="false">SUM(N45:AW45)</f>
        <v>1936</v>
      </c>
      <c r="BH45" s="39" t="n">
        <f aca="false">BE45-BG45</f>
        <v>0</v>
      </c>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c r="IT45" s="39"/>
      <c r="IU45" s="39"/>
      <c r="IV45" s="39"/>
      <c r="IW45" s="39"/>
    </row>
    <row r="46" customFormat="false" ht="12.95" hidden="false" customHeight="true" outlineLevel="0" collapsed="false">
      <c r="A46" s="37" t="n">
        <f aca="false">+'CCs # Master'!A118</f>
        <v>11</v>
      </c>
      <c r="B46" s="39" t="str">
        <f aca="false">+'CCs # Master'!B118</f>
        <v>Accounts Payable - Executive</v>
      </c>
      <c r="C46" s="39" t="str">
        <f aca="false">+'CCs # Master'!C118</f>
        <v>Dallman, Larry</v>
      </c>
      <c r="D46" s="96" t="n">
        <f aca="false">+'CCs # Master'!D118</f>
        <v>100801</v>
      </c>
      <c r="E46" s="39" t="n">
        <f aca="false">+'CCs # Master'!E118</f>
        <v>2383</v>
      </c>
      <c r="F46" s="39" t="n">
        <f aca="false">+'CCs # Master'!F118</f>
        <v>59</v>
      </c>
      <c r="G46" s="39" t="n">
        <f aca="false">+'CCs # Master'!G118</f>
        <v>28</v>
      </c>
      <c r="H46" s="39" t="n">
        <f aca="false">+'CCs # Master'!H118</f>
        <v>174</v>
      </c>
      <c r="I46" s="39" t="n">
        <f aca="false">+'CCs # Master'!I118</f>
        <v>281</v>
      </c>
      <c r="J46" s="39" t="n">
        <f aca="false">+'CCs # Master'!J118</f>
        <v>0</v>
      </c>
      <c r="K46" s="39" t="n">
        <f aca="false">SUM(E46:J46)</f>
        <v>2925</v>
      </c>
      <c r="L46" s="39"/>
      <c r="M46" s="39" t="str">
        <f aca="false">+'CCs # Master'!M118</f>
        <v>Prorata to MSA/SAP &amp; SUN support CC's</v>
      </c>
      <c r="N46" s="39" t="n">
        <f aca="false">+'CCs # Master'!AW118</f>
        <v>459</v>
      </c>
      <c r="O46" s="39" t="n">
        <v>0</v>
      </c>
      <c r="P46" s="39" t="n">
        <f aca="false">+'CCs # Master'!N118</f>
        <v>68</v>
      </c>
      <c r="Q46" s="39" t="n">
        <f aca="false">+'CCs # Master'!O118</f>
        <v>176</v>
      </c>
      <c r="R46" s="39" t="n">
        <f aca="false">+'CCs # Master'!P118</f>
        <v>36</v>
      </c>
      <c r="S46" s="39" t="n">
        <f aca="false">+'CCs # Master'!Q118</f>
        <v>39</v>
      </c>
      <c r="T46" s="39" t="n">
        <f aca="false">+'CCs # Master'!R118</f>
        <v>0</v>
      </c>
      <c r="U46" s="39" t="n">
        <f aca="false">+'CCs # Master'!S118</f>
        <v>0</v>
      </c>
      <c r="V46" s="39" t="n">
        <f aca="false">+'CCs # Master'!T118</f>
        <v>37</v>
      </c>
      <c r="W46" s="39" t="n">
        <f aca="false">+'CCs # Master'!U118</f>
        <v>437</v>
      </c>
      <c r="X46" s="39" t="n">
        <f aca="false">+'CCs # Master'!V118</f>
        <v>153</v>
      </c>
      <c r="Y46" s="39" t="n">
        <f aca="false">+'CCs # Master'!W118</f>
        <v>50</v>
      </c>
      <c r="Z46" s="39" t="n">
        <f aca="false">+'CCs # Master'!X118</f>
        <v>341</v>
      </c>
      <c r="AA46" s="39" t="n">
        <f aca="false">+'CCs # Master'!Y118</f>
        <v>0</v>
      </c>
      <c r="AB46" s="39" t="n">
        <f aca="false">+'CCs # Master'!Z118</f>
        <v>6</v>
      </c>
      <c r="AC46" s="39" t="n">
        <f aca="false">+'CCs # Master'!AA118</f>
        <v>0</v>
      </c>
      <c r="AD46" s="39" t="n">
        <f aca="false">+'CCs # Master'!AB118</f>
        <v>0</v>
      </c>
      <c r="AE46" s="39" t="n">
        <f aca="false">+'CCs # Master'!AC118</f>
        <v>18</v>
      </c>
      <c r="AF46" s="39" t="n">
        <f aca="false">+'CCs # Master'!AD118</f>
        <v>562</v>
      </c>
      <c r="AG46" s="39" t="n">
        <f aca="false">+'CCs # Master'!AE118</f>
        <v>346</v>
      </c>
      <c r="AH46" s="39" t="n">
        <f aca="false">+'CCs # Master'!AF118</f>
        <v>1</v>
      </c>
      <c r="AI46" s="39" t="n">
        <f aca="false">+'CCs # Master'!AG118</f>
        <v>0</v>
      </c>
      <c r="AJ46" s="39" t="n">
        <f aca="false">+'CCs # Master'!AH118</f>
        <v>36</v>
      </c>
      <c r="AK46" s="39" t="n">
        <f aca="false">+'CCs # Master'!AI118</f>
        <v>0</v>
      </c>
      <c r="AL46" s="39" t="n">
        <f aca="false">+'CCs # Master'!AJ118</f>
        <v>18</v>
      </c>
      <c r="AM46" s="39" t="n">
        <f aca="false">+'CCs # Master'!AK118</f>
        <v>25</v>
      </c>
      <c r="AN46" s="39" t="n">
        <f aca="false">+'CCs # Master'!AL118</f>
        <v>29</v>
      </c>
      <c r="AO46" s="39" t="n">
        <f aca="false">+'CCs # Master'!AM118</f>
        <v>0</v>
      </c>
      <c r="AP46" s="39" t="n">
        <f aca="false">+'CCs # Master'!AN118</f>
        <v>0</v>
      </c>
      <c r="AQ46" s="39" t="n">
        <f aca="false">+'CCs # Master'!AO118</f>
        <v>67</v>
      </c>
      <c r="AR46" s="39" t="n">
        <f aca="false">+'CCs # Master'!AP118</f>
        <v>21</v>
      </c>
      <c r="AS46" s="39" t="n">
        <f aca="false">+'CCs # Master'!AQ118</f>
        <v>0</v>
      </c>
      <c r="AT46" s="39" t="n">
        <f aca="false">+'CCs # Master'!AR118</f>
        <v>0</v>
      </c>
      <c r="AU46" s="39" t="n">
        <f aca="false">+'CCs # Master'!AS118</f>
        <v>0</v>
      </c>
      <c r="AV46" s="39" t="n">
        <f aca="false">+'CCs # Master'!AT118</f>
        <v>0</v>
      </c>
      <c r="AW46" s="0"/>
      <c r="AX46" s="71" t="n">
        <f aca="false">SUM(N46:AW46)</f>
        <v>2925</v>
      </c>
      <c r="AY46" s="71" t="n">
        <f aca="false">+K46-AX46</f>
        <v>0</v>
      </c>
      <c r="AZ46" s="39"/>
      <c r="BA46" s="39" t="n">
        <f aca="false">+P46+Q46+T46+U46+V46+W46+X46+Y46</f>
        <v>921</v>
      </c>
      <c r="BB46" s="39" t="n">
        <f aca="false">N46</f>
        <v>459</v>
      </c>
      <c r="BC46" s="39" t="n">
        <f aca="false">SUM(P46:AW46)</f>
        <v>2466</v>
      </c>
      <c r="BD46" s="39"/>
      <c r="BE46" s="39" t="n">
        <f aca="false">SUM(BB46:BC46)</f>
        <v>2925</v>
      </c>
      <c r="BF46" s="39"/>
      <c r="BG46" s="48" t="n">
        <f aca="false">SUM(N46:AW46)</f>
        <v>2925</v>
      </c>
      <c r="BH46" s="39" t="n">
        <f aca="false">BE46-BG46</f>
        <v>0</v>
      </c>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c r="ID46" s="39"/>
      <c r="IE46" s="39"/>
      <c r="IF46" s="39"/>
      <c r="IG46" s="39"/>
      <c r="IH46" s="39"/>
      <c r="II46" s="39"/>
      <c r="IJ46" s="39"/>
      <c r="IK46" s="39"/>
      <c r="IL46" s="39"/>
      <c r="IM46" s="39"/>
      <c r="IN46" s="39"/>
      <c r="IO46" s="39"/>
      <c r="IP46" s="39"/>
      <c r="IQ46" s="39"/>
      <c r="IR46" s="39"/>
      <c r="IS46" s="39"/>
      <c r="IT46" s="39"/>
      <c r="IU46" s="39"/>
      <c r="IV46" s="39"/>
      <c r="IW46" s="39"/>
    </row>
    <row r="47" customFormat="false" ht="12.95" hidden="false" customHeight="true" outlineLevel="0" collapsed="false">
      <c r="A47" s="37" t="n">
        <f aca="false">+'CCs # Master'!A136</f>
        <v>11</v>
      </c>
      <c r="B47" s="99" t="str">
        <f aca="false">+'CCs # Master'!B136</f>
        <v>EECC Tax</v>
      </c>
      <c r="C47" s="99" t="str">
        <f aca="false">+'CCs # Master'!C136</f>
        <v>Garcia, Rey</v>
      </c>
      <c r="D47" s="37" t="n">
        <f aca="false">+'CCs # Master'!D136</f>
        <v>100870</v>
      </c>
      <c r="E47" s="39" t="n">
        <f aca="false">+'CCs # Master'!E136</f>
        <v>484</v>
      </c>
      <c r="F47" s="39" t="n">
        <f aca="false">+'CCs # Master'!F136</f>
        <v>43</v>
      </c>
      <c r="G47" s="39" t="n">
        <f aca="false">+'CCs # Master'!G136</f>
        <v>5</v>
      </c>
      <c r="H47" s="39" t="n">
        <f aca="false">+'CCs # Master'!H136</f>
        <v>2</v>
      </c>
      <c r="I47" s="39" t="n">
        <f aca="false">+'CCs # Master'!I136</f>
        <v>1</v>
      </c>
      <c r="J47" s="39" t="n">
        <f aca="false">+'CCs # Master'!J136</f>
        <v>6</v>
      </c>
      <c r="K47" s="39" t="n">
        <f aca="false">SUM(E47:J47)</f>
        <v>541</v>
      </c>
      <c r="L47" s="39"/>
      <c r="M47" s="39" t="str">
        <f aca="false">+'CCs # Master'!M136</f>
        <v>Anticipated Resources</v>
      </c>
      <c r="N47" s="39" t="n">
        <f aca="false">+'CCs # Master'!AW136</f>
        <v>2</v>
      </c>
      <c r="O47" s="39" t="n">
        <v>0</v>
      </c>
      <c r="P47" s="39" t="n">
        <f aca="false">+'CCs # Master'!N136</f>
        <v>0</v>
      </c>
      <c r="Q47" s="39" t="n">
        <f aca="false">+'CCs # Master'!O136</f>
        <v>0</v>
      </c>
      <c r="R47" s="39" t="n">
        <f aca="false">+'CCs # Master'!P136</f>
        <v>259</v>
      </c>
      <c r="S47" s="39" t="n">
        <f aca="false">+'CCs # Master'!Q136</f>
        <v>280</v>
      </c>
      <c r="T47" s="39" t="n">
        <f aca="false">+'CCs # Master'!R136</f>
        <v>0</v>
      </c>
      <c r="U47" s="39" t="n">
        <f aca="false">+'CCs # Master'!S136</f>
        <v>0</v>
      </c>
      <c r="V47" s="39" t="n">
        <f aca="false">+'CCs # Master'!T136</f>
        <v>0</v>
      </c>
      <c r="W47" s="39" t="n">
        <f aca="false">+'CCs # Master'!U136</f>
        <v>0</v>
      </c>
      <c r="X47" s="39" t="n">
        <f aca="false">+'CCs # Master'!V136</f>
        <v>0</v>
      </c>
      <c r="Y47" s="39" t="n">
        <f aca="false">+'CCs # Master'!W136</f>
        <v>0</v>
      </c>
      <c r="Z47" s="39" t="n">
        <f aca="false">+'CCs # Master'!X136</f>
        <v>0</v>
      </c>
      <c r="AA47" s="39" t="n">
        <f aca="false">+'CCs # Master'!Y136</f>
        <v>0</v>
      </c>
      <c r="AB47" s="39" t="n">
        <f aca="false">+'CCs # Master'!Z136</f>
        <v>0</v>
      </c>
      <c r="AC47" s="39" t="n">
        <f aca="false">+'CCs # Master'!AA136</f>
        <v>0</v>
      </c>
      <c r="AD47" s="39" t="n">
        <f aca="false">+'CCs # Master'!AB136</f>
        <v>0</v>
      </c>
      <c r="AE47" s="39" t="n">
        <f aca="false">+'CCs # Master'!AC136</f>
        <v>0</v>
      </c>
      <c r="AF47" s="39" t="n">
        <f aca="false">+'CCs # Master'!AD136</f>
        <v>0</v>
      </c>
      <c r="AG47" s="39" t="n">
        <f aca="false">+'CCs # Master'!AE136</f>
        <v>0</v>
      </c>
      <c r="AH47" s="39" t="n">
        <f aca="false">+'CCs # Master'!AF136</f>
        <v>0</v>
      </c>
      <c r="AI47" s="39" t="n">
        <f aca="false">+'CCs # Master'!AG136</f>
        <v>0</v>
      </c>
      <c r="AJ47" s="39" t="n">
        <f aca="false">+'CCs # Master'!AH136</f>
        <v>0</v>
      </c>
      <c r="AK47" s="39" t="n">
        <f aca="false">+'CCs # Master'!AI136</f>
        <v>0</v>
      </c>
      <c r="AL47" s="39" t="n">
        <f aca="false">+'CCs # Master'!AJ136</f>
        <v>0</v>
      </c>
      <c r="AM47" s="39" t="n">
        <f aca="false">+'CCs # Master'!AK136</f>
        <v>0</v>
      </c>
      <c r="AN47" s="39" t="n">
        <f aca="false">+'CCs # Master'!AL136</f>
        <v>0</v>
      </c>
      <c r="AO47" s="39" t="n">
        <f aca="false">+'CCs # Master'!AM136</f>
        <v>0</v>
      </c>
      <c r="AP47" s="39" t="n">
        <f aca="false">+'CCs # Master'!AN136</f>
        <v>0</v>
      </c>
      <c r="AQ47" s="39" t="n">
        <f aca="false">+'CCs # Master'!AO136</f>
        <v>0</v>
      </c>
      <c r="AR47" s="39" t="n">
        <f aca="false">+'CCs # Master'!AP136</f>
        <v>0</v>
      </c>
      <c r="AS47" s="39" t="n">
        <f aca="false">+'CCs # Master'!AQ136</f>
        <v>0</v>
      </c>
      <c r="AT47" s="39" t="n">
        <f aca="false">+'CCs # Master'!AR136</f>
        <v>0</v>
      </c>
      <c r="AU47" s="39" t="n">
        <f aca="false">+'CCs # Master'!AS136</f>
        <v>0</v>
      </c>
      <c r="AV47" s="39" t="n">
        <f aca="false">+'CCs # Master'!AT136</f>
        <v>0</v>
      </c>
      <c r="AW47" s="0"/>
      <c r="AX47" s="71" t="n">
        <f aca="false">SUM(N47:AW47)</f>
        <v>541</v>
      </c>
      <c r="AY47" s="71" t="n">
        <f aca="false">+K47-AX47</f>
        <v>0</v>
      </c>
      <c r="AZ47" s="39"/>
      <c r="BA47" s="39" t="n">
        <f aca="false">+P47+Q47+T47+U47+V47+W47+X47+Y47</f>
        <v>0</v>
      </c>
      <c r="BB47" s="39" t="n">
        <f aca="false">N47</f>
        <v>2</v>
      </c>
      <c r="BC47" s="39" t="n">
        <f aca="false">SUM(P47:AW47)</f>
        <v>539</v>
      </c>
      <c r="BD47" s="39"/>
      <c r="BE47" s="39" t="n">
        <f aca="false">SUM(BB47:BC47)</f>
        <v>541</v>
      </c>
      <c r="BF47" s="39"/>
      <c r="BG47" s="48" t="n">
        <f aca="false">SUM(N47:AW47)</f>
        <v>541</v>
      </c>
      <c r="BH47" s="39" t="n">
        <f aca="false">BE47-BG47</f>
        <v>0</v>
      </c>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39"/>
      <c r="HD47" s="39"/>
      <c r="HE47" s="39"/>
      <c r="HF47" s="39"/>
      <c r="HG47" s="39"/>
      <c r="HH47" s="39"/>
      <c r="HI47" s="39"/>
      <c r="HJ47" s="39"/>
      <c r="HK47" s="39"/>
      <c r="HL47" s="39"/>
      <c r="HM47" s="39"/>
      <c r="HN47" s="39"/>
      <c r="HO47" s="39"/>
      <c r="HP47" s="39"/>
      <c r="HQ47" s="39"/>
      <c r="HR47" s="39"/>
      <c r="HS47" s="39"/>
      <c r="HT47" s="39"/>
      <c r="HU47" s="39"/>
      <c r="HV47" s="39"/>
      <c r="HW47" s="39"/>
      <c r="HX47" s="39"/>
      <c r="HY47" s="39"/>
      <c r="HZ47" s="39"/>
      <c r="IA47" s="39"/>
      <c r="IB47" s="39"/>
      <c r="IC47" s="39"/>
      <c r="ID47" s="39"/>
      <c r="IE47" s="39"/>
      <c r="IF47" s="39"/>
      <c r="IG47" s="39"/>
      <c r="IH47" s="39"/>
      <c r="II47" s="39"/>
      <c r="IJ47" s="39"/>
      <c r="IK47" s="39"/>
      <c r="IL47" s="39"/>
      <c r="IM47" s="39"/>
      <c r="IN47" s="39"/>
      <c r="IO47" s="39"/>
      <c r="IP47" s="39"/>
      <c r="IQ47" s="39"/>
      <c r="IR47" s="39"/>
      <c r="IS47" s="39"/>
      <c r="IT47" s="39"/>
      <c r="IU47" s="39"/>
      <c r="IV47" s="39"/>
      <c r="IW47" s="39"/>
    </row>
    <row r="48" customFormat="false" ht="12.95" hidden="false" customHeight="true" outlineLevel="0" collapsed="false">
      <c r="A48" s="37" t="n">
        <f aca="false">+'CCs # Master'!A139</f>
        <v>11</v>
      </c>
      <c r="B48" s="39" t="str">
        <f aca="false">+'CCs # Master'!B139</f>
        <v>Strategic Sourcing - Executive Offices</v>
      </c>
      <c r="C48" s="39" t="str">
        <f aca="false">+'CCs # Master'!C139</f>
        <v>Wasaff, George</v>
      </c>
      <c r="D48" s="37" t="n">
        <f aca="false">+'CCs # Master'!D139</f>
        <v>100874</v>
      </c>
      <c r="E48" s="39" t="n">
        <f aca="false">+'CCs # Master'!E139</f>
        <v>554</v>
      </c>
      <c r="F48" s="39" t="n">
        <f aca="false">+'CCs # Master'!F139</f>
        <v>77</v>
      </c>
      <c r="G48" s="39" t="n">
        <f aca="false">+'CCs # Master'!G139</f>
        <v>54</v>
      </c>
      <c r="H48" s="39" t="n">
        <f aca="false">+'CCs # Master'!H139</f>
        <v>17</v>
      </c>
      <c r="I48" s="39" t="n">
        <f aca="false">+'CCs # Master'!I139</f>
        <v>196</v>
      </c>
      <c r="J48" s="39" t="n">
        <f aca="false">+'CCs # Master'!J139</f>
        <v>3</v>
      </c>
      <c r="K48" s="39" t="n">
        <f aca="false">SUM(E48:J48)</f>
        <v>901</v>
      </c>
      <c r="L48" s="39"/>
      <c r="M48" s="39" t="str">
        <f aca="false">+'CCs # Master'!M139</f>
        <v>Retained at Corp</v>
      </c>
      <c r="N48" s="39" t="n">
        <f aca="false">+'CCs # Master'!AW139</f>
        <v>901</v>
      </c>
      <c r="O48" s="39" t="n">
        <v>0</v>
      </c>
      <c r="P48" s="39" t="n">
        <f aca="false">+'CCs # Master'!N139</f>
        <v>0</v>
      </c>
      <c r="Q48" s="39" t="n">
        <f aca="false">+'CCs # Master'!O139</f>
        <v>0</v>
      </c>
      <c r="R48" s="39" t="n">
        <f aca="false">+'CCs # Master'!P139</f>
        <v>0</v>
      </c>
      <c r="S48" s="39" t="n">
        <f aca="false">+'CCs # Master'!Q139</f>
        <v>0</v>
      </c>
      <c r="T48" s="39" t="n">
        <f aca="false">+'CCs # Master'!R139</f>
        <v>0</v>
      </c>
      <c r="U48" s="39" t="n">
        <f aca="false">+'CCs # Master'!S139</f>
        <v>0</v>
      </c>
      <c r="V48" s="39" t="n">
        <f aca="false">+'CCs # Master'!T139</f>
        <v>0</v>
      </c>
      <c r="W48" s="39" t="n">
        <f aca="false">+'CCs # Master'!U139</f>
        <v>0</v>
      </c>
      <c r="X48" s="39" t="n">
        <f aca="false">+'CCs # Master'!V139</f>
        <v>0</v>
      </c>
      <c r="Y48" s="39" t="n">
        <f aca="false">+'CCs # Master'!W139</f>
        <v>0</v>
      </c>
      <c r="Z48" s="39" t="n">
        <f aca="false">+'CCs # Master'!X139</f>
        <v>0</v>
      </c>
      <c r="AA48" s="39" t="n">
        <f aca="false">+'CCs # Master'!Y139</f>
        <v>0</v>
      </c>
      <c r="AB48" s="39" t="n">
        <f aca="false">+'CCs # Master'!Z139</f>
        <v>0</v>
      </c>
      <c r="AC48" s="39" t="n">
        <f aca="false">+'CCs # Master'!AA139</f>
        <v>0</v>
      </c>
      <c r="AD48" s="39" t="n">
        <f aca="false">+'CCs # Master'!AB139</f>
        <v>0</v>
      </c>
      <c r="AE48" s="39" t="n">
        <f aca="false">+'CCs # Master'!AC139</f>
        <v>0</v>
      </c>
      <c r="AF48" s="39" t="n">
        <f aca="false">+'CCs # Master'!AD139</f>
        <v>0</v>
      </c>
      <c r="AG48" s="39" t="n">
        <f aca="false">+'CCs # Master'!AE139</f>
        <v>0</v>
      </c>
      <c r="AH48" s="39" t="n">
        <f aca="false">+'CCs # Master'!AF139</f>
        <v>0</v>
      </c>
      <c r="AI48" s="39" t="n">
        <f aca="false">+'CCs # Master'!AG139</f>
        <v>0</v>
      </c>
      <c r="AJ48" s="39" t="n">
        <f aca="false">+'CCs # Master'!AH139</f>
        <v>0</v>
      </c>
      <c r="AK48" s="39" t="n">
        <f aca="false">+'CCs # Master'!AI139</f>
        <v>0</v>
      </c>
      <c r="AL48" s="39" t="n">
        <f aca="false">+'CCs # Master'!AJ139</f>
        <v>0</v>
      </c>
      <c r="AM48" s="39" t="n">
        <f aca="false">+'CCs # Master'!AK139</f>
        <v>0</v>
      </c>
      <c r="AN48" s="39" t="n">
        <f aca="false">+'CCs # Master'!AL139</f>
        <v>0</v>
      </c>
      <c r="AO48" s="39" t="n">
        <f aca="false">+'CCs # Master'!AM139</f>
        <v>0</v>
      </c>
      <c r="AP48" s="39" t="n">
        <f aca="false">+'CCs # Master'!AN139</f>
        <v>0</v>
      </c>
      <c r="AQ48" s="39" t="n">
        <f aca="false">+'CCs # Master'!AO139</f>
        <v>0</v>
      </c>
      <c r="AR48" s="39" t="n">
        <f aca="false">+'CCs # Master'!AP139</f>
        <v>0</v>
      </c>
      <c r="AS48" s="39" t="n">
        <f aca="false">+'CCs # Master'!AQ139</f>
        <v>0</v>
      </c>
      <c r="AT48" s="39" t="n">
        <f aca="false">+'CCs # Master'!AR139</f>
        <v>0</v>
      </c>
      <c r="AU48" s="39" t="n">
        <f aca="false">+'CCs # Master'!AS139</f>
        <v>0</v>
      </c>
      <c r="AV48" s="39" t="n">
        <f aca="false">+'CCs # Master'!AT139</f>
        <v>0</v>
      </c>
      <c r="AW48" s="100"/>
      <c r="AX48" s="71" t="n">
        <f aca="false">SUM(N48:AW48)</f>
        <v>901</v>
      </c>
      <c r="AY48" s="71" t="n">
        <f aca="false">+K48-AX48</f>
        <v>0</v>
      </c>
      <c r="AZ48" s="39"/>
      <c r="BA48" s="39" t="n">
        <f aca="false">+P48+Q48+T48+U48+V48+W48+X48+Y48</f>
        <v>0</v>
      </c>
      <c r="BB48" s="39" t="n">
        <f aca="false">N48</f>
        <v>901</v>
      </c>
      <c r="BC48" s="39" t="n">
        <f aca="false">SUM(P48:AW48)</f>
        <v>0</v>
      </c>
      <c r="BD48" s="39"/>
      <c r="BE48" s="39" t="n">
        <f aca="false">SUM(BB48:BC48)</f>
        <v>901</v>
      </c>
      <c r="BF48" s="39"/>
      <c r="BG48" s="48" t="n">
        <f aca="false">SUM(N48:AW48)</f>
        <v>901</v>
      </c>
      <c r="BH48" s="39" t="n">
        <f aca="false">BE48-BG48</f>
        <v>0</v>
      </c>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c r="IH48" s="39"/>
      <c r="II48" s="39"/>
      <c r="IJ48" s="39"/>
      <c r="IK48" s="39"/>
      <c r="IL48" s="39"/>
      <c r="IM48" s="39"/>
      <c r="IN48" s="39"/>
      <c r="IO48" s="39"/>
      <c r="IP48" s="39"/>
      <c r="IQ48" s="39"/>
      <c r="IR48" s="39"/>
      <c r="IS48" s="39"/>
      <c r="IT48" s="39"/>
      <c r="IU48" s="39"/>
      <c r="IV48" s="39"/>
      <c r="IW48" s="39"/>
    </row>
    <row r="49" customFormat="false" ht="12.95" hidden="false" customHeight="true" outlineLevel="0" collapsed="false">
      <c r="A49" s="37" t="n">
        <f aca="false">+'CCs # Master'!A140</f>
        <v>11</v>
      </c>
      <c r="B49" s="99" t="str">
        <f aca="false">+'CCs # Master'!B140</f>
        <v>Strategic Sourcing - Sales and Marketing</v>
      </c>
      <c r="C49" s="99" t="str">
        <f aca="false">+'CCs # Master'!C140</f>
        <v>Wasaff, George</v>
      </c>
      <c r="D49" s="37" t="n">
        <f aca="false">+'CCs # Master'!D140</f>
        <v>100875</v>
      </c>
      <c r="E49" s="39" t="n">
        <f aca="false">+'CCs # Master'!E140</f>
        <v>480</v>
      </c>
      <c r="F49" s="39" t="n">
        <f aca="false">+'CCs # Master'!F140</f>
        <v>79</v>
      </c>
      <c r="G49" s="39" t="n">
        <f aca="false">+'CCs # Master'!G140</f>
        <v>0</v>
      </c>
      <c r="H49" s="39" t="n">
        <f aca="false">+'CCs # Master'!H140</f>
        <v>8</v>
      </c>
      <c r="I49" s="39" t="n">
        <f aca="false">+'CCs # Master'!I140</f>
        <v>29</v>
      </c>
      <c r="J49" s="39" t="n">
        <f aca="false">+'CCs # Master'!J140</f>
        <v>8</v>
      </c>
      <c r="K49" s="39" t="n">
        <f aca="false">SUM(E49:J49)</f>
        <v>604</v>
      </c>
      <c r="L49" s="39"/>
      <c r="M49" s="39" t="str">
        <f aca="false">+'CCs # Master'!M140</f>
        <v>Retained at Corp</v>
      </c>
      <c r="N49" s="39" t="n">
        <f aca="false">+'CCs # Master'!AW140</f>
        <v>604</v>
      </c>
      <c r="O49" s="39" t="n">
        <v>0</v>
      </c>
      <c r="P49" s="39" t="n">
        <f aca="false">+'CCs # Master'!N140</f>
        <v>0</v>
      </c>
      <c r="Q49" s="39" t="n">
        <f aca="false">+'CCs # Master'!O140</f>
        <v>0</v>
      </c>
      <c r="R49" s="39" t="n">
        <f aca="false">+'CCs # Master'!P140</f>
        <v>0</v>
      </c>
      <c r="S49" s="39" t="n">
        <f aca="false">+'CCs # Master'!Q140</f>
        <v>0</v>
      </c>
      <c r="T49" s="39" t="n">
        <f aca="false">+'CCs # Master'!R140</f>
        <v>0</v>
      </c>
      <c r="U49" s="39" t="n">
        <f aca="false">+'CCs # Master'!S140</f>
        <v>0</v>
      </c>
      <c r="V49" s="39" t="n">
        <f aca="false">+'CCs # Master'!T140</f>
        <v>0</v>
      </c>
      <c r="W49" s="39" t="n">
        <f aca="false">+'CCs # Master'!U140</f>
        <v>0</v>
      </c>
      <c r="X49" s="39" t="n">
        <f aca="false">+'CCs # Master'!V140</f>
        <v>0</v>
      </c>
      <c r="Y49" s="39" t="n">
        <f aca="false">+'CCs # Master'!W140</f>
        <v>0</v>
      </c>
      <c r="Z49" s="39" t="n">
        <f aca="false">+'CCs # Master'!X140</f>
        <v>0</v>
      </c>
      <c r="AA49" s="39" t="n">
        <f aca="false">+'CCs # Master'!Y140</f>
        <v>0</v>
      </c>
      <c r="AB49" s="39" t="n">
        <f aca="false">+'CCs # Master'!Z140</f>
        <v>0</v>
      </c>
      <c r="AC49" s="39" t="n">
        <f aca="false">+'CCs # Master'!AA140</f>
        <v>0</v>
      </c>
      <c r="AD49" s="39" t="n">
        <f aca="false">+'CCs # Master'!AB140</f>
        <v>0</v>
      </c>
      <c r="AE49" s="39" t="n">
        <f aca="false">+'CCs # Master'!AC140</f>
        <v>0</v>
      </c>
      <c r="AF49" s="39" t="n">
        <f aca="false">+'CCs # Master'!AD140</f>
        <v>0</v>
      </c>
      <c r="AG49" s="39" t="n">
        <f aca="false">+'CCs # Master'!AE140</f>
        <v>0</v>
      </c>
      <c r="AH49" s="39" t="n">
        <f aca="false">+'CCs # Master'!AF140</f>
        <v>0</v>
      </c>
      <c r="AI49" s="39" t="n">
        <f aca="false">+'CCs # Master'!AG140</f>
        <v>0</v>
      </c>
      <c r="AJ49" s="39" t="n">
        <f aca="false">+'CCs # Master'!AH140</f>
        <v>0</v>
      </c>
      <c r="AK49" s="39" t="n">
        <f aca="false">+'CCs # Master'!AI140</f>
        <v>0</v>
      </c>
      <c r="AL49" s="39" t="n">
        <f aca="false">+'CCs # Master'!AJ140</f>
        <v>0</v>
      </c>
      <c r="AM49" s="39" t="n">
        <f aca="false">+'CCs # Master'!AK140</f>
        <v>0</v>
      </c>
      <c r="AN49" s="39" t="n">
        <f aca="false">+'CCs # Master'!AL140</f>
        <v>0</v>
      </c>
      <c r="AO49" s="39" t="n">
        <f aca="false">+'CCs # Master'!AM140</f>
        <v>0</v>
      </c>
      <c r="AP49" s="39" t="n">
        <f aca="false">+'CCs # Master'!AN140</f>
        <v>0</v>
      </c>
      <c r="AQ49" s="39" t="n">
        <f aca="false">+'CCs # Master'!AO140</f>
        <v>0</v>
      </c>
      <c r="AR49" s="39" t="n">
        <f aca="false">+'CCs # Master'!AP140</f>
        <v>0</v>
      </c>
      <c r="AS49" s="39" t="n">
        <f aca="false">+'CCs # Master'!AQ140</f>
        <v>0</v>
      </c>
      <c r="AT49" s="39" t="n">
        <f aca="false">+'CCs # Master'!AR140</f>
        <v>0</v>
      </c>
      <c r="AU49" s="39" t="n">
        <f aca="false">+'CCs # Master'!AS140</f>
        <v>0</v>
      </c>
      <c r="AV49" s="39" t="n">
        <f aca="false">+'CCs # Master'!AT140</f>
        <v>0</v>
      </c>
      <c r="AW49" s="100"/>
      <c r="AX49" s="71" t="n">
        <f aca="false">SUM(N49:AW49)</f>
        <v>604</v>
      </c>
      <c r="AY49" s="71" t="n">
        <f aca="false">+K49-AX49</f>
        <v>0</v>
      </c>
      <c r="AZ49" s="39"/>
      <c r="BA49" s="39" t="n">
        <f aca="false">+P49+Q49+T49+U49+V49+W49+X49+Y49</f>
        <v>0</v>
      </c>
      <c r="BB49" s="39" t="n">
        <f aca="false">N49</f>
        <v>604</v>
      </c>
      <c r="BC49" s="39" t="n">
        <f aca="false">SUM(P49:AW49)</f>
        <v>0</v>
      </c>
      <c r="BD49" s="39"/>
      <c r="BE49" s="39" t="n">
        <f aca="false">SUM(BB49:BC49)</f>
        <v>604</v>
      </c>
      <c r="BF49" s="39"/>
      <c r="BG49" s="48" t="n">
        <f aca="false">SUM(N49:AW49)</f>
        <v>604</v>
      </c>
      <c r="BH49" s="39" t="n">
        <f aca="false">BE49-BG49</f>
        <v>0</v>
      </c>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39"/>
      <c r="HD49" s="39"/>
      <c r="HE49" s="39"/>
      <c r="HF49" s="39"/>
      <c r="HG49" s="39"/>
      <c r="HH49" s="39"/>
      <c r="HI49" s="39"/>
      <c r="HJ49" s="39"/>
      <c r="HK49" s="39"/>
      <c r="HL49" s="39"/>
      <c r="HM49" s="39"/>
      <c r="HN49" s="39"/>
      <c r="HO49" s="39"/>
      <c r="HP49" s="39"/>
      <c r="HQ49" s="39"/>
      <c r="HR49" s="39"/>
      <c r="HS49" s="39"/>
      <c r="HT49" s="39"/>
      <c r="HU49" s="39"/>
      <c r="HV49" s="39"/>
      <c r="HW49" s="39"/>
      <c r="HX49" s="39"/>
      <c r="HY49" s="39"/>
      <c r="HZ49" s="39"/>
      <c r="IA49" s="39"/>
      <c r="IB49" s="39"/>
      <c r="IC49" s="39"/>
      <c r="ID49" s="39"/>
      <c r="IE49" s="39"/>
      <c r="IF49" s="39"/>
      <c r="IG49" s="39"/>
      <c r="IH49" s="39"/>
      <c r="II49" s="39"/>
      <c r="IJ49" s="39"/>
      <c r="IK49" s="39"/>
      <c r="IL49" s="39"/>
      <c r="IM49" s="39"/>
      <c r="IN49" s="39"/>
      <c r="IO49" s="39"/>
      <c r="IP49" s="39"/>
      <c r="IQ49" s="39"/>
      <c r="IR49" s="39"/>
      <c r="IS49" s="39"/>
      <c r="IT49" s="39"/>
      <c r="IU49" s="39"/>
      <c r="IV49" s="39"/>
      <c r="IW49" s="39"/>
    </row>
    <row r="50" customFormat="false" ht="12.95" hidden="false" customHeight="true" outlineLevel="0" collapsed="false">
      <c r="A50" s="37" t="n">
        <f aca="false">+'CCs # Master'!A141</f>
        <v>11</v>
      </c>
      <c r="B50" s="99" t="str">
        <f aca="false">+'CCs # Master'!B141</f>
        <v>Strategic Sourcing - Operations</v>
      </c>
      <c r="C50" s="99" t="str">
        <f aca="false">+'CCs # Master'!C141</f>
        <v>Wasaff, George</v>
      </c>
      <c r="D50" s="37" t="n">
        <f aca="false">+'CCs # Master'!D141</f>
        <v>100876</v>
      </c>
      <c r="E50" s="39" t="n">
        <f aca="false">+'CCs # Master'!E141</f>
        <v>3510</v>
      </c>
      <c r="F50" s="39" t="n">
        <f aca="false">+'CCs # Master'!F141</f>
        <v>176</v>
      </c>
      <c r="G50" s="39" t="n">
        <f aca="false">+'CCs # Master'!G141</f>
        <v>0</v>
      </c>
      <c r="H50" s="39" t="n">
        <f aca="false">+'CCs # Master'!H141</f>
        <v>-250</v>
      </c>
      <c r="I50" s="39" t="n">
        <f aca="false">+'CCs # Master'!I141</f>
        <v>335</v>
      </c>
      <c r="J50" s="39" t="n">
        <f aca="false">+'CCs # Master'!J141</f>
        <v>-1089</v>
      </c>
      <c r="K50" s="39" t="n">
        <f aca="false">SUM(E50:J50)</f>
        <v>2682</v>
      </c>
      <c r="L50" s="39"/>
      <c r="M50" s="39" t="str">
        <f aca="false">+'CCs # Master'!M141</f>
        <v>Retained at Corp</v>
      </c>
      <c r="N50" s="39" t="n">
        <f aca="false">+'CCs # Master'!AW141</f>
        <v>2682</v>
      </c>
      <c r="O50" s="39" t="n">
        <v>0</v>
      </c>
      <c r="P50" s="39" t="n">
        <f aca="false">+'CCs # Master'!N141</f>
        <v>0</v>
      </c>
      <c r="Q50" s="39" t="n">
        <f aca="false">+'CCs # Master'!O141</f>
        <v>0</v>
      </c>
      <c r="R50" s="39" t="n">
        <f aca="false">+'CCs # Master'!P141</f>
        <v>0</v>
      </c>
      <c r="S50" s="39" t="n">
        <f aca="false">+'CCs # Master'!Q141</f>
        <v>0</v>
      </c>
      <c r="T50" s="39" t="n">
        <f aca="false">+'CCs # Master'!R141</f>
        <v>0</v>
      </c>
      <c r="U50" s="39" t="n">
        <f aca="false">+'CCs # Master'!S141</f>
        <v>0</v>
      </c>
      <c r="V50" s="39" t="n">
        <f aca="false">+'CCs # Master'!T141</f>
        <v>0</v>
      </c>
      <c r="W50" s="39" t="n">
        <f aca="false">+'CCs # Master'!U141</f>
        <v>0</v>
      </c>
      <c r="X50" s="39" t="n">
        <f aca="false">+'CCs # Master'!V141</f>
        <v>0</v>
      </c>
      <c r="Y50" s="39" t="n">
        <f aca="false">+'CCs # Master'!W141</f>
        <v>0</v>
      </c>
      <c r="Z50" s="39" t="n">
        <f aca="false">+'CCs # Master'!X141</f>
        <v>0</v>
      </c>
      <c r="AA50" s="39" t="n">
        <f aca="false">+'CCs # Master'!Y141</f>
        <v>0</v>
      </c>
      <c r="AB50" s="39" t="n">
        <f aca="false">+'CCs # Master'!Z141</f>
        <v>0</v>
      </c>
      <c r="AC50" s="39" t="n">
        <f aca="false">+'CCs # Master'!AA141</f>
        <v>0</v>
      </c>
      <c r="AD50" s="39" t="n">
        <f aca="false">+'CCs # Master'!AB141</f>
        <v>0</v>
      </c>
      <c r="AE50" s="39" t="n">
        <f aca="false">+'CCs # Master'!AC141</f>
        <v>0</v>
      </c>
      <c r="AF50" s="39" t="n">
        <f aca="false">+'CCs # Master'!AD141</f>
        <v>0</v>
      </c>
      <c r="AG50" s="39" t="n">
        <f aca="false">+'CCs # Master'!AE141</f>
        <v>0</v>
      </c>
      <c r="AH50" s="39" t="n">
        <f aca="false">+'CCs # Master'!AF141</f>
        <v>0</v>
      </c>
      <c r="AI50" s="39" t="n">
        <f aca="false">+'CCs # Master'!AG141</f>
        <v>0</v>
      </c>
      <c r="AJ50" s="39" t="n">
        <f aca="false">+'CCs # Master'!AH141</f>
        <v>0</v>
      </c>
      <c r="AK50" s="39" t="n">
        <f aca="false">+'CCs # Master'!AI141</f>
        <v>0</v>
      </c>
      <c r="AL50" s="39" t="n">
        <f aca="false">+'CCs # Master'!AJ141</f>
        <v>0</v>
      </c>
      <c r="AM50" s="39" t="n">
        <f aca="false">+'CCs # Master'!AK141</f>
        <v>0</v>
      </c>
      <c r="AN50" s="39" t="n">
        <f aca="false">+'CCs # Master'!AL141</f>
        <v>0</v>
      </c>
      <c r="AO50" s="39" t="n">
        <f aca="false">+'CCs # Master'!AM141</f>
        <v>0</v>
      </c>
      <c r="AP50" s="39" t="n">
        <f aca="false">+'CCs # Master'!AN141</f>
        <v>0</v>
      </c>
      <c r="AQ50" s="39" t="n">
        <f aca="false">+'CCs # Master'!AO141</f>
        <v>0</v>
      </c>
      <c r="AR50" s="39" t="n">
        <f aca="false">+'CCs # Master'!AP141</f>
        <v>0</v>
      </c>
      <c r="AS50" s="39" t="n">
        <f aca="false">+'CCs # Master'!AQ141</f>
        <v>0</v>
      </c>
      <c r="AT50" s="39" t="n">
        <f aca="false">+'CCs # Master'!AR141</f>
        <v>0</v>
      </c>
      <c r="AU50" s="39" t="n">
        <f aca="false">+'CCs # Master'!AS141</f>
        <v>0</v>
      </c>
      <c r="AV50" s="39" t="n">
        <f aca="false">+'CCs # Master'!AT141</f>
        <v>0</v>
      </c>
      <c r="AW50" s="100"/>
      <c r="AX50" s="71" t="n">
        <f aca="false">SUM(N50:AW50)</f>
        <v>2682</v>
      </c>
      <c r="AY50" s="71" t="n">
        <f aca="false">+K50-AX50</f>
        <v>0</v>
      </c>
      <c r="AZ50" s="39"/>
      <c r="BA50" s="39" t="n">
        <f aca="false">+P50+Q50+T50+U50+V50+W50+X50+Y50</f>
        <v>0</v>
      </c>
      <c r="BB50" s="39" t="n">
        <f aca="false">N50</f>
        <v>2682</v>
      </c>
      <c r="BC50" s="39" t="n">
        <f aca="false">SUM(P50:AW50)</f>
        <v>0</v>
      </c>
      <c r="BD50" s="39"/>
      <c r="BE50" s="39" t="n">
        <f aca="false">SUM(BB50:BC50)</f>
        <v>2682</v>
      </c>
      <c r="BF50" s="39"/>
      <c r="BG50" s="48" t="n">
        <f aca="false">SUM(N50:AW50)</f>
        <v>2682</v>
      </c>
      <c r="BH50" s="39" t="n">
        <f aca="false">BE50-BG50</f>
        <v>0</v>
      </c>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9"/>
      <c r="GJ50" s="39"/>
      <c r="GK50" s="39"/>
      <c r="GL50" s="39"/>
      <c r="GM50" s="39"/>
      <c r="GN50" s="39"/>
      <c r="GO50" s="39"/>
      <c r="GP50" s="39"/>
      <c r="GQ50" s="39"/>
      <c r="GR50" s="39"/>
      <c r="GS50" s="39"/>
      <c r="GT50" s="39"/>
      <c r="GU50" s="39"/>
      <c r="GV50" s="39"/>
      <c r="GW50" s="39"/>
      <c r="GX50" s="39"/>
      <c r="GY50" s="39"/>
      <c r="GZ50" s="39"/>
      <c r="HA50" s="39"/>
      <c r="HB50" s="39"/>
      <c r="HC50" s="39"/>
      <c r="HD50" s="39"/>
      <c r="HE50" s="39"/>
      <c r="HF50" s="39"/>
      <c r="HG50" s="39"/>
      <c r="HH50" s="39"/>
      <c r="HI50" s="39"/>
      <c r="HJ50" s="39"/>
      <c r="HK50" s="39"/>
      <c r="HL50" s="39"/>
      <c r="HM50" s="39"/>
      <c r="HN50" s="39"/>
      <c r="HO50" s="39"/>
      <c r="HP50" s="39"/>
      <c r="HQ50" s="39"/>
      <c r="HR50" s="39"/>
      <c r="HS50" s="39"/>
      <c r="HT50" s="39"/>
      <c r="HU50" s="39"/>
      <c r="HV50" s="39"/>
      <c r="HW50" s="39"/>
      <c r="HX50" s="39"/>
      <c r="HY50" s="39"/>
      <c r="HZ50" s="39"/>
      <c r="IA50" s="39"/>
      <c r="IB50" s="39"/>
      <c r="IC50" s="39"/>
      <c r="ID50" s="39"/>
      <c r="IE50" s="39"/>
      <c r="IF50" s="39"/>
      <c r="IG50" s="39"/>
      <c r="IH50" s="39"/>
      <c r="II50" s="39"/>
      <c r="IJ50" s="39"/>
      <c r="IK50" s="39"/>
      <c r="IL50" s="39"/>
      <c r="IM50" s="39"/>
      <c r="IN50" s="39"/>
      <c r="IO50" s="39"/>
      <c r="IP50" s="39"/>
      <c r="IQ50" s="39"/>
      <c r="IR50" s="39"/>
      <c r="IS50" s="39"/>
      <c r="IT50" s="39"/>
      <c r="IU50" s="39"/>
      <c r="IV50" s="39"/>
      <c r="IW50" s="39"/>
    </row>
    <row r="51" customFormat="false" ht="12.95" hidden="false" customHeight="true" outlineLevel="0" collapsed="false">
      <c r="A51" s="37" t="n">
        <f aca="false">+'CCs # Master'!A142</f>
        <v>11</v>
      </c>
      <c r="B51" s="99" t="str">
        <f aca="false">+'CCs # Master'!B142</f>
        <v>Strategic Sourcing - Platforms &amp; Processes</v>
      </c>
      <c r="C51" s="99" t="str">
        <f aca="false">+'CCs # Master'!C142</f>
        <v>Wasaff, George</v>
      </c>
      <c r="D51" s="37" t="n">
        <f aca="false">+'CCs # Master'!D142</f>
        <v>100877</v>
      </c>
      <c r="E51" s="39" t="n">
        <f aca="false">+'CCs # Master'!E142</f>
        <v>1131</v>
      </c>
      <c r="F51" s="39" t="n">
        <f aca="false">+'CCs # Master'!F142</f>
        <v>74</v>
      </c>
      <c r="G51" s="39" t="n">
        <f aca="false">+'CCs # Master'!G142</f>
        <v>0</v>
      </c>
      <c r="H51" s="39" t="n">
        <f aca="false">+'CCs # Master'!H142</f>
        <v>420</v>
      </c>
      <c r="I51" s="39" t="n">
        <f aca="false">+'CCs # Master'!I142</f>
        <v>22</v>
      </c>
      <c r="J51" s="39" t="n">
        <f aca="false">+'CCs # Master'!J142</f>
        <v>27</v>
      </c>
      <c r="K51" s="39" t="n">
        <f aca="false">SUM(E51:J51)</f>
        <v>1674</v>
      </c>
      <c r="L51" s="39"/>
      <c r="M51" s="39" t="str">
        <f aca="false">+'CCs # Master'!M142</f>
        <v>Retained at Corp</v>
      </c>
      <c r="N51" s="39" t="n">
        <f aca="false">+'CCs # Master'!AW142</f>
        <v>1674</v>
      </c>
      <c r="O51" s="39" t="n">
        <v>0</v>
      </c>
      <c r="P51" s="39" t="n">
        <f aca="false">+'CCs # Master'!N142</f>
        <v>0</v>
      </c>
      <c r="Q51" s="39" t="n">
        <f aca="false">+'CCs # Master'!O142</f>
        <v>0</v>
      </c>
      <c r="R51" s="39" t="n">
        <f aca="false">+'CCs # Master'!P142</f>
        <v>0</v>
      </c>
      <c r="S51" s="39" t="n">
        <f aca="false">+'CCs # Master'!Q142</f>
        <v>0</v>
      </c>
      <c r="T51" s="39" t="n">
        <f aca="false">+'CCs # Master'!R142</f>
        <v>0</v>
      </c>
      <c r="U51" s="39" t="n">
        <f aca="false">+'CCs # Master'!S142</f>
        <v>0</v>
      </c>
      <c r="V51" s="39" t="n">
        <f aca="false">+'CCs # Master'!T142</f>
        <v>0</v>
      </c>
      <c r="W51" s="39" t="n">
        <f aca="false">+'CCs # Master'!U142</f>
        <v>0</v>
      </c>
      <c r="X51" s="39" t="n">
        <f aca="false">+'CCs # Master'!V142</f>
        <v>0</v>
      </c>
      <c r="Y51" s="39" t="n">
        <f aca="false">+'CCs # Master'!W142</f>
        <v>0</v>
      </c>
      <c r="Z51" s="39" t="n">
        <f aca="false">+'CCs # Master'!X142</f>
        <v>0</v>
      </c>
      <c r="AA51" s="39" t="n">
        <f aca="false">+'CCs # Master'!Y142</f>
        <v>0</v>
      </c>
      <c r="AB51" s="39" t="n">
        <f aca="false">+'CCs # Master'!Z142</f>
        <v>0</v>
      </c>
      <c r="AC51" s="39" t="n">
        <f aca="false">+'CCs # Master'!AA142</f>
        <v>0</v>
      </c>
      <c r="AD51" s="39" t="n">
        <f aca="false">+'CCs # Master'!AB142</f>
        <v>0</v>
      </c>
      <c r="AE51" s="39" t="n">
        <f aca="false">+'CCs # Master'!AC142</f>
        <v>0</v>
      </c>
      <c r="AF51" s="39" t="n">
        <f aca="false">+'CCs # Master'!AD142</f>
        <v>0</v>
      </c>
      <c r="AG51" s="39" t="n">
        <f aca="false">+'CCs # Master'!AE142</f>
        <v>0</v>
      </c>
      <c r="AH51" s="39" t="n">
        <f aca="false">+'CCs # Master'!AF142</f>
        <v>0</v>
      </c>
      <c r="AI51" s="39" t="n">
        <f aca="false">+'CCs # Master'!AG142</f>
        <v>0</v>
      </c>
      <c r="AJ51" s="39" t="n">
        <f aca="false">+'CCs # Master'!AH142</f>
        <v>0</v>
      </c>
      <c r="AK51" s="39" t="n">
        <f aca="false">+'CCs # Master'!AI142</f>
        <v>0</v>
      </c>
      <c r="AL51" s="39" t="n">
        <f aca="false">+'CCs # Master'!AJ142</f>
        <v>0</v>
      </c>
      <c r="AM51" s="39" t="n">
        <f aca="false">+'CCs # Master'!AK142</f>
        <v>0</v>
      </c>
      <c r="AN51" s="39" t="n">
        <f aca="false">+'CCs # Master'!AL142</f>
        <v>0</v>
      </c>
      <c r="AO51" s="39" t="n">
        <f aca="false">+'CCs # Master'!AM142</f>
        <v>0</v>
      </c>
      <c r="AP51" s="39" t="n">
        <f aca="false">+'CCs # Master'!AN142</f>
        <v>0</v>
      </c>
      <c r="AQ51" s="39" t="n">
        <f aca="false">+'CCs # Master'!AO142</f>
        <v>0</v>
      </c>
      <c r="AR51" s="39" t="n">
        <f aca="false">+'CCs # Master'!AP142</f>
        <v>0</v>
      </c>
      <c r="AS51" s="39" t="n">
        <f aca="false">+'CCs # Master'!AQ142</f>
        <v>0</v>
      </c>
      <c r="AT51" s="39" t="n">
        <f aca="false">+'CCs # Master'!AR142</f>
        <v>0</v>
      </c>
      <c r="AU51" s="39" t="n">
        <f aca="false">+'CCs # Master'!AS142</f>
        <v>0</v>
      </c>
      <c r="AV51" s="39" t="n">
        <f aca="false">+'CCs # Master'!AT142</f>
        <v>0</v>
      </c>
      <c r="AW51" s="100"/>
      <c r="AX51" s="71" t="n">
        <f aca="false">SUM(N51:AW51)</f>
        <v>1674</v>
      </c>
      <c r="AY51" s="71" t="n">
        <f aca="false">+K51-AX51</f>
        <v>0</v>
      </c>
      <c r="AZ51" s="39"/>
      <c r="BA51" s="39" t="n">
        <f aca="false">+P51+Q51+T51+U51+V51+W51+X51+Y51</f>
        <v>0</v>
      </c>
      <c r="BB51" s="39" t="n">
        <f aca="false">N51</f>
        <v>1674</v>
      </c>
      <c r="BC51" s="39" t="n">
        <f aca="false">SUM(P51:AW51)</f>
        <v>0</v>
      </c>
      <c r="BD51" s="39"/>
      <c r="BE51" s="39" t="n">
        <f aca="false">SUM(BB51:BC51)</f>
        <v>1674</v>
      </c>
      <c r="BF51" s="39"/>
      <c r="BG51" s="48" t="n">
        <f aca="false">SUM(N51:AW51)</f>
        <v>1674</v>
      </c>
      <c r="BH51" s="39" t="n">
        <f aca="false">BE51-BG51</f>
        <v>0</v>
      </c>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9"/>
      <c r="GJ51" s="39"/>
      <c r="GK51" s="39"/>
      <c r="GL51" s="39"/>
      <c r="GM51" s="39"/>
      <c r="GN51" s="39"/>
      <c r="GO51" s="39"/>
      <c r="GP51" s="39"/>
      <c r="GQ51" s="39"/>
      <c r="GR51" s="39"/>
      <c r="GS51" s="39"/>
      <c r="GT51" s="39"/>
      <c r="GU51" s="39"/>
      <c r="GV51" s="39"/>
      <c r="GW51" s="39"/>
      <c r="GX51" s="39"/>
      <c r="GY51" s="39"/>
      <c r="GZ51" s="39"/>
      <c r="HA51" s="39"/>
      <c r="HB51" s="39"/>
      <c r="HC51" s="39"/>
      <c r="HD51" s="39"/>
      <c r="HE51" s="39"/>
      <c r="HF51" s="39"/>
      <c r="HG51" s="39"/>
      <c r="HH51" s="39"/>
      <c r="HI51" s="39"/>
      <c r="HJ51" s="39"/>
      <c r="HK51" s="39"/>
      <c r="HL51" s="39"/>
      <c r="HM51" s="39"/>
      <c r="HN51" s="39"/>
      <c r="HO51" s="39"/>
      <c r="HP51" s="39"/>
      <c r="HQ51" s="39"/>
      <c r="HR51" s="39"/>
      <c r="HS51" s="39"/>
      <c r="HT51" s="39"/>
      <c r="HU51" s="39"/>
      <c r="HV51" s="39"/>
      <c r="HW51" s="39"/>
      <c r="HX51" s="39"/>
      <c r="HY51" s="39"/>
      <c r="HZ51" s="39"/>
      <c r="IA51" s="39"/>
      <c r="IB51" s="39"/>
      <c r="IC51" s="39"/>
      <c r="ID51" s="39"/>
      <c r="IE51" s="39"/>
      <c r="IF51" s="39"/>
      <c r="IG51" s="39"/>
      <c r="IH51" s="39"/>
      <c r="II51" s="39"/>
      <c r="IJ51" s="39"/>
      <c r="IK51" s="39"/>
      <c r="IL51" s="39"/>
      <c r="IM51" s="39"/>
      <c r="IN51" s="39"/>
      <c r="IO51" s="39"/>
      <c r="IP51" s="39"/>
      <c r="IQ51" s="39"/>
      <c r="IR51" s="39"/>
      <c r="IS51" s="39"/>
      <c r="IT51" s="39"/>
      <c r="IU51" s="39"/>
      <c r="IV51" s="39"/>
      <c r="IW51" s="39"/>
    </row>
    <row r="52" customFormat="false" ht="12.95" hidden="false" customHeight="true" outlineLevel="0" collapsed="false">
      <c r="A52" s="37" t="n">
        <f aca="false">+'CCs # Master'!A135</f>
        <v>11</v>
      </c>
      <c r="B52" s="99" t="str">
        <f aca="false">+'CCs # Master'!B135</f>
        <v>International Tax</v>
      </c>
      <c r="C52" s="99" t="str">
        <f aca="false">+'CCs # Master'!C135</f>
        <v>Cullen, Duke</v>
      </c>
      <c r="D52" s="37" t="n">
        <f aca="false">+'CCs # Master'!D135</f>
        <v>100865</v>
      </c>
      <c r="E52" s="39" t="n">
        <f aca="false">+'CCs # Master'!E135</f>
        <v>0</v>
      </c>
      <c r="F52" s="39" t="n">
        <f aca="false">+'CCs # Master'!F135</f>
        <v>0</v>
      </c>
      <c r="G52" s="39" t="n">
        <f aca="false">+'CCs # Master'!G135</f>
        <v>0</v>
      </c>
      <c r="H52" s="39" t="n">
        <f aca="false">+'CCs # Master'!H135</f>
        <v>0</v>
      </c>
      <c r="I52" s="39" t="n">
        <f aca="false">+'CCs # Master'!I135</f>
        <v>12</v>
      </c>
      <c r="J52" s="39" t="n">
        <f aca="false">+'CCs # Master'!J135</f>
        <v>0</v>
      </c>
      <c r="K52" s="71" t="n">
        <f aca="false">SUM(E52:J52)</f>
        <v>12</v>
      </c>
      <c r="L52" s="39"/>
      <c r="M52" s="39" t="str">
        <f aca="false">+'CCs # Master'!M135</f>
        <v>Retained at Corp</v>
      </c>
      <c r="N52" s="39" t="n">
        <f aca="false">+'CCs # Master'!AW135</f>
        <v>12</v>
      </c>
      <c r="O52" s="39" t="n">
        <v>0</v>
      </c>
      <c r="P52" s="39" t="n">
        <f aca="false">+'CCs # Master'!N135</f>
        <v>0</v>
      </c>
      <c r="Q52" s="39" t="n">
        <f aca="false">+'CCs # Master'!O135</f>
        <v>0</v>
      </c>
      <c r="R52" s="39" t="n">
        <f aca="false">+'CCs # Master'!P135</f>
        <v>0</v>
      </c>
      <c r="S52" s="39" t="n">
        <f aca="false">+'CCs # Master'!Q135</f>
        <v>0</v>
      </c>
      <c r="T52" s="39" t="n">
        <f aca="false">+'CCs # Master'!R135</f>
        <v>0</v>
      </c>
      <c r="U52" s="39" t="n">
        <f aca="false">+'CCs # Master'!S135</f>
        <v>0</v>
      </c>
      <c r="V52" s="39" t="n">
        <f aca="false">+'CCs # Master'!T135</f>
        <v>0</v>
      </c>
      <c r="W52" s="39" t="n">
        <f aca="false">+'CCs # Master'!U135</f>
        <v>0</v>
      </c>
      <c r="X52" s="39" t="n">
        <f aca="false">+'CCs # Master'!V135</f>
        <v>0</v>
      </c>
      <c r="Y52" s="39" t="n">
        <f aca="false">+'CCs # Master'!W135</f>
        <v>0</v>
      </c>
      <c r="Z52" s="39" t="n">
        <f aca="false">+'CCs # Master'!X135</f>
        <v>0</v>
      </c>
      <c r="AA52" s="39" t="n">
        <f aca="false">+'CCs # Master'!Y135</f>
        <v>0</v>
      </c>
      <c r="AB52" s="39" t="n">
        <f aca="false">+'CCs # Master'!Z135</f>
        <v>0</v>
      </c>
      <c r="AC52" s="39" t="n">
        <f aca="false">+'CCs # Master'!AA135</f>
        <v>0</v>
      </c>
      <c r="AD52" s="39" t="n">
        <f aca="false">+'CCs # Master'!AB135</f>
        <v>0</v>
      </c>
      <c r="AE52" s="39" t="n">
        <f aca="false">+'CCs # Master'!AC135</f>
        <v>0</v>
      </c>
      <c r="AF52" s="39" t="n">
        <f aca="false">+'CCs # Master'!AD135</f>
        <v>0</v>
      </c>
      <c r="AG52" s="39" t="n">
        <f aca="false">+'CCs # Master'!AE135</f>
        <v>0</v>
      </c>
      <c r="AH52" s="39" t="n">
        <f aca="false">+'CCs # Master'!AF135</f>
        <v>0</v>
      </c>
      <c r="AI52" s="39" t="n">
        <f aca="false">+'CCs # Master'!AG135</f>
        <v>0</v>
      </c>
      <c r="AJ52" s="39" t="n">
        <f aca="false">+'CCs # Master'!AH135</f>
        <v>0</v>
      </c>
      <c r="AK52" s="39" t="n">
        <f aca="false">+'CCs # Master'!AI135</f>
        <v>0</v>
      </c>
      <c r="AL52" s="39" t="n">
        <f aca="false">+'CCs # Master'!AJ135</f>
        <v>0</v>
      </c>
      <c r="AM52" s="39" t="n">
        <f aca="false">+'CCs # Master'!AK135</f>
        <v>0</v>
      </c>
      <c r="AN52" s="39" t="n">
        <f aca="false">+'CCs # Master'!AL135</f>
        <v>0</v>
      </c>
      <c r="AO52" s="39" t="n">
        <f aca="false">+'CCs # Master'!AM135</f>
        <v>0</v>
      </c>
      <c r="AP52" s="39" t="n">
        <f aca="false">+'CCs # Master'!AN135</f>
        <v>0</v>
      </c>
      <c r="AQ52" s="39" t="n">
        <f aca="false">+'CCs # Master'!AO135</f>
        <v>0</v>
      </c>
      <c r="AR52" s="39" t="n">
        <f aca="false">+'CCs # Master'!AP135</f>
        <v>0</v>
      </c>
      <c r="AS52" s="39" t="n">
        <f aca="false">+'CCs # Master'!AQ135</f>
        <v>0</v>
      </c>
      <c r="AT52" s="39" t="n">
        <f aca="false">+'CCs # Master'!AR135</f>
        <v>0</v>
      </c>
      <c r="AU52" s="39" t="n">
        <f aca="false">+'CCs # Master'!AS135</f>
        <v>0</v>
      </c>
      <c r="AV52" s="39" t="n">
        <f aca="false">+'CCs # Master'!AT135</f>
        <v>0</v>
      </c>
      <c r="AW52" s="100"/>
      <c r="AX52" s="71" t="n">
        <f aca="false">SUM(N52:AW52)</f>
        <v>12</v>
      </c>
      <c r="AY52" s="71" t="n">
        <f aca="false">+K52-AX52</f>
        <v>0</v>
      </c>
      <c r="AZ52" s="39"/>
      <c r="BA52" s="39" t="n">
        <f aca="false">+P52+Q52+T52+U52+V52+W52+X52+Y52</f>
        <v>0</v>
      </c>
      <c r="BB52" s="39" t="n">
        <f aca="false">N52</f>
        <v>12</v>
      </c>
      <c r="BC52" s="39" t="n">
        <f aca="false">SUM(P52:AW52)</f>
        <v>0</v>
      </c>
      <c r="BD52" s="39"/>
      <c r="BE52" s="39" t="n">
        <f aca="false">SUM(BB52:BC52)</f>
        <v>12</v>
      </c>
      <c r="BF52" s="39"/>
      <c r="BG52" s="48" t="n">
        <f aca="false">SUM(N52:AW52)</f>
        <v>12</v>
      </c>
      <c r="BH52" s="39" t="n">
        <f aca="false">BE52-BG52</f>
        <v>0</v>
      </c>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9"/>
      <c r="GJ52" s="39"/>
      <c r="GK52" s="39"/>
      <c r="GL52" s="39"/>
      <c r="GM52" s="39"/>
      <c r="GN52" s="39"/>
      <c r="GO52" s="39"/>
      <c r="GP52" s="39"/>
      <c r="GQ52" s="39"/>
      <c r="GR52" s="39"/>
      <c r="GS52" s="39"/>
      <c r="GT52" s="39"/>
      <c r="GU52" s="39"/>
      <c r="GV52" s="39"/>
      <c r="GW52" s="39"/>
      <c r="GX52" s="39"/>
      <c r="GY52" s="39"/>
      <c r="GZ52" s="39"/>
      <c r="HA52" s="39"/>
      <c r="HB52" s="39"/>
      <c r="HC52" s="39"/>
      <c r="HD52" s="39"/>
      <c r="HE52" s="39"/>
      <c r="HF52" s="39"/>
      <c r="HG52" s="39"/>
      <c r="HH52" s="39"/>
      <c r="HI52" s="39"/>
      <c r="HJ52" s="39"/>
      <c r="HK52" s="39"/>
      <c r="HL52" s="39"/>
      <c r="HM52" s="39"/>
      <c r="HN52" s="39"/>
      <c r="HO52" s="39"/>
      <c r="HP52" s="39"/>
      <c r="HQ52" s="39"/>
      <c r="HR52" s="39"/>
      <c r="HS52" s="39"/>
      <c r="HT52" s="39"/>
      <c r="HU52" s="39"/>
      <c r="HV52" s="39"/>
      <c r="HW52" s="39"/>
      <c r="HX52" s="39"/>
      <c r="HY52" s="39"/>
      <c r="HZ52" s="39"/>
      <c r="IA52" s="39"/>
      <c r="IB52" s="39"/>
      <c r="IC52" s="39"/>
      <c r="ID52" s="39"/>
      <c r="IE52" s="39"/>
      <c r="IF52" s="39"/>
      <c r="IG52" s="39"/>
      <c r="IH52" s="39"/>
      <c r="II52" s="39"/>
      <c r="IJ52" s="39"/>
      <c r="IK52" s="39"/>
      <c r="IL52" s="39"/>
      <c r="IM52" s="39"/>
      <c r="IN52" s="39"/>
      <c r="IO52" s="39"/>
      <c r="IP52" s="39"/>
      <c r="IQ52" s="39"/>
      <c r="IR52" s="39"/>
      <c r="IS52" s="39"/>
      <c r="IT52" s="39"/>
      <c r="IU52" s="39"/>
      <c r="IV52" s="39"/>
      <c r="IW52" s="39"/>
    </row>
    <row r="53" customFormat="false" ht="12.95" hidden="false" customHeight="true" outlineLevel="0" collapsed="false">
      <c r="A53" s="37" t="n">
        <f aca="false">+'CCs # Master'!A146</f>
        <v>11</v>
      </c>
      <c r="B53" s="99" t="str">
        <f aca="false">+'CCs # Master'!B146</f>
        <v>Corporate Structuring</v>
      </c>
      <c r="C53" s="99" t="str">
        <f aca="false">+'CCs # Master'!C146</f>
        <v>Rodney Faldyn</v>
      </c>
      <c r="D53" s="37" t="n">
        <f aca="false">+'CCs # Master'!D146</f>
        <v>102670</v>
      </c>
      <c r="E53" s="39" t="n">
        <f aca="false">+'CCs # Master'!E146</f>
        <v>1694</v>
      </c>
      <c r="F53" s="39" t="n">
        <f aca="false">+'CCs # Master'!F146</f>
        <v>74</v>
      </c>
      <c r="G53" s="39" t="n">
        <f aca="false">+'CCs # Master'!G146</f>
        <v>6</v>
      </c>
      <c r="H53" s="39" t="n">
        <f aca="false">+'CCs # Master'!H146</f>
        <v>100</v>
      </c>
      <c r="I53" s="39" t="n">
        <f aca="false">+'CCs # Master'!I146</f>
        <v>18</v>
      </c>
      <c r="J53" s="39" t="n">
        <f aca="false">+'CCs # Master'!J146</f>
        <v>30</v>
      </c>
      <c r="K53" s="39" t="n">
        <f aca="false">SUM(E53:J53)</f>
        <v>1922</v>
      </c>
      <c r="L53" s="39"/>
      <c r="M53" s="39" t="str">
        <f aca="false">+'CCs # Master'!M146</f>
        <v>Retained at Corp</v>
      </c>
      <c r="N53" s="39" t="n">
        <f aca="false">+'CCs # Master'!AW146</f>
        <v>1922</v>
      </c>
      <c r="O53" s="39" t="n">
        <v>0</v>
      </c>
      <c r="P53" s="39" t="n">
        <f aca="false">+'CCs # Master'!N146</f>
        <v>0</v>
      </c>
      <c r="Q53" s="39" t="n">
        <f aca="false">+'CCs # Master'!O146</f>
        <v>0</v>
      </c>
      <c r="R53" s="39" t="n">
        <f aca="false">+'CCs # Master'!P146</f>
        <v>0</v>
      </c>
      <c r="S53" s="39" t="n">
        <f aca="false">+'CCs # Master'!Q146</f>
        <v>0</v>
      </c>
      <c r="T53" s="39" t="n">
        <f aca="false">+'CCs # Master'!R146</f>
        <v>0</v>
      </c>
      <c r="U53" s="39" t="n">
        <f aca="false">+'CCs # Master'!S146</f>
        <v>0</v>
      </c>
      <c r="V53" s="39" t="n">
        <f aca="false">+'CCs # Master'!T146</f>
        <v>0</v>
      </c>
      <c r="W53" s="39" t="n">
        <f aca="false">+'CCs # Master'!U146</f>
        <v>0</v>
      </c>
      <c r="X53" s="39" t="n">
        <f aca="false">+'CCs # Master'!V146</f>
        <v>0</v>
      </c>
      <c r="Y53" s="39" t="n">
        <f aca="false">+'CCs # Master'!W146</f>
        <v>0</v>
      </c>
      <c r="Z53" s="39" t="n">
        <f aca="false">+'CCs # Master'!X146</f>
        <v>0</v>
      </c>
      <c r="AA53" s="39" t="n">
        <f aca="false">+'CCs # Master'!Y146</f>
        <v>0</v>
      </c>
      <c r="AB53" s="39" t="n">
        <f aca="false">+'CCs # Master'!Z146</f>
        <v>0</v>
      </c>
      <c r="AC53" s="39" t="n">
        <f aca="false">+'CCs # Master'!AA146</f>
        <v>0</v>
      </c>
      <c r="AD53" s="39" t="n">
        <f aca="false">+'CCs # Master'!AB146</f>
        <v>0</v>
      </c>
      <c r="AE53" s="39" t="n">
        <f aca="false">+'CCs # Master'!AC146</f>
        <v>0</v>
      </c>
      <c r="AF53" s="39" t="n">
        <f aca="false">+'CCs # Master'!AD146</f>
        <v>0</v>
      </c>
      <c r="AG53" s="39" t="n">
        <f aca="false">+'CCs # Master'!AE146</f>
        <v>0</v>
      </c>
      <c r="AH53" s="39" t="n">
        <f aca="false">+'CCs # Master'!AF146</f>
        <v>0</v>
      </c>
      <c r="AI53" s="39" t="n">
        <f aca="false">+'CCs # Master'!AG146</f>
        <v>0</v>
      </c>
      <c r="AJ53" s="39" t="n">
        <f aca="false">+'CCs # Master'!AH146</f>
        <v>0</v>
      </c>
      <c r="AK53" s="39" t="n">
        <f aca="false">+'CCs # Master'!AI146</f>
        <v>0</v>
      </c>
      <c r="AL53" s="39" t="n">
        <f aca="false">+'CCs # Master'!AJ146</f>
        <v>0</v>
      </c>
      <c r="AM53" s="39" t="n">
        <f aca="false">+'CCs # Master'!AK146</f>
        <v>0</v>
      </c>
      <c r="AN53" s="39" t="n">
        <f aca="false">+'CCs # Master'!AL146</f>
        <v>0</v>
      </c>
      <c r="AO53" s="39" t="n">
        <f aca="false">+'CCs # Master'!AM146</f>
        <v>0</v>
      </c>
      <c r="AP53" s="39" t="n">
        <f aca="false">+'CCs # Master'!AN146</f>
        <v>0</v>
      </c>
      <c r="AQ53" s="39" t="n">
        <f aca="false">+'CCs # Master'!AO146</f>
        <v>0</v>
      </c>
      <c r="AR53" s="39" t="n">
        <f aca="false">+'CCs # Master'!AP146</f>
        <v>0</v>
      </c>
      <c r="AS53" s="39" t="n">
        <f aca="false">+'CCs # Master'!AQ146</f>
        <v>0</v>
      </c>
      <c r="AT53" s="39" t="n">
        <f aca="false">+'CCs # Master'!AR146</f>
        <v>0</v>
      </c>
      <c r="AU53" s="39" t="n">
        <f aca="false">+'CCs # Master'!AS146</f>
        <v>0</v>
      </c>
      <c r="AV53" s="39" t="n">
        <f aca="false">+'CCs # Master'!AT146</f>
        <v>0</v>
      </c>
      <c r="AW53" s="0"/>
      <c r="AX53" s="71" t="n">
        <f aca="false">SUM(N53:AW53)</f>
        <v>1922</v>
      </c>
      <c r="AY53" s="71" t="n">
        <f aca="false">+K53-AX53</f>
        <v>0</v>
      </c>
      <c r="AZ53" s="39"/>
      <c r="BA53" s="39" t="n">
        <f aca="false">+P53+Q53+T53+U53+V53+W53+X53+Y53</f>
        <v>0</v>
      </c>
      <c r="BB53" s="39" t="n">
        <f aca="false">N53</f>
        <v>1922</v>
      </c>
      <c r="BC53" s="39" t="n">
        <f aca="false">SUM(P53:AW53)</f>
        <v>0</v>
      </c>
      <c r="BD53" s="39"/>
      <c r="BE53" s="39" t="n">
        <f aca="false">SUM(BB53:BC53)</f>
        <v>1922</v>
      </c>
      <c r="BF53" s="39"/>
      <c r="BG53" s="48" t="n">
        <f aca="false">SUM(N53:AW53)</f>
        <v>1922</v>
      </c>
      <c r="BH53" s="39" t="n">
        <f aca="false">BE53-BG53</f>
        <v>0</v>
      </c>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c r="GI53" s="39"/>
      <c r="GJ53" s="39"/>
      <c r="GK53" s="39"/>
      <c r="GL53" s="39"/>
      <c r="GM53" s="39"/>
      <c r="GN53" s="39"/>
      <c r="GO53" s="39"/>
      <c r="GP53" s="39"/>
      <c r="GQ53" s="39"/>
      <c r="GR53" s="39"/>
      <c r="GS53" s="39"/>
      <c r="GT53" s="39"/>
      <c r="GU53" s="39"/>
      <c r="GV53" s="39"/>
      <c r="GW53" s="39"/>
      <c r="GX53" s="39"/>
      <c r="GY53" s="39"/>
      <c r="GZ53" s="39"/>
      <c r="HA53" s="39"/>
      <c r="HB53" s="39"/>
      <c r="HC53" s="39"/>
      <c r="HD53" s="39"/>
      <c r="HE53" s="39"/>
      <c r="HF53" s="39"/>
      <c r="HG53" s="39"/>
      <c r="HH53" s="39"/>
      <c r="HI53" s="39"/>
      <c r="HJ53" s="39"/>
      <c r="HK53" s="39"/>
      <c r="HL53" s="39"/>
      <c r="HM53" s="39"/>
      <c r="HN53" s="39"/>
      <c r="HO53" s="39"/>
      <c r="HP53" s="39"/>
      <c r="HQ53" s="39"/>
      <c r="HR53" s="39"/>
      <c r="HS53" s="39"/>
      <c r="HT53" s="39"/>
      <c r="HU53" s="39"/>
      <c r="HV53" s="39"/>
      <c r="HW53" s="39"/>
      <c r="HX53" s="39"/>
      <c r="HY53" s="39"/>
      <c r="HZ53" s="39"/>
      <c r="IA53" s="39"/>
      <c r="IB53" s="39"/>
      <c r="IC53" s="39"/>
      <c r="ID53" s="39"/>
      <c r="IE53" s="39"/>
      <c r="IF53" s="39"/>
      <c r="IG53" s="39"/>
      <c r="IH53" s="39"/>
      <c r="II53" s="39"/>
      <c r="IJ53" s="39"/>
      <c r="IK53" s="39"/>
      <c r="IL53" s="39"/>
      <c r="IM53" s="39"/>
      <c r="IN53" s="39"/>
      <c r="IO53" s="39"/>
      <c r="IP53" s="39"/>
      <c r="IQ53" s="39"/>
      <c r="IR53" s="39"/>
      <c r="IS53" s="39"/>
      <c r="IT53" s="39"/>
      <c r="IU53" s="39"/>
      <c r="IV53" s="39"/>
      <c r="IW53" s="39"/>
    </row>
    <row r="54" customFormat="false" ht="12.95" hidden="false" customHeight="true" outlineLevel="0" collapsed="false">
      <c r="A54" s="37" t="n">
        <f aca="false">+'CCs # Master'!A158</f>
        <v>11</v>
      </c>
      <c r="B54" s="99" t="str">
        <f aca="false">+'CCs # Master'!B158</f>
        <v>Strategic Sourcing-Metrics and Financial Structuring</v>
      </c>
      <c r="C54" s="99" t="str">
        <f aca="false">+'CCs # Master'!C158</f>
        <v>Johansen, Bob</v>
      </c>
      <c r="D54" s="37" t="n">
        <f aca="false">+'CCs # Master'!D158</f>
        <v>102878</v>
      </c>
      <c r="E54" s="39" t="n">
        <f aca="false">+'CCs # Master'!E158</f>
        <v>222</v>
      </c>
      <c r="F54" s="39" t="n">
        <f aca="false">+'CCs # Master'!F158</f>
        <v>18</v>
      </c>
      <c r="G54" s="39" t="n">
        <f aca="false">+'CCs # Master'!G158</f>
        <v>0</v>
      </c>
      <c r="H54" s="39" t="n">
        <f aca="false">+'CCs # Master'!H158</f>
        <v>0</v>
      </c>
      <c r="I54" s="39" t="n">
        <f aca="false">+'CCs # Master'!I158</f>
        <v>33</v>
      </c>
      <c r="J54" s="39" t="n">
        <f aca="false">+'CCs # Master'!J158</f>
        <v>0</v>
      </c>
      <c r="K54" s="39" t="n">
        <f aca="false">SUM(E54:J54)</f>
        <v>273</v>
      </c>
      <c r="L54" s="39"/>
      <c r="M54" s="39" t="str">
        <f aca="false">+'CCs # Master'!M158</f>
        <v>Retained at Corp</v>
      </c>
      <c r="N54" s="39" t="n">
        <f aca="false">+'CCs # Master'!AW158</f>
        <v>273</v>
      </c>
      <c r="O54" s="39" t="n">
        <v>0</v>
      </c>
      <c r="P54" s="39" t="n">
        <f aca="false">+'CCs # Master'!N158</f>
        <v>0</v>
      </c>
      <c r="Q54" s="39" t="n">
        <f aca="false">+'CCs # Master'!O158</f>
        <v>0</v>
      </c>
      <c r="R54" s="39" t="n">
        <f aca="false">+'CCs # Master'!P158</f>
        <v>0</v>
      </c>
      <c r="S54" s="39" t="n">
        <f aca="false">+'CCs # Master'!Q158</f>
        <v>0</v>
      </c>
      <c r="T54" s="39" t="n">
        <f aca="false">+'CCs # Master'!R158</f>
        <v>0</v>
      </c>
      <c r="U54" s="39" t="n">
        <f aca="false">+'CCs # Master'!S158</f>
        <v>0</v>
      </c>
      <c r="V54" s="39" t="n">
        <f aca="false">+'CCs # Master'!T158</f>
        <v>0</v>
      </c>
      <c r="W54" s="39" t="n">
        <f aca="false">+'CCs # Master'!U158</f>
        <v>0</v>
      </c>
      <c r="X54" s="39" t="n">
        <f aca="false">+'CCs # Master'!V158</f>
        <v>0</v>
      </c>
      <c r="Y54" s="39" t="n">
        <f aca="false">+'CCs # Master'!W158</f>
        <v>0</v>
      </c>
      <c r="Z54" s="39" t="n">
        <f aca="false">+'CCs # Master'!X158</f>
        <v>0</v>
      </c>
      <c r="AA54" s="39" t="n">
        <f aca="false">+'CCs # Master'!Y158</f>
        <v>0</v>
      </c>
      <c r="AB54" s="39" t="n">
        <f aca="false">+'CCs # Master'!Z158</f>
        <v>0</v>
      </c>
      <c r="AC54" s="39" t="n">
        <f aca="false">+'CCs # Master'!AA158</f>
        <v>0</v>
      </c>
      <c r="AD54" s="39" t="n">
        <f aca="false">+'CCs # Master'!AB158</f>
        <v>0</v>
      </c>
      <c r="AE54" s="39" t="n">
        <f aca="false">+'CCs # Master'!AC158</f>
        <v>0</v>
      </c>
      <c r="AF54" s="39" t="n">
        <f aca="false">+'CCs # Master'!AD158</f>
        <v>0</v>
      </c>
      <c r="AG54" s="39" t="n">
        <f aca="false">+'CCs # Master'!AE158</f>
        <v>0</v>
      </c>
      <c r="AH54" s="39" t="n">
        <f aca="false">+'CCs # Master'!AF158</f>
        <v>0</v>
      </c>
      <c r="AI54" s="39" t="n">
        <f aca="false">+'CCs # Master'!AG158</f>
        <v>0</v>
      </c>
      <c r="AJ54" s="39" t="n">
        <f aca="false">+'CCs # Master'!AH158</f>
        <v>0</v>
      </c>
      <c r="AK54" s="39" t="n">
        <f aca="false">+'CCs # Master'!AI158</f>
        <v>0</v>
      </c>
      <c r="AL54" s="39" t="n">
        <f aca="false">+'CCs # Master'!AJ158</f>
        <v>0</v>
      </c>
      <c r="AM54" s="39" t="n">
        <f aca="false">+'CCs # Master'!AK158</f>
        <v>0</v>
      </c>
      <c r="AN54" s="39" t="n">
        <f aca="false">+'CCs # Master'!AL158</f>
        <v>0</v>
      </c>
      <c r="AO54" s="39" t="n">
        <f aca="false">+'CCs # Master'!AM158</f>
        <v>0</v>
      </c>
      <c r="AP54" s="39" t="n">
        <f aca="false">+'CCs # Master'!AN158</f>
        <v>0</v>
      </c>
      <c r="AQ54" s="39" t="n">
        <f aca="false">+'CCs # Master'!AO158</f>
        <v>0</v>
      </c>
      <c r="AR54" s="39" t="n">
        <f aca="false">+'CCs # Master'!AP158</f>
        <v>0</v>
      </c>
      <c r="AS54" s="39" t="n">
        <f aca="false">+'CCs # Master'!AQ158</f>
        <v>0</v>
      </c>
      <c r="AT54" s="39" t="n">
        <f aca="false">+'CCs # Master'!AR158</f>
        <v>0</v>
      </c>
      <c r="AU54" s="39" t="n">
        <f aca="false">+'CCs # Master'!AS158</f>
        <v>0</v>
      </c>
      <c r="AV54" s="39" t="n">
        <f aca="false">+'CCs # Master'!AT158</f>
        <v>0</v>
      </c>
      <c r="AW54" s="100"/>
      <c r="AX54" s="71" t="n">
        <f aca="false">SUM(N54:AW54)</f>
        <v>273</v>
      </c>
      <c r="AY54" s="71" t="n">
        <f aca="false">+K54-AX54</f>
        <v>0</v>
      </c>
      <c r="AZ54" s="39"/>
      <c r="BA54" s="39" t="n">
        <f aca="false">+P54+Q54+T54+U54+V54+W54+X54+Y54</f>
        <v>0</v>
      </c>
      <c r="BB54" s="39" t="n">
        <f aca="false">N54</f>
        <v>273</v>
      </c>
      <c r="BC54" s="39" t="n">
        <f aca="false">SUM(P54:AW54)</f>
        <v>0</v>
      </c>
      <c r="BD54" s="39"/>
      <c r="BE54" s="39" t="n">
        <f aca="false">SUM(BB54:BC54)</f>
        <v>273</v>
      </c>
      <c r="BF54" s="39"/>
      <c r="BG54" s="48" t="n">
        <f aca="false">SUM(N54:AW54)</f>
        <v>273</v>
      </c>
      <c r="BH54" s="39" t="n">
        <f aca="false">BE54-BG54</f>
        <v>0</v>
      </c>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39"/>
      <c r="HD54" s="39"/>
      <c r="HE54" s="39"/>
      <c r="HF54" s="39"/>
      <c r="HG54" s="39"/>
      <c r="HH54" s="39"/>
      <c r="HI54" s="39"/>
      <c r="HJ54" s="39"/>
      <c r="HK54" s="39"/>
      <c r="HL54" s="39"/>
      <c r="HM54" s="39"/>
      <c r="HN54" s="39"/>
      <c r="HO54" s="39"/>
      <c r="HP54" s="39"/>
      <c r="HQ54" s="39"/>
      <c r="HR54" s="39"/>
      <c r="HS54" s="39"/>
      <c r="HT54" s="39"/>
      <c r="HU54" s="39"/>
      <c r="HV54" s="39"/>
      <c r="HW54" s="39"/>
      <c r="HX54" s="39"/>
      <c r="HY54" s="39"/>
      <c r="HZ54" s="39"/>
      <c r="IA54" s="39"/>
      <c r="IB54" s="39"/>
      <c r="IC54" s="39"/>
      <c r="ID54" s="39"/>
      <c r="IE54" s="39"/>
      <c r="IF54" s="39"/>
      <c r="IG54" s="39"/>
      <c r="IH54" s="39"/>
      <c r="II54" s="39"/>
      <c r="IJ54" s="39"/>
      <c r="IK54" s="39"/>
      <c r="IL54" s="39"/>
      <c r="IM54" s="39"/>
      <c r="IN54" s="39"/>
      <c r="IO54" s="39"/>
      <c r="IP54" s="39"/>
      <c r="IQ54" s="39"/>
      <c r="IR54" s="39"/>
      <c r="IS54" s="39"/>
      <c r="IT54" s="39"/>
      <c r="IU54" s="39"/>
      <c r="IV54" s="39"/>
      <c r="IW54" s="39"/>
    </row>
    <row r="55" customFormat="false" ht="12.95" hidden="false" customHeight="true" outlineLevel="0" collapsed="false">
      <c r="A55" s="37" t="n">
        <f aca="false">+'CCs # Master'!A165</f>
        <v>11</v>
      </c>
      <c r="B55" s="99" t="str">
        <f aca="false">+'CCs # Master'!B165</f>
        <v>ISC-SAP HR Resources HUB</v>
      </c>
      <c r="C55" s="99" t="str">
        <f aca="false">+'CCs # Master'!C165</f>
        <v>Baust, Michael</v>
      </c>
      <c r="D55" s="37" t="n">
        <f aca="false">+'CCs # Master'!D165</f>
        <v>103088</v>
      </c>
      <c r="E55" s="39" t="n">
        <f aca="false">+'CCs # Master'!E165</f>
        <v>1218</v>
      </c>
      <c r="F55" s="39" t="n">
        <f aca="false">+'CCs # Master'!F165</f>
        <v>86</v>
      </c>
      <c r="G55" s="39" t="n">
        <f aca="false">+'CCs # Master'!G165</f>
        <v>0</v>
      </c>
      <c r="H55" s="39" t="n">
        <f aca="false">+'CCs # Master'!H165</f>
        <v>1283</v>
      </c>
      <c r="I55" s="39" t="n">
        <f aca="false">+'CCs # Master'!I165</f>
        <v>0</v>
      </c>
      <c r="J55" s="39" t="n">
        <f aca="false">+'CCs # Master'!J165</f>
        <v>0</v>
      </c>
      <c r="K55" s="39" t="n">
        <f aca="false">SUM(E55:J55)</f>
        <v>2587</v>
      </c>
      <c r="L55" s="39"/>
      <c r="M55" s="39" t="str">
        <f aca="false">+'CCs # Master'!M165</f>
        <v>Per Agreement with BU</v>
      </c>
      <c r="N55" s="39" t="n">
        <f aca="false">+'CCs # Master'!AW165</f>
        <v>323</v>
      </c>
      <c r="O55" s="39" t="n">
        <v>0</v>
      </c>
      <c r="P55" s="39" t="n">
        <f aca="false">+'CCs # Master'!N165</f>
        <v>0</v>
      </c>
      <c r="Q55" s="39" t="n">
        <f aca="false">+'CCs # Master'!O165</f>
        <v>0</v>
      </c>
      <c r="R55" s="39" t="n">
        <f aca="false">+'CCs # Master'!P165</f>
        <v>82</v>
      </c>
      <c r="S55" s="39" t="n">
        <f aca="false">+'CCs # Master'!Q165</f>
        <v>86</v>
      </c>
      <c r="T55" s="39" t="n">
        <f aca="false">+'CCs # Master'!R165</f>
        <v>0</v>
      </c>
      <c r="U55" s="39" t="n">
        <f aca="false">+'CCs # Master'!S165</f>
        <v>0</v>
      </c>
      <c r="V55" s="39" t="n">
        <f aca="false">+'CCs # Master'!T165</f>
        <v>0</v>
      </c>
      <c r="W55" s="39" t="n">
        <f aca="false">+'CCs # Master'!U165</f>
        <v>0</v>
      </c>
      <c r="X55" s="39" t="n">
        <f aca="false">+'CCs # Master'!V165</f>
        <v>323</v>
      </c>
      <c r="Y55" s="39" t="n">
        <f aca="false">+'CCs # Master'!W165</f>
        <v>0</v>
      </c>
      <c r="Z55" s="39" t="n">
        <f aca="false">+'CCs # Master'!X165</f>
        <v>323</v>
      </c>
      <c r="AA55" s="39" t="n">
        <f aca="false">+'CCs # Master'!Y165</f>
        <v>0</v>
      </c>
      <c r="AB55" s="39" t="n">
        <f aca="false">+'CCs # Master'!Z165</f>
        <v>0</v>
      </c>
      <c r="AC55" s="39" t="n">
        <f aca="false">+'CCs # Master'!AA165</f>
        <v>39</v>
      </c>
      <c r="AD55" s="39" t="n">
        <f aca="false">+'CCs # Master'!AB165</f>
        <v>323</v>
      </c>
      <c r="AE55" s="39" t="n">
        <f aca="false">+'CCs # Master'!AC165</f>
        <v>0</v>
      </c>
      <c r="AF55" s="39" t="n">
        <f aca="false">+'CCs # Master'!AD165</f>
        <v>323</v>
      </c>
      <c r="AG55" s="39" t="n">
        <f aca="false">+'CCs # Master'!AE165</f>
        <v>323</v>
      </c>
      <c r="AH55" s="39" t="n">
        <f aca="false">+'CCs # Master'!AF165</f>
        <v>0</v>
      </c>
      <c r="AI55" s="39" t="n">
        <f aca="false">+'CCs # Master'!AG165</f>
        <v>0</v>
      </c>
      <c r="AJ55" s="39" t="n">
        <f aca="false">+'CCs # Master'!AH165</f>
        <v>39</v>
      </c>
      <c r="AK55" s="39" t="n">
        <f aca="false">+'CCs # Master'!AI165</f>
        <v>78</v>
      </c>
      <c r="AL55" s="39" t="n">
        <f aca="false">+'CCs # Master'!AJ165</f>
        <v>78</v>
      </c>
      <c r="AM55" s="39" t="n">
        <f aca="false">+'CCs # Master'!AK165</f>
        <v>39</v>
      </c>
      <c r="AN55" s="39" t="n">
        <f aca="false">+'CCs # Master'!AL165</f>
        <v>39</v>
      </c>
      <c r="AO55" s="39" t="n">
        <f aca="false">+'CCs # Master'!AM165</f>
        <v>39</v>
      </c>
      <c r="AP55" s="39" t="n">
        <f aca="false">+'CCs # Master'!AN165</f>
        <v>0</v>
      </c>
      <c r="AQ55" s="39" t="n">
        <f aca="false">+'CCs # Master'!AO165</f>
        <v>91</v>
      </c>
      <c r="AR55" s="39" t="n">
        <f aca="false">+'CCs # Master'!AP165</f>
        <v>39</v>
      </c>
      <c r="AS55" s="39" t="n">
        <f aca="false">+'CCs # Master'!AQ165</f>
        <v>0</v>
      </c>
      <c r="AT55" s="39" t="n">
        <f aca="false">+'CCs # Master'!AR165</f>
        <v>0</v>
      </c>
      <c r="AU55" s="39" t="n">
        <f aca="false">+'CCs # Master'!AS165</f>
        <v>0</v>
      </c>
      <c r="AV55" s="39" t="n">
        <f aca="false">+'CCs # Master'!AT165</f>
        <v>0</v>
      </c>
      <c r="AW55" s="0"/>
      <c r="AX55" s="71" t="n">
        <f aca="false">SUM(N55:AW55)</f>
        <v>2587</v>
      </c>
      <c r="AY55" s="71" t="n">
        <f aca="false">+K55-AX55</f>
        <v>0</v>
      </c>
      <c r="AZ55" s="39"/>
      <c r="BA55" s="39" t="n">
        <f aca="false">+P55+Q55+T55+U55+V55+W55+X55+Y55</f>
        <v>323</v>
      </c>
      <c r="BB55" s="39" t="n">
        <f aca="false">N55</f>
        <v>323</v>
      </c>
      <c r="BC55" s="39" t="n">
        <f aca="false">SUM(P55:AW55)</f>
        <v>2264</v>
      </c>
      <c r="BD55" s="39"/>
      <c r="BE55" s="39" t="n">
        <f aca="false">SUM(BB55:BC55)</f>
        <v>2587</v>
      </c>
      <c r="BF55" s="39"/>
      <c r="BG55" s="48" t="n">
        <f aca="false">SUM(N55:AW55)</f>
        <v>2587</v>
      </c>
      <c r="BH55" s="39" t="n">
        <f aca="false">BE55-BG55</f>
        <v>0</v>
      </c>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c r="ID55" s="39"/>
      <c r="IE55" s="39"/>
      <c r="IF55" s="39"/>
      <c r="IG55" s="39"/>
      <c r="IH55" s="39"/>
      <c r="II55" s="39"/>
      <c r="IJ55" s="39"/>
      <c r="IK55" s="39"/>
      <c r="IL55" s="39"/>
      <c r="IM55" s="39"/>
      <c r="IN55" s="39"/>
      <c r="IO55" s="39"/>
      <c r="IP55" s="39"/>
      <c r="IQ55" s="39"/>
      <c r="IR55" s="39"/>
      <c r="IS55" s="39"/>
      <c r="IT55" s="39"/>
      <c r="IU55" s="39"/>
      <c r="IV55" s="39"/>
      <c r="IW55" s="39"/>
    </row>
    <row r="56" customFormat="false" ht="12.95" hidden="false" customHeight="true" outlineLevel="0" collapsed="false">
      <c r="A56" s="37" t="n">
        <f aca="false">+'CCs # Master'!A166</f>
        <v>11</v>
      </c>
      <c r="B56" s="99" t="str">
        <f aca="false">+'CCs # Master'!B166</f>
        <v>ISC-Financial HUB</v>
      </c>
      <c r="C56" s="99" t="str">
        <f aca="false">+'CCs # Master'!C166</f>
        <v>Bellinghausen, Susan</v>
      </c>
      <c r="D56" s="37" t="n">
        <f aca="false">+'CCs # Master'!D166</f>
        <v>103089</v>
      </c>
      <c r="E56" s="39" t="n">
        <f aca="false">+'CCs # Master'!E166</f>
        <v>2231</v>
      </c>
      <c r="F56" s="39" t="n">
        <f aca="false">+'CCs # Master'!F166</f>
        <v>29</v>
      </c>
      <c r="G56" s="39" t="n">
        <f aca="false">+'CCs # Master'!G166</f>
        <v>0</v>
      </c>
      <c r="H56" s="39" t="n">
        <f aca="false">+'CCs # Master'!H166</f>
        <v>433</v>
      </c>
      <c r="I56" s="39" t="n">
        <f aca="false">+'CCs # Master'!I166</f>
        <v>0</v>
      </c>
      <c r="J56" s="39" t="n">
        <f aca="false">+'CCs # Master'!J166</f>
        <v>0</v>
      </c>
      <c r="K56" s="39" t="n">
        <f aca="false">SUM(E56:J56)</f>
        <v>2693</v>
      </c>
      <c r="L56" s="39"/>
      <c r="M56" s="39" t="str">
        <f aca="false">+'CCs # Master'!M166</f>
        <v>Per Agreement with BU</v>
      </c>
      <c r="N56" s="39" t="n">
        <f aca="false">+'CCs # Master'!AW166</f>
        <v>337</v>
      </c>
      <c r="O56" s="39" t="n">
        <v>0</v>
      </c>
      <c r="P56" s="39" t="n">
        <f aca="false">+'CCs # Master'!N166</f>
        <v>0</v>
      </c>
      <c r="Q56" s="39" t="n">
        <f aca="false">+'CCs # Master'!O166</f>
        <v>0</v>
      </c>
      <c r="R56" s="39" t="n">
        <f aca="false">+'CCs # Master'!P166</f>
        <v>86</v>
      </c>
      <c r="S56" s="39" t="n">
        <f aca="false">+'CCs # Master'!Q166</f>
        <v>89</v>
      </c>
      <c r="T56" s="39" t="n">
        <f aca="false">+'CCs # Master'!R166</f>
        <v>0</v>
      </c>
      <c r="U56" s="39" t="n">
        <f aca="false">+'CCs # Master'!S166</f>
        <v>0</v>
      </c>
      <c r="V56" s="39" t="n">
        <f aca="false">+'CCs # Master'!T166</f>
        <v>0</v>
      </c>
      <c r="W56" s="39" t="n">
        <f aca="false">+'CCs # Master'!U166</f>
        <v>0</v>
      </c>
      <c r="X56" s="39" t="n">
        <f aca="false">+'CCs # Master'!V166</f>
        <v>337</v>
      </c>
      <c r="Y56" s="39" t="n">
        <f aca="false">+'CCs # Master'!W166</f>
        <v>0</v>
      </c>
      <c r="Z56" s="39" t="n">
        <f aca="false">+'CCs # Master'!X166</f>
        <v>337</v>
      </c>
      <c r="AA56" s="39" t="n">
        <f aca="false">+'CCs # Master'!Y166</f>
        <v>0</v>
      </c>
      <c r="AB56" s="39" t="n">
        <f aca="false">+'CCs # Master'!Z166</f>
        <v>0</v>
      </c>
      <c r="AC56" s="39" t="n">
        <f aca="false">+'CCs # Master'!AA166</f>
        <v>40</v>
      </c>
      <c r="AD56" s="39" t="n">
        <f aca="false">+'CCs # Master'!AB166</f>
        <v>337</v>
      </c>
      <c r="AE56" s="39" t="n">
        <f aca="false">+'CCs # Master'!AC166</f>
        <v>0</v>
      </c>
      <c r="AF56" s="39" t="n">
        <f aca="false">+'CCs # Master'!AD166</f>
        <v>337</v>
      </c>
      <c r="AG56" s="39" t="n">
        <f aca="false">+'CCs # Master'!AE166</f>
        <v>337</v>
      </c>
      <c r="AH56" s="39" t="n">
        <f aca="false">+'CCs # Master'!AF166</f>
        <v>0</v>
      </c>
      <c r="AI56" s="39" t="n">
        <f aca="false">+'CCs # Master'!AG166</f>
        <v>0</v>
      </c>
      <c r="AJ56" s="39" t="n">
        <f aca="false">+'CCs # Master'!AH166</f>
        <v>40</v>
      </c>
      <c r="AK56" s="39" t="n">
        <f aca="false">+'CCs # Master'!AI166</f>
        <v>81</v>
      </c>
      <c r="AL56" s="39" t="n">
        <f aca="false">+'CCs # Master'!AJ166</f>
        <v>81</v>
      </c>
      <c r="AM56" s="39" t="n">
        <f aca="false">+'CCs # Master'!AK166</f>
        <v>40</v>
      </c>
      <c r="AN56" s="39" t="n">
        <f aca="false">+'CCs # Master'!AL166</f>
        <v>40</v>
      </c>
      <c r="AO56" s="39" t="n">
        <f aca="false">+'CCs # Master'!AM166</f>
        <v>40</v>
      </c>
      <c r="AP56" s="39" t="n">
        <f aca="false">+'CCs # Master'!AN166</f>
        <v>0</v>
      </c>
      <c r="AQ56" s="39" t="n">
        <f aca="false">+'CCs # Master'!AO166</f>
        <v>94</v>
      </c>
      <c r="AR56" s="39" t="n">
        <f aca="false">+'CCs # Master'!AP166</f>
        <v>40</v>
      </c>
      <c r="AS56" s="39" t="n">
        <f aca="false">+'CCs # Master'!AQ166</f>
        <v>0</v>
      </c>
      <c r="AT56" s="39" t="n">
        <f aca="false">+'CCs # Master'!AR166</f>
        <v>0</v>
      </c>
      <c r="AU56" s="39" t="n">
        <f aca="false">+'CCs # Master'!AS166</f>
        <v>0</v>
      </c>
      <c r="AV56" s="39" t="n">
        <f aca="false">+'CCs # Master'!AT166</f>
        <v>0</v>
      </c>
      <c r="AW56" s="0"/>
      <c r="AX56" s="71" t="n">
        <f aca="false">SUM(N56:AW56)</f>
        <v>2693</v>
      </c>
      <c r="AY56" s="71" t="n">
        <f aca="false">+K56-AX56</f>
        <v>0</v>
      </c>
      <c r="AZ56" s="39"/>
      <c r="BA56" s="39" t="n">
        <f aca="false">+P56+Q56+T56+U56+V56+W56+X56+Y56</f>
        <v>337</v>
      </c>
      <c r="BB56" s="39" t="n">
        <f aca="false">N56</f>
        <v>337</v>
      </c>
      <c r="BC56" s="39" t="n">
        <f aca="false">SUM(P56:AW56)</f>
        <v>2356</v>
      </c>
      <c r="BD56" s="39"/>
      <c r="BE56" s="39" t="n">
        <f aca="false">SUM(BB56:BC56)</f>
        <v>2693</v>
      </c>
      <c r="BF56" s="39"/>
      <c r="BG56" s="48" t="n">
        <f aca="false">SUM(N56:AW56)</f>
        <v>2693</v>
      </c>
      <c r="BH56" s="39" t="n">
        <f aca="false">BE56-BG56</f>
        <v>0</v>
      </c>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39"/>
      <c r="HA56" s="39"/>
      <c r="HB56" s="39"/>
      <c r="HC56" s="39"/>
      <c r="HD56" s="39"/>
      <c r="HE56" s="39"/>
      <c r="HF56" s="39"/>
      <c r="HG56" s="39"/>
      <c r="HH56" s="39"/>
      <c r="HI56" s="39"/>
      <c r="HJ56" s="39"/>
      <c r="HK56" s="39"/>
      <c r="HL56" s="39"/>
      <c r="HM56" s="39"/>
      <c r="HN56" s="39"/>
      <c r="HO56" s="39"/>
      <c r="HP56" s="39"/>
      <c r="HQ56" s="39"/>
      <c r="HR56" s="39"/>
      <c r="HS56" s="39"/>
      <c r="HT56" s="39"/>
      <c r="HU56" s="39"/>
      <c r="HV56" s="39"/>
      <c r="HW56" s="39"/>
      <c r="HX56" s="39"/>
      <c r="HY56" s="39"/>
      <c r="HZ56" s="39"/>
      <c r="IA56" s="39"/>
      <c r="IB56" s="39"/>
      <c r="IC56" s="39"/>
      <c r="ID56" s="39"/>
      <c r="IE56" s="39"/>
      <c r="IF56" s="39"/>
      <c r="IG56" s="39"/>
      <c r="IH56" s="39"/>
      <c r="II56" s="39"/>
      <c r="IJ56" s="39"/>
      <c r="IK56" s="39"/>
      <c r="IL56" s="39"/>
      <c r="IM56" s="39"/>
      <c r="IN56" s="39"/>
      <c r="IO56" s="39"/>
      <c r="IP56" s="39"/>
      <c r="IQ56" s="39"/>
      <c r="IR56" s="39"/>
      <c r="IS56" s="39"/>
      <c r="IT56" s="39"/>
      <c r="IU56" s="39"/>
      <c r="IV56" s="39"/>
      <c r="IW56" s="39"/>
    </row>
    <row r="57" customFormat="false" ht="12.95" hidden="false" customHeight="true" outlineLevel="0" collapsed="false">
      <c r="A57" s="37" t="n">
        <f aca="false">+'CCs # Master'!A167</f>
        <v>11</v>
      </c>
      <c r="B57" s="99" t="str">
        <f aca="false">+'CCs # Master'!B167</f>
        <v>ISC-SAP PS/SP  Resources</v>
      </c>
      <c r="C57" s="99" t="str">
        <f aca="false">+'CCs # Master'!C167</f>
        <v>Boehm, Rick</v>
      </c>
      <c r="D57" s="37" t="n">
        <f aca="false">+'CCs # Master'!D167</f>
        <v>103090</v>
      </c>
      <c r="E57" s="39" t="n">
        <f aca="false">+'CCs # Master'!E167</f>
        <v>1019</v>
      </c>
      <c r="F57" s="39" t="n">
        <f aca="false">+'CCs # Master'!F167</f>
        <v>59</v>
      </c>
      <c r="G57" s="39" t="n">
        <f aca="false">+'CCs # Master'!G167</f>
        <v>0</v>
      </c>
      <c r="H57" s="39" t="n">
        <f aca="false">+'CCs # Master'!H167</f>
        <v>163</v>
      </c>
      <c r="I57" s="39" t="n">
        <f aca="false">+'CCs # Master'!I167</f>
        <v>0</v>
      </c>
      <c r="J57" s="39" t="n">
        <f aca="false">+'CCs # Master'!J167</f>
        <v>0</v>
      </c>
      <c r="K57" s="39" t="n">
        <f aca="false">SUM(E57:J57)</f>
        <v>1241</v>
      </c>
      <c r="L57" s="39"/>
      <c r="M57" s="39" t="str">
        <f aca="false">+'CCs # Master'!M167</f>
        <v>Per Agreement with BU</v>
      </c>
      <c r="N57" s="39" t="n">
        <f aca="false">+'CCs # Master'!AW167</f>
        <v>154</v>
      </c>
      <c r="O57" s="39" t="n">
        <v>0</v>
      </c>
      <c r="P57" s="39" t="n">
        <f aca="false">+'CCs # Master'!N167</f>
        <v>0</v>
      </c>
      <c r="Q57" s="39" t="n">
        <f aca="false">+'CCs # Master'!O167</f>
        <v>0</v>
      </c>
      <c r="R57" s="39" t="n">
        <f aca="false">+'CCs # Master'!P167</f>
        <v>40</v>
      </c>
      <c r="S57" s="39" t="n">
        <f aca="false">+'CCs # Master'!Q167</f>
        <v>41</v>
      </c>
      <c r="T57" s="39" t="n">
        <f aca="false">+'CCs # Master'!R167</f>
        <v>0</v>
      </c>
      <c r="U57" s="39" t="n">
        <f aca="false">+'CCs # Master'!S167</f>
        <v>0</v>
      </c>
      <c r="V57" s="39" t="n">
        <f aca="false">+'CCs # Master'!T167</f>
        <v>0</v>
      </c>
      <c r="W57" s="39" t="n">
        <f aca="false">+'CCs # Master'!U167</f>
        <v>0</v>
      </c>
      <c r="X57" s="39" t="n">
        <f aca="false">+'CCs # Master'!V167</f>
        <v>155</v>
      </c>
      <c r="Y57" s="39" t="n">
        <f aca="false">+'CCs # Master'!W167</f>
        <v>0</v>
      </c>
      <c r="Z57" s="39" t="n">
        <f aca="false">+'CCs # Master'!X167</f>
        <v>155</v>
      </c>
      <c r="AA57" s="39" t="n">
        <f aca="false">+'CCs # Master'!Y167</f>
        <v>0</v>
      </c>
      <c r="AB57" s="39" t="n">
        <f aca="false">+'CCs # Master'!Z167</f>
        <v>0</v>
      </c>
      <c r="AC57" s="39" t="n">
        <f aca="false">+'CCs # Master'!AA167</f>
        <v>19</v>
      </c>
      <c r="AD57" s="39" t="n">
        <f aca="false">+'CCs # Master'!AB167</f>
        <v>155</v>
      </c>
      <c r="AE57" s="39" t="n">
        <f aca="false">+'CCs # Master'!AC167</f>
        <v>0</v>
      </c>
      <c r="AF57" s="39" t="n">
        <f aca="false">+'CCs # Master'!AD167</f>
        <v>155</v>
      </c>
      <c r="AG57" s="39" t="n">
        <f aca="false">+'CCs # Master'!AE167</f>
        <v>155</v>
      </c>
      <c r="AH57" s="39" t="n">
        <f aca="false">+'CCs # Master'!AF167</f>
        <v>0</v>
      </c>
      <c r="AI57" s="39" t="n">
        <f aca="false">+'CCs # Master'!AG167</f>
        <v>0</v>
      </c>
      <c r="AJ57" s="39" t="n">
        <f aca="false">+'CCs # Master'!AH167</f>
        <v>19</v>
      </c>
      <c r="AK57" s="39" t="n">
        <f aca="false">+'CCs # Master'!AI167</f>
        <v>37</v>
      </c>
      <c r="AL57" s="39" t="n">
        <f aca="false">+'CCs # Master'!AJ167</f>
        <v>37</v>
      </c>
      <c r="AM57" s="39" t="n">
        <f aca="false">+'CCs # Master'!AK167</f>
        <v>19</v>
      </c>
      <c r="AN57" s="39" t="n">
        <f aca="false">+'CCs # Master'!AL167</f>
        <v>19</v>
      </c>
      <c r="AO57" s="39" t="n">
        <f aca="false">+'CCs # Master'!AM167</f>
        <v>19</v>
      </c>
      <c r="AP57" s="39" t="n">
        <f aca="false">+'CCs # Master'!AN167</f>
        <v>0</v>
      </c>
      <c r="AQ57" s="39" t="n">
        <f aca="false">+'CCs # Master'!AO167</f>
        <v>43</v>
      </c>
      <c r="AR57" s="39" t="n">
        <f aca="false">+'CCs # Master'!AP167</f>
        <v>19</v>
      </c>
      <c r="AS57" s="39" t="n">
        <f aca="false">+'CCs # Master'!AQ167</f>
        <v>0</v>
      </c>
      <c r="AT57" s="39" t="n">
        <f aca="false">+'CCs # Master'!AR167</f>
        <v>0</v>
      </c>
      <c r="AU57" s="39" t="n">
        <f aca="false">+'CCs # Master'!AS167</f>
        <v>0</v>
      </c>
      <c r="AV57" s="39" t="n">
        <f aca="false">+'CCs # Master'!AT167</f>
        <v>0</v>
      </c>
      <c r="AW57" s="0"/>
      <c r="AX57" s="71" t="n">
        <f aca="false">SUM(N57:AW57)</f>
        <v>1241</v>
      </c>
      <c r="AY57" s="71" t="n">
        <f aca="false">+K57-AX57</f>
        <v>0</v>
      </c>
      <c r="AZ57" s="39"/>
      <c r="BA57" s="39" t="n">
        <f aca="false">+P57+Q57+T57+U57+V57+W57+X57+Y57</f>
        <v>155</v>
      </c>
      <c r="BB57" s="39" t="n">
        <f aca="false">N57</f>
        <v>154</v>
      </c>
      <c r="BC57" s="39" t="n">
        <f aca="false">SUM(P57:AW57)</f>
        <v>1087</v>
      </c>
      <c r="BD57" s="39"/>
      <c r="BE57" s="39" t="n">
        <f aca="false">SUM(BB57:BC57)</f>
        <v>1241</v>
      </c>
      <c r="BF57" s="39"/>
      <c r="BG57" s="48" t="n">
        <f aca="false">SUM(N57:AW57)</f>
        <v>1241</v>
      </c>
      <c r="BH57" s="39" t="n">
        <f aca="false">BE57-BG57</f>
        <v>0</v>
      </c>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39"/>
      <c r="IP57" s="39"/>
      <c r="IQ57" s="39"/>
      <c r="IR57" s="39"/>
      <c r="IS57" s="39"/>
      <c r="IT57" s="39"/>
      <c r="IU57" s="39"/>
      <c r="IV57" s="39"/>
      <c r="IW57" s="39"/>
    </row>
    <row r="58" customFormat="false" ht="12.95" hidden="false" customHeight="true" outlineLevel="0" collapsed="false">
      <c r="A58" s="37" t="n">
        <f aca="false">+'CCs # Master'!A168</f>
        <v>11</v>
      </c>
      <c r="B58" s="99" t="str">
        <f aca="false">+'CCs # Master'!B168</f>
        <v>ISC-SAP Generalist Hub</v>
      </c>
      <c r="C58" s="99" t="str">
        <f aca="false">+'CCs # Master'!C168</f>
        <v>Chris Schlaudraff</v>
      </c>
      <c r="D58" s="37" t="n">
        <f aca="false">+'CCs # Master'!D168</f>
        <v>103091</v>
      </c>
      <c r="E58" s="39" t="n">
        <f aca="false">+'CCs # Master'!E168</f>
        <v>967</v>
      </c>
      <c r="F58" s="39" t="n">
        <f aca="false">+'CCs # Master'!F168</f>
        <v>30</v>
      </c>
      <c r="G58" s="39" t="n">
        <f aca="false">+'CCs # Master'!G168</f>
        <v>0</v>
      </c>
      <c r="H58" s="39" t="n">
        <f aca="false">+'CCs # Master'!H168</f>
        <v>0</v>
      </c>
      <c r="I58" s="39" t="n">
        <f aca="false">+'CCs # Master'!I168</f>
        <v>0</v>
      </c>
      <c r="J58" s="39" t="n">
        <f aca="false">+'CCs # Master'!J168</f>
        <v>0</v>
      </c>
      <c r="K58" s="39" t="n">
        <f aca="false">SUM(E58:J58)</f>
        <v>997</v>
      </c>
      <c r="L58" s="39"/>
      <c r="M58" s="39" t="str">
        <f aca="false">+'CCs # Master'!M168</f>
        <v>Per Agreement with BU</v>
      </c>
      <c r="N58" s="39" t="n">
        <f aca="false">+'CCs # Master'!AW168</f>
        <v>122</v>
      </c>
      <c r="O58" s="39" t="n">
        <v>0</v>
      </c>
      <c r="P58" s="39" t="n">
        <f aca="false">+'CCs # Master'!N168</f>
        <v>0</v>
      </c>
      <c r="Q58" s="39" t="n">
        <f aca="false">+'CCs # Master'!O168</f>
        <v>0</v>
      </c>
      <c r="R58" s="39" t="n">
        <f aca="false">+'CCs # Master'!P168</f>
        <v>32</v>
      </c>
      <c r="S58" s="39" t="n">
        <f aca="false">+'CCs # Master'!Q168</f>
        <v>33</v>
      </c>
      <c r="T58" s="39" t="n">
        <f aca="false">+'CCs # Master'!R168</f>
        <v>0</v>
      </c>
      <c r="U58" s="39" t="n">
        <f aca="false">+'CCs # Master'!S168</f>
        <v>0</v>
      </c>
      <c r="V58" s="39" t="n">
        <f aca="false">+'CCs # Master'!T168</f>
        <v>0</v>
      </c>
      <c r="W58" s="39" t="n">
        <f aca="false">+'CCs # Master'!U168</f>
        <v>0</v>
      </c>
      <c r="X58" s="39" t="n">
        <f aca="false">+'CCs # Master'!V168</f>
        <v>125</v>
      </c>
      <c r="Y58" s="39" t="n">
        <f aca="false">+'CCs # Master'!W168</f>
        <v>0</v>
      </c>
      <c r="Z58" s="39" t="n">
        <f aca="false">+'CCs # Master'!X168</f>
        <v>125</v>
      </c>
      <c r="AA58" s="39" t="n">
        <f aca="false">+'CCs # Master'!Y168</f>
        <v>0</v>
      </c>
      <c r="AB58" s="39" t="n">
        <f aca="false">+'CCs # Master'!Z168</f>
        <v>0</v>
      </c>
      <c r="AC58" s="39" t="n">
        <f aca="false">+'CCs # Master'!AA168</f>
        <v>15</v>
      </c>
      <c r="AD58" s="39" t="n">
        <f aca="false">+'CCs # Master'!AB168</f>
        <v>125</v>
      </c>
      <c r="AE58" s="39" t="n">
        <f aca="false">+'CCs # Master'!AC168</f>
        <v>0</v>
      </c>
      <c r="AF58" s="39" t="n">
        <f aca="false">+'CCs # Master'!AD168</f>
        <v>125</v>
      </c>
      <c r="AG58" s="39" t="n">
        <f aca="false">+'CCs # Master'!AE168</f>
        <v>125</v>
      </c>
      <c r="AH58" s="39" t="n">
        <f aca="false">+'CCs # Master'!AF168</f>
        <v>0</v>
      </c>
      <c r="AI58" s="39" t="n">
        <f aca="false">+'CCs # Master'!AG168</f>
        <v>0</v>
      </c>
      <c r="AJ58" s="39" t="n">
        <f aca="false">+'CCs # Master'!AH168</f>
        <v>15</v>
      </c>
      <c r="AK58" s="39" t="n">
        <f aca="false">+'CCs # Master'!AI168</f>
        <v>30</v>
      </c>
      <c r="AL58" s="39" t="n">
        <f aca="false">+'CCs # Master'!AJ168</f>
        <v>30</v>
      </c>
      <c r="AM58" s="39" t="n">
        <f aca="false">+'CCs # Master'!AK168</f>
        <v>15</v>
      </c>
      <c r="AN58" s="39" t="n">
        <f aca="false">+'CCs # Master'!AL168</f>
        <v>15</v>
      </c>
      <c r="AO58" s="39" t="n">
        <f aca="false">+'CCs # Master'!AM168</f>
        <v>15</v>
      </c>
      <c r="AP58" s="39" t="n">
        <f aca="false">+'CCs # Master'!AN168</f>
        <v>0</v>
      </c>
      <c r="AQ58" s="39" t="n">
        <f aca="false">+'CCs # Master'!AO168</f>
        <v>35</v>
      </c>
      <c r="AR58" s="39" t="n">
        <f aca="false">+'CCs # Master'!AP168</f>
        <v>15</v>
      </c>
      <c r="AS58" s="39" t="n">
        <f aca="false">+'CCs # Master'!AQ168</f>
        <v>0</v>
      </c>
      <c r="AT58" s="39" t="n">
        <f aca="false">+'CCs # Master'!AR168</f>
        <v>0</v>
      </c>
      <c r="AU58" s="39" t="n">
        <f aca="false">+'CCs # Master'!AS168</f>
        <v>0</v>
      </c>
      <c r="AV58" s="39" t="n">
        <f aca="false">+'CCs # Master'!AT168</f>
        <v>0</v>
      </c>
      <c r="AW58" s="0"/>
      <c r="AX58" s="71" t="n">
        <f aca="false">SUM(N58:AW58)</f>
        <v>997</v>
      </c>
      <c r="AY58" s="71" t="n">
        <f aca="false">+K58-AX58</f>
        <v>0</v>
      </c>
      <c r="AZ58" s="39"/>
      <c r="BA58" s="39" t="n">
        <f aca="false">+P58+Q58+T58+U58+V58+W58+X58+Y58</f>
        <v>125</v>
      </c>
      <c r="BB58" s="39" t="n">
        <f aca="false">N58</f>
        <v>122</v>
      </c>
      <c r="BC58" s="39" t="n">
        <f aca="false">SUM(P58:AW58)</f>
        <v>875</v>
      </c>
      <c r="BD58" s="39"/>
      <c r="BE58" s="39" t="n">
        <f aca="false">SUM(BB58:BC58)</f>
        <v>997</v>
      </c>
      <c r="BF58" s="39"/>
      <c r="BG58" s="48" t="n">
        <f aca="false">SUM(N58:AW58)</f>
        <v>997</v>
      </c>
      <c r="BH58" s="39" t="n">
        <f aca="false">BE58-BG58</f>
        <v>0</v>
      </c>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95" hidden="false" customHeight="true" outlineLevel="0" collapsed="false">
      <c r="A59" s="37" t="n">
        <f aca="false">+'CCs # Master'!A169</f>
        <v>11</v>
      </c>
      <c r="B59" s="99" t="str">
        <f aca="false">+'CCs # Master'!B169</f>
        <v>ISC-SAP Internal Support Resources</v>
      </c>
      <c r="C59" s="99" t="str">
        <f aca="false">+'CCs # Master'!C169</f>
        <v>Chris Schlaudraff</v>
      </c>
      <c r="D59" s="37" t="n">
        <f aca="false">+'CCs # Master'!D169</f>
        <v>103092</v>
      </c>
      <c r="E59" s="39" t="n">
        <f aca="false">+'CCs # Master'!E169</f>
        <v>1525</v>
      </c>
      <c r="F59" s="39" t="n">
        <f aca="false">+'CCs # Master'!F169</f>
        <v>43</v>
      </c>
      <c r="G59" s="39" t="n">
        <f aca="false">+'CCs # Master'!G169</f>
        <v>0</v>
      </c>
      <c r="H59" s="39" t="n">
        <f aca="false">+'CCs # Master'!H169</f>
        <v>53</v>
      </c>
      <c r="I59" s="39" t="n">
        <f aca="false">+'CCs # Master'!I169</f>
        <v>0</v>
      </c>
      <c r="J59" s="39" t="n">
        <f aca="false">+'CCs # Master'!J169</f>
        <v>0</v>
      </c>
      <c r="K59" s="39" t="n">
        <f aca="false">SUM(E59:J59)</f>
        <v>1621</v>
      </c>
      <c r="L59" s="39"/>
      <c r="M59" s="39" t="str">
        <f aca="false">+'CCs # Master'!M169</f>
        <v>Per Agreement with BU</v>
      </c>
      <c r="N59" s="39" t="n">
        <f aca="false">+'CCs # Master'!AW169</f>
        <v>202</v>
      </c>
      <c r="O59" s="39" t="n">
        <v>0</v>
      </c>
      <c r="P59" s="39" t="n">
        <f aca="false">+'CCs # Master'!N169</f>
        <v>0</v>
      </c>
      <c r="Q59" s="39" t="n">
        <f aca="false">+'CCs # Master'!O169</f>
        <v>0</v>
      </c>
      <c r="R59" s="39" t="n">
        <f aca="false">+'CCs # Master'!P169</f>
        <v>51</v>
      </c>
      <c r="S59" s="39" t="n">
        <f aca="false">+'CCs # Master'!Q169</f>
        <v>54</v>
      </c>
      <c r="T59" s="39" t="n">
        <f aca="false">+'CCs # Master'!R169</f>
        <v>0</v>
      </c>
      <c r="U59" s="39" t="n">
        <f aca="false">+'CCs # Master'!S169</f>
        <v>0</v>
      </c>
      <c r="V59" s="39" t="n">
        <f aca="false">+'CCs # Master'!T169</f>
        <v>0</v>
      </c>
      <c r="W59" s="39" t="n">
        <f aca="false">+'CCs # Master'!U169</f>
        <v>0</v>
      </c>
      <c r="X59" s="39" t="n">
        <f aca="false">+'CCs # Master'!V169</f>
        <v>203</v>
      </c>
      <c r="Y59" s="39" t="n">
        <f aca="false">+'CCs # Master'!W169</f>
        <v>0</v>
      </c>
      <c r="Z59" s="39" t="n">
        <f aca="false">+'CCs # Master'!X169</f>
        <v>203</v>
      </c>
      <c r="AA59" s="39" t="n">
        <f aca="false">+'CCs # Master'!Y169</f>
        <v>0</v>
      </c>
      <c r="AB59" s="39" t="n">
        <f aca="false">+'CCs # Master'!Z169</f>
        <v>0</v>
      </c>
      <c r="AC59" s="39" t="n">
        <f aca="false">+'CCs # Master'!AA169</f>
        <v>24</v>
      </c>
      <c r="AD59" s="39" t="n">
        <f aca="false">+'CCs # Master'!AB169</f>
        <v>203</v>
      </c>
      <c r="AE59" s="39" t="n">
        <f aca="false">+'CCs # Master'!AC169</f>
        <v>0</v>
      </c>
      <c r="AF59" s="39" t="n">
        <f aca="false">+'CCs # Master'!AD169</f>
        <v>203</v>
      </c>
      <c r="AG59" s="39" t="n">
        <f aca="false">+'CCs # Master'!AE169</f>
        <v>203</v>
      </c>
      <c r="AH59" s="39" t="n">
        <f aca="false">+'CCs # Master'!AF169</f>
        <v>0</v>
      </c>
      <c r="AI59" s="39" t="n">
        <f aca="false">+'CCs # Master'!AG169</f>
        <v>0</v>
      </c>
      <c r="AJ59" s="39" t="n">
        <f aca="false">+'CCs # Master'!AH169</f>
        <v>24</v>
      </c>
      <c r="AK59" s="39" t="n">
        <f aca="false">+'CCs # Master'!AI169</f>
        <v>49</v>
      </c>
      <c r="AL59" s="39" t="n">
        <f aca="false">+'CCs # Master'!AJ169</f>
        <v>49</v>
      </c>
      <c r="AM59" s="39" t="n">
        <f aca="false">+'CCs # Master'!AK169</f>
        <v>24</v>
      </c>
      <c r="AN59" s="39" t="n">
        <f aca="false">+'CCs # Master'!AL169</f>
        <v>24</v>
      </c>
      <c r="AO59" s="39" t="n">
        <f aca="false">+'CCs # Master'!AM169</f>
        <v>24</v>
      </c>
      <c r="AP59" s="39" t="n">
        <f aca="false">+'CCs # Master'!AN169</f>
        <v>0</v>
      </c>
      <c r="AQ59" s="39" t="n">
        <f aca="false">+'CCs # Master'!AO169</f>
        <v>57</v>
      </c>
      <c r="AR59" s="39" t="n">
        <f aca="false">+'CCs # Master'!AP169</f>
        <v>24</v>
      </c>
      <c r="AS59" s="39" t="n">
        <f aca="false">+'CCs # Master'!AQ169</f>
        <v>0</v>
      </c>
      <c r="AT59" s="39" t="n">
        <f aca="false">+'CCs # Master'!AR169</f>
        <v>0</v>
      </c>
      <c r="AU59" s="39" t="n">
        <f aca="false">+'CCs # Master'!AS169</f>
        <v>0</v>
      </c>
      <c r="AV59" s="39" t="n">
        <f aca="false">+'CCs # Master'!AT169</f>
        <v>0</v>
      </c>
      <c r="AW59" s="0"/>
      <c r="AX59" s="71" t="n">
        <f aca="false">SUM(N59:AW59)</f>
        <v>1621</v>
      </c>
      <c r="AY59" s="71" t="n">
        <f aca="false">+K59-AX59</f>
        <v>0</v>
      </c>
      <c r="AZ59" s="39"/>
      <c r="BA59" s="39" t="n">
        <f aca="false">+P59+Q59+T59+U59+V59+W59+X59+Y59</f>
        <v>203</v>
      </c>
      <c r="BB59" s="39" t="n">
        <f aca="false">N59</f>
        <v>202</v>
      </c>
      <c r="BC59" s="39" t="n">
        <f aca="false">SUM(P59:AW59)</f>
        <v>1419</v>
      </c>
      <c r="BD59" s="39"/>
      <c r="BE59" s="39" t="n">
        <f aca="false">SUM(BB59:BC59)</f>
        <v>1621</v>
      </c>
      <c r="BF59" s="39"/>
      <c r="BG59" s="48" t="n">
        <f aca="false">SUM(N59:AW59)</f>
        <v>1621</v>
      </c>
      <c r="BH59" s="39" t="n">
        <f aca="false">BE59-BG59</f>
        <v>0</v>
      </c>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9"/>
      <c r="GJ59" s="39"/>
      <c r="GK59" s="39"/>
      <c r="GL59" s="39"/>
      <c r="GM59" s="39"/>
      <c r="GN59" s="39"/>
      <c r="GO59" s="39"/>
      <c r="GP59" s="39"/>
      <c r="GQ59" s="39"/>
      <c r="GR59" s="39"/>
      <c r="GS59" s="39"/>
      <c r="GT59" s="39"/>
      <c r="GU59" s="39"/>
      <c r="GV59" s="39"/>
      <c r="GW59" s="39"/>
      <c r="GX59" s="39"/>
      <c r="GY59" s="39"/>
      <c r="GZ59" s="39"/>
      <c r="HA59" s="39"/>
      <c r="HB59" s="39"/>
      <c r="HC59" s="39"/>
      <c r="HD59" s="39"/>
      <c r="HE59" s="39"/>
      <c r="HF59" s="39"/>
      <c r="HG59" s="39"/>
      <c r="HH59" s="39"/>
      <c r="HI59" s="39"/>
      <c r="HJ59" s="39"/>
      <c r="HK59" s="39"/>
      <c r="HL59" s="39"/>
      <c r="HM59" s="39"/>
      <c r="HN59" s="39"/>
      <c r="HO59" s="39"/>
      <c r="HP59" s="39"/>
      <c r="HQ59" s="39"/>
      <c r="HR59" s="39"/>
      <c r="HS59" s="39"/>
      <c r="HT59" s="39"/>
      <c r="HU59" s="39"/>
      <c r="HV59" s="39"/>
      <c r="HW59" s="39"/>
      <c r="HX59" s="39"/>
      <c r="HY59" s="39"/>
      <c r="HZ59" s="39"/>
      <c r="IA59" s="39"/>
      <c r="IB59" s="39"/>
      <c r="IC59" s="39"/>
      <c r="ID59" s="39"/>
      <c r="IE59" s="39"/>
      <c r="IF59" s="39"/>
      <c r="IG59" s="39"/>
      <c r="IH59" s="39"/>
      <c r="II59" s="39"/>
      <c r="IJ59" s="39"/>
      <c r="IK59" s="39"/>
      <c r="IL59" s="39"/>
      <c r="IM59" s="39"/>
      <c r="IN59" s="39"/>
      <c r="IO59" s="39"/>
      <c r="IP59" s="39"/>
      <c r="IQ59" s="39"/>
      <c r="IR59" s="39"/>
      <c r="IS59" s="39"/>
      <c r="IT59" s="39"/>
      <c r="IU59" s="39"/>
      <c r="IV59" s="39"/>
      <c r="IW59" s="39"/>
    </row>
    <row r="60" customFormat="false" ht="12.95" hidden="false" customHeight="true" outlineLevel="0" collapsed="false">
      <c r="A60" s="37" t="n">
        <f aca="false">+'CCs # Master'!A170</f>
        <v>11</v>
      </c>
      <c r="B60" s="99" t="str">
        <f aca="false">+'CCs # Master'!B170</f>
        <v>ISC-Technical Hub</v>
      </c>
      <c r="C60" s="99" t="str">
        <f aca="false">+'CCs # Master'!C170</f>
        <v>Sentiff, Gary</v>
      </c>
      <c r="D60" s="37" t="n">
        <f aca="false">+'CCs # Master'!D170</f>
        <v>103093</v>
      </c>
      <c r="E60" s="39" t="n">
        <f aca="false">+'CCs # Master'!E170</f>
        <v>2389</v>
      </c>
      <c r="F60" s="39" t="n">
        <f aca="false">+'CCs # Master'!F170</f>
        <v>145</v>
      </c>
      <c r="G60" s="39" t="n">
        <f aca="false">+'CCs # Master'!G170</f>
        <v>0</v>
      </c>
      <c r="H60" s="39" t="n">
        <f aca="false">+'CCs # Master'!H170</f>
        <v>592</v>
      </c>
      <c r="I60" s="39" t="n">
        <f aca="false">+'CCs # Master'!I170</f>
        <v>0</v>
      </c>
      <c r="J60" s="39" t="n">
        <f aca="false">+'CCs # Master'!J170</f>
        <v>0</v>
      </c>
      <c r="K60" s="39" t="n">
        <f aca="false">SUM(E60:J60)</f>
        <v>3126</v>
      </c>
      <c r="L60" s="39"/>
      <c r="M60" s="39" t="str">
        <f aca="false">+'CCs # Master'!M170</f>
        <v>Per Agreement with BU</v>
      </c>
      <c r="N60" s="39" t="n">
        <f aca="false">+'CCs # Master'!AW170</f>
        <v>389</v>
      </c>
      <c r="O60" s="39" t="n">
        <v>0</v>
      </c>
      <c r="P60" s="39" t="n">
        <f aca="false">+'CCs # Master'!N170</f>
        <v>0</v>
      </c>
      <c r="Q60" s="39" t="n">
        <f aca="false">+'CCs # Master'!O170</f>
        <v>0</v>
      </c>
      <c r="R60" s="39" t="n">
        <f aca="false">+'CCs # Master'!P170</f>
        <v>116</v>
      </c>
      <c r="S60" s="39" t="n">
        <f aca="false">+'CCs # Master'!Q170</f>
        <v>87</v>
      </c>
      <c r="T60" s="39" t="n">
        <f aca="false">+'CCs # Master'!R170</f>
        <v>0</v>
      </c>
      <c r="U60" s="39" t="n">
        <f aca="false">+'CCs # Master'!S170</f>
        <v>0</v>
      </c>
      <c r="V60" s="39" t="n">
        <f aca="false">+'CCs # Master'!T170</f>
        <v>0</v>
      </c>
      <c r="W60" s="39" t="n">
        <f aca="false">+'CCs # Master'!U170</f>
        <v>0</v>
      </c>
      <c r="X60" s="39" t="n">
        <f aca="false">+'CCs # Master'!V170</f>
        <v>391</v>
      </c>
      <c r="Y60" s="39" t="n">
        <f aca="false">+'CCs # Master'!W170</f>
        <v>0</v>
      </c>
      <c r="Z60" s="39" t="n">
        <f aca="false">+'CCs # Master'!X170</f>
        <v>391</v>
      </c>
      <c r="AA60" s="39" t="n">
        <f aca="false">+'CCs # Master'!Y170</f>
        <v>0</v>
      </c>
      <c r="AB60" s="39" t="n">
        <f aca="false">+'CCs # Master'!Z170</f>
        <v>0</v>
      </c>
      <c r="AC60" s="39" t="n">
        <f aca="false">+'CCs # Master'!AA170</f>
        <v>47</v>
      </c>
      <c r="AD60" s="39" t="n">
        <f aca="false">+'CCs # Master'!AB170</f>
        <v>391</v>
      </c>
      <c r="AE60" s="39" t="n">
        <f aca="false">+'CCs # Master'!AC170</f>
        <v>0</v>
      </c>
      <c r="AF60" s="39" t="n">
        <f aca="false">+'CCs # Master'!AD170</f>
        <v>391</v>
      </c>
      <c r="AG60" s="39" t="n">
        <f aca="false">+'CCs # Master'!AE170</f>
        <v>391</v>
      </c>
      <c r="AH60" s="39" t="n">
        <f aca="false">+'CCs # Master'!AF170</f>
        <v>0</v>
      </c>
      <c r="AI60" s="39" t="n">
        <f aca="false">+'CCs # Master'!AG170</f>
        <v>0</v>
      </c>
      <c r="AJ60" s="39" t="n">
        <f aca="false">+'CCs # Master'!AH170</f>
        <v>47</v>
      </c>
      <c r="AK60" s="39" t="n">
        <f aca="false">+'CCs # Master'!AI170</f>
        <v>94</v>
      </c>
      <c r="AL60" s="39" t="n">
        <f aca="false">+'CCs # Master'!AJ170</f>
        <v>94</v>
      </c>
      <c r="AM60" s="39" t="n">
        <f aca="false">+'CCs # Master'!AK170</f>
        <v>47</v>
      </c>
      <c r="AN60" s="39" t="n">
        <f aca="false">+'CCs # Master'!AL170</f>
        <v>47</v>
      </c>
      <c r="AO60" s="39" t="n">
        <f aca="false">+'CCs # Master'!AM170</f>
        <v>47</v>
      </c>
      <c r="AP60" s="39" t="n">
        <f aca="false">+'CCs # Master'!AN170</f>
        <v>0</v>
      </c>
      <c r="AQ60" s="39" t="n">
        <f aca="false">+'CCs # Master'!AO170</f>
        <v>109</v>
      </c>
      <c r="AR60" s="39" t="n">
        <f aca="false">+'CCs # Master'!AP170</f>
        <v>47</v>
      </c>
      <c r="AS60" s="39" t="n">
        <f aca="false">+'CCs # Master'!AQ170</f>
        <v>0</v>
      </c>
      <c r="AT60" s="39" t="n">
        <f aca="false">+'CCs # Master'!AR170</f>
        <v>0</v>
      </c>
      <c r="AU60" s="39" t="n">
        <f aca="false">+'CCs # Master'!AS170</f>
        <v>0</v>
      </c>
      <c r="AV60" s="39" t="n">
        <f aca="false">+'CCs # Master'!AT170</f>
        <v>0</v>
      </c>
      <c r="AW60" s="0"/>
      <c r="AX60" s="71" t="n">
        <f aca="false">SUM(N60:AW60)</f>
        <v>3126</v>
      </c>
      <c r="AY60" s="71" t="n">
        <f aca="false">+K60-AX60</f>
        <v>0</v>
      </c>
      <c r="AZ60" s="39"/>
      <c r="BA60" s="39" t="n">
        <f aca="false">+P60+Q60+T60+U60+V60+W60+X60+Y60</f>
        <v>391</v>
      </c>
      <c r="BB60" s="39" t="n">
        <f aca="false">N60</f>
        <v>389</v>
      </c>
      <c r="BC60" s="39" t="n">
        <f aca="false">SUM(P60:AW60)</f>
        <v>2737</v>
      </c>
      <c r="BD60" s="39"/>
      <c r="BE60" s="39" t="n">
        <f aca="false">SUM(BB60:BC60)</f>
        <v>3126</v>
      </c>
      <c r="BF60" s="39"/>
      <c r="BG60" s="48" t="n">
        <f aca="false">SUM(N60:AW60)</f>
        <v>3126</v>
      </c>
      <c r="BH60" s="39" t="n">
        <f aca="false">BE60-BG60</f>
        <v>0</v>
      </c>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39"/>
      <c r="HA60" s="39"/>
      <c r="HB60" s="39"/>
      <c r="HC60" s="39"/>
      <c r="HD60" s="39"/>
      <c r="HE60" s="39"/>
      <c r="HF60" s="39"/>
      <c r="HG60" s="39"/>
      <c r="HH60" s="39"/>
      <c r="HI60" s="39"/>
      <c r="HJ60" s="39"/>
      <c r="HK60" s="39"/>
      <c r="HL60" s="39"/>
      <c r="HM60" s="39"/>
      <c r="HN60" s="39"/>
      <c r="HO60" s="39"/>
      <c r="HP60" s="39"/>
      <c r="HQ60" s="39"/>
      <c r="HR60" s="39"/>
      <c r="HS60" s="39"/>
      <c r="HT60" s="39"/>
      <c r="HU60" s="39"/>
      <c r="HV60" s="39"/>
      <c r="HW60" s="39"/>
      <c r="HX60" s="39"/>
      <c r="HY60" s="39"/>
      <c r="HZ60" s="39"/>
      <c r="IA60" s="39"/>
      <c r="IB60" s="39"/>
      <c r="IC60" s="39"/>
      <c r="ID60" s="39"/>
      <c r="IE60" s="39"/>
      <c r="IF60" s="39"/>
      <c r="IG60" s="39"/>
      <c r="IH60" s="39"/>
      <c r="II60" s="39"/>
      <c r="IJ60" s="39"/>
      <c r="IK60" s="39"/>
      <c r="IL60" s="39"/>
      <c r="IM60" s="39"/>
      <c r="IN60" s="39"/>
      <c r="IO60" s="39"/>
      <c r="IP60" s="39"/>
      <c r="IQ60" s="39"/>
      <c r="IR60" s="39"/>
      <c r="IS60" s="39"/>
      <c r="IT60" s="39"/>
      <c r="IU60" s="39"/>
      <c r="IV60" s="39"/>
      <c r="IW60" s="39"/>
    </row>
    <row r="61" customFormat="false" ht="12.95" hidden="false" customHeight="true" outlineLevel="0" collapsed="false">
      <c r="A61" s="37" t="n">
        <f aca="false">+'CCs # Master'!A171</f>
        <v>11</v>
      </c>
      <c r="B61" s="99" t="str">
        <f aca="false">+'CCs # Master'!B171</f>
        <v>ISC-SAP Hub/Service Line Mgt Resources</v>
      </c>
      <c r="C61" s="99" t="str">
        <f aca="false">+'CCs # Master'!C171</f>
        <v>Becker, Melissa</v>
      </c>
      <c r="D61" s="37" t="n">
        <f aca="false">+'CCs # Master'!D171</f>
        <v>103094</v>
      </c>
      <c r="E61" s="39" t="n">
        <f aca="false">+'CCs # Master'!E171</f>
        <v>0</v>
      </c>
      <c r="F61" s="39" t="n">
        <f aca="false">+'CCs # Master'!F171</f>
        <v>61</v>
      </c>
      <c r="G61" s="39" t="n">
        <f aca="false">+'CCs # Master'!G171</f>
        <v>62</v>
      </c>
      <c r="H61" s="39" t="n">
        <f aca="false">+'CCs # Master'!H171</f>
        <v>0</v>
      </c>
      <c r="I61" s="39" t="n">
        <f aca="false">+'CCs # Master'!I171</f>
        <v>1801</v>
      </c>
      <c r="J61" s="39" t="n">
        <f aca="false">+'CCs # Master'!J171</f>
        <v>46</v>
      </c>
      <c r="K61" s="39" t="n">
        <f aca="false">SUM(E61:J61)</f>
        <v>1970</v>
      </c>
      <c r="L61" s="39"/>
      <c r="M61" s="39" t="str">
        <f aca="false">+'CCs # Master'!M171</f>
        <v>Per Agreement with BU</v>
      </c>
      <c r="N61" s="39" t="n">
        <f aca="false">+'CCs # Master'!AW171</f>
        <v>245</v>
      </c>
      <c r="O61" s="39" t="n">
        <v>0</v>
      </c>
      <c r="P61" s="39" t="n">
        <f aca="false">+'CCs # Master'!N171</f>
        <v>0</v>
      </c>
      <c r="Q61" s="39" t="n">
        <f aca="false">+'CCs # Master'!O171</f>
        <v>0</v>
      </c>
      <c r="R61" s="39" t="n">
        <f aca="false">+'CCs # Master'!P171</f>
        <v>63</v>
      </c>
      <c r="S61" s="39" t="n">
        <f aca="false">+'CCs # Master'!Q171</f>
        <v>65</v>
      </c>
      <c r="T61" s="39" t="n">
        <f aca="false">+'CCs # Master'!R171</f>
        <v>0</v>
      </c>
      <c r="U61" s="39" t="n">
        <f aca="false">+'CCs # Master'!S171</f>
        <v>0</v>
      </c>
      <c r="V61" s="39" t="n">
        <f aca="false">+'CCs # Master'!T171</f>
        <v>0</v>
      </c>
      <c r="W61" s="39" t="n">
        <f aca="false">+'CCs # Master'!U171</f>
        <v>0</v>
      </c>
      <c r="X61" s="39" t="n">
        <f aca="false">+'CCs # Master'!V171</f>
        <v>246</v>
      </c>
      <c r="Y61" s="39" t="n">
        <f aca="false">+'CCs # Master'!W171</f>
        <v>0</v>
      </c>
      <c r="Z61" s="39" t="n">
        <f aca="false">+'CCs # Master'!X171</f>
        <v>246</v>
      </c>
      <c r="AA61" s="39" t="n">
        <f aca="false">+'CCs # Master'!Y171</f>
        <v>0</v>
      </c>
      <c r="AB61" s="39" t="n">
        <f aca="false">+'CCs # Master'!Z171</f>
        <v>0</v>
      </c>
      <c r="AC61" s="39" t="n">
        <f aca="false">+'CCs # Master'!AA171</f>
        <v>30</v>
      </c>
      <c r="AD61" s="39" t="n">
        <f aca="false">+'CCs # Master'!AB171</f>
        <v>246</v>
      </c>
      <c r="AE61" s="39" t="n">
        <f aca="false">+'CCs # Master'!AC171</f>
        <v>0</v>
      </c>
      <c r="AF61" s="39" t="n">
        <f aca="false">+'CCs # Master'!AD171</f>
        <v>246</v>
      </c>
      <c r="AG61" s="39" t="n">
        <f aca="false">+'CCs # Master'!AE171</f>
        <v>246</v>
      </c>
      <c r="AH61" s="39" t="n">
        <f aca="false">+'CCs # Master'!AF171</f>
        <v>0</v>
      </c>
      <c r="AI61" s="39" t="n">
        <f aca="false">+'CCs # Master'!AG171</f>
        <v>0</v>
      </c>
      <c r="AJ61" s="39" t="n">
        <f aca="false">+'CCs # Master'!AH171</f>
        <v>30</v>
      </c>
      <c r="AK61" s="39" t="n">
        <f aca="false">+'CCs # Master'!AI171</f>
        <v>59</v>
      </c>
      <c r="AL61" s="39" t="n">
        <f aca="false">+'CCs # Master'!AJ171</f>
        <v>59</v>
      </c>
      <c r="AM61" s="39" t="n">
        <f aca="false">+'CCs # Master'!AK171</f>
        <v>30</v>
      </c>
      <c r="AN61" s="39" t="n">
        <f aca="false">+'CCs # Master'!AL171</f>
        <v>30</v>
      </c>
      <c r="AO61" s="39" t="n">
        <f aca="false">+'CCs # Master'!AM171</f>
        <v>30</v>
      </c>
      <c r="AP61" s="39" t="n">
        <f aca="false">+'CCs # Master'!AN171</f>
        <v>0</v>
      </c>
      <c r="AQ61" s="39" t="n">
        <f aca="false">+'CCs # Master'!AO171</f>
        <v>69</v>
      </c>
      <c r="AR61" s="39" t="n">
        <f aca="false">+'CCs # Master'!AP171</f>
        <v>30</v>
      </c>
      <c r="AS61" s="39" t="n">
        <f aca="false">+'CCs # Master'!AQ171</f>
        <v>0</v>
      </c>
      <c r="AT61" s="39" t="n">
        <f aca="false">+'CCs # Master'!AR171</f>
        <v>0</v>
      </c>
      <c r="AU61" s="39" t="n">
        <f aca="false">+'CCs # Master'!AS171</f>
        <v>0</v>
      </c>
      <c r="AV61" s="39" t="n">
        <f aca="false">+'CCs # Master'!AT171</f>
        <v>0</v>
      </c>
      <c r="AW61" s="0"/>
      <c r="AX61" s="71" t="n">
        <f aca="false">SUM(N61:AW61)</f>
        <v>1970</v>
      </c>
      <c r="AY61" s="71" t="n">
        <f aca="false">+K61-AX61</f>
        <v>0</v>
      </c>
      <c r="AZ61" s="39"/>
      <c r="BA61" s="39" t="n">
        <f aca="false">+P61+Q61+T61+U61+V61+W61+X61+Y61</f>
        <v>246</v>
      </c>
      <c r="BB61" s="39" t="n">
        <f aca="false">N61</f>
        <v>245</v>
      </c>
      <c r="BC61" s="39" t="n">
        <f aca="false">SUM(P61:AW61)</f>
        <v>1725</v>
      </c>
      <c r="BD61" s="39"/>
      <c r="BE61" s="39" t="n">
        <f aca="false">SUM(BB61:BC61)</f>
        <v>1970</v>
      </c>
      <c r="BF61" s="39"/>
      <c r="BG61" s="48" t="n">
        <f aca="false">SUM(N61:AW61)</f>
        <v>1970</v>
      </c>
      <c r="BH61" s="39" t="n">
        <f aca="false">BE61-BG61</f>
        <v>0</v>
      </c>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row>
    <row r="62" customFormat="false" ht="12.95" hidden="false" customHeight="true" outlineLevel="0" collapsed="false">
      <c r="A62" s="37" t="n">
        <f aca="false">+'CCs # Master'!A172</f>
        <v>11</v>
      </c>
      <c r="B62" s="99" t="str">
        <f aca="false">+'CCs # Master'!B172</f>
        <v>ISC-Maximize Service Leader</v>
      </c>
      <c r="C62" s="99" t="str">
        <f aca="false">+'CCs # Master'!C172</f>
        <v>Kokas, Kathy</v>
      </c>
      <c r="D62" s="37" t="n">
        <f aca="false">+'CCs # Master'!D172</f>
        <v>103095</v>
      </c>
      <c r="E62" s="39" t="n">
        <f aca="false">+'CCs # Master'!E172</f>
        <v>0</v>
      </c>
      <c r="F62" s="39" t="n">
        <f aca="false">+'CCs # Master'!F172</f>
        <v>943</v>
      </c>
      <c r="G62" s="39" t="n">
        <f aca="false">+'CCs # Master'!G172</f>
        <v>89</v>
      </c>
      <c r="H62" s="39" t="n">
        <f aca="false">+'CCs # Master'!H172</f>
        <v>2846</v>
      </c>
      <c r="I62" s="39" t="n">
        <f aca="false">+'CCs # Master'!I172</f>
        <v>0</v>
      </c>
      <c r="J62" s="39" t="n">
        <f aca="false">+'CCs # Master'!J172</f>
        <v>161</v>
      </c>
      <c r="K62" s="39" t="n">
        <f aca="false">SUM(E62:J62)</f>
        <v>4039</v>
      </c>
      <c r="L62" s="39"/>
      <c r="M62" s="39" t="str">
        <f aca="false">+'CCs # Master'!M172</f>
        <v>Per Agreement with BU</v>
      </c>
      <c r="N62" s="39" t="n">
        <f aca="false">+'CCs # Master'!AW172</f>
        <v>502</v>
      </c>
      <c r="O62" s="39" t="n">
        <v>0</v>
      </c>
      <c r="P62" s="39" t="n">
        <f aca="false">+'CCs # Master'!N172</f>
        <v>0</v>
      </c>
      <c r="Q62" s="39" t="n">
        <f aca="false">+'CCs # Master'!O172</f>
        <v>0</v>
      </c>
      <c r="R62" s="39" t="n">
        <f aca="false">+'CCs # Master'!P172</f>
        <v>108</v>
      </c>
      <c r="S62" s="39" t="n">
        <f aca="false">+'CCs # Master'!Q172</f>
        <v>155</v>
      </c>
      <c r="T62" s="39" t="n">
        <f aca="false">+'CCs # Master'!R172</f>
        <v>0</v>
      </c>
      <c r="U62" s="39" t="n">
        <f aca="false">+'CCs # Master'!S172</f>
        <v>0</v>
      </c>
      <c r="V62" s="39" t="n">
        <f aca="false">+'CCs # Master'!T172</f>
        <v>0</v>
      </c>
      <c r="W62" s="39" t="n">
        <f aca="false">+'CCs # Master'!U172</f>
        <v>0</v>
      </c>
      <c r="X62" s="39" t="n">
        <f aca="false">+'CCs # Master'!V172</f>
        <v>505</v>
      </c>
      <c r="Y62" s="39" t="n">
        <f aca="false">+'CCs # Master'!W172</f>
        <v>0</v>
      </c>
      <c r="Z62" s="39" t="n">
        <f aca="false">+'CCs # Master'!X172</f>
        <v>505</v>
      </c>
      <c r="AA62" s="39" t="n">
        <f aca="false">+'CCs # Master'!Y172</f>
        <v>0</v>
      </c>
      <c r="AB62" s="39" t="n">
        <f aca="false">+'CCs # Master'!Z172</f>
        <v>0</v>
      </c>
      <c r="AC62" s="39" t="n">
        <f aca="false">+'CCs # Master'!AA172</f>
        <v>61</v>
      </c>
      <c r="AD62" s="39" t="n">
        <f aca="false">+'CCs # Master'!AB172</f>
        <v>505</v>
      </c>
      <c r="AE62" s="39" t="n">
        <f aca="false">+'CCs # Master'!AC172</f>
        <v>0</v>
      </c>
      <c r="AF62" s="39" t="n">
        <f aca="false">+'CCs # Master'!AD172</f>
        <v>505</v>
      </c>
      <c r="AG62" s="39" t="n">
        <f aca="false">+'CCs # Master'!AE172</f>
        <v>505</v>
      </c>
      <c r="AH62" s="39" t="n">
        <f aca="false">+'CCs # Master'!AF172</f>
        <v>0</v>
      </c>
      <c r="AI62" s="39" t="n">
        <f aca="false">+'CCs # Master'!AG172</f>
        <v>0</v>
      </c>
      <c r="AJ62" s="39" t="n">
        <f aca="false">+'CCs # Master'!AH172</f>
        <v>61</v>
      </c>
      <c r="AK62" s="39" t="n">
        <f aca="false">+'CCs # Master'!AI172</f>
        <v>121</v>
      </c>
      <c r="AL62" s="39" t="n">
        <f aca="false">+'CCs # Master'!AJ172</f>
        <v>121</v>
      </c>
      <c r="AM62" s="39" t="n">
        <f aca="false">+'CCs # Master'!AK172</f>
        <v>61</v>
      </c>
      <c r="AN62" s="39" t="n">
        <f aca="false">+'CCs # Master'!AL172</f>
        <v>61</v>
      </c>
      <c r="AO62" s="39" t="n">
        <f aca="false">+'CCs # Master'!AM172</f>
        <v>61</v>
      </c>
      <c r="AP62" s="39" t="n">
        <f aca="false">+'CCs # Master'!AN172</f>
        <v>0</v>
      </c>
      <c r="AQ62" s="39" t="n">
        <f aca="false">+'CCs # Master'!AO172</f>
        <v>141</v>
      </c>
      <c r="AR62" s="39" t="n">
        <f aca="false">+'CCs # Master'!AP172</f>
        <v>61</v>
      </c>
      <c r="AS62" s="39" t="n">
        <f aca="false">+'CCs # Master'!AQ172</f>
        <v>0</v>
      </c>
      <c r="AT62" s="39" t="n">
        <f aca="false">+'CCs # Master'!AR172</f>
        <v>0</v>
      </c>
      <c r="AU62" s="39" t="n">
        <f aca="false">+'CCs # Master'!AS172</f>
        <v>0</v>
      </c>
      <c r="AV62" s="39" t="n">
        <f aca="false">+'CCs # Master'!AT172</f>
        <v>0</v>
      </c>
      <c r="AW62" s="0"/>
      <c r="AX62" s="71" t="n">
        <f aca="false">SUM(N62:AW62)</f>
        <v>4039</v>
      </c>
      <c r="AY62" s="71" t="n">
        <f aca="false">+K62-AX62</f>
        <v>0</v>
      </c>
      <c r="AZ62" s="39"/>
      <c r="BA62" s="39" t="n">
        <f aca="false">+P62+Q62+T62+U62+V62+W62+X62+Y62</f>
        <v>505</v>
      </c>
      <c r="BB62" s="39" t="n">
        <f aca="false">N62</f>
        <v>502</v>
      </c>
      <c r="BC62" s="39" t="n">
        <f aca="false">SUM(P62:AW62)</f>
        <v>3537</v>
      </c>
      <c r="BD62" s="39"/>
      <c r="BE62" s="39" t="n">
        <f aca="false">SUM(BB62:BC62)</f>
        <v>4039</v>
      </c>
      <c r="BF62" s="39"/>
      <c r="BG62" s="48" t="n">
        <f aca="false">SUM(N62:AW62)</f>
        <v>4039</v>
      </c>
      <c r="BH62" s="39" t="n">
        <f aca="false">BE62-BG62</f>
        <v>0</v>
      </c>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39"/>
      <c r="HD62" s="39"/>
      <c r="HE62" s="39"/>
      <c r="HF62" s="39"/>
      <c r="HG62" s="39"/>
      <c r="HH62" s="39"/>
      <c r="HI62" s="39"/>
      <c r="HJ62" s="39"/>
      <c r="HK62" s="39"/>
      <c r="HL62" s="39"/>
      <c r="HM62" s="39"/>
      <c r="HN62" s="39"/>
      <c r="HO62" s="39"/>
      <c r="HP62" s="39"/>
      <c r="HQ62" s="39"/>
      <c r="HR62" s="39"/>
      <c r="HS62" s="39"/>
      <c r="HT62" s="39"/>
      <c r="HU62" s="39"/>
      <c r="HV62" s="39"/>
      <c r="HW62" s="39"/>
      <c r="HX62" s="39"/>
      <c r="HY62" s="39"/>
      <c r="HZ62" s="39"/>
      <c r="IA62" s="39"/>
      <c r="IB62" s="39"/>
      <c r="IC62" s="39"/>
      <c r="ID62" s="39"/>
      <c r="IE62" s="39"/>
      <c r="IF62" s="39"/>
      <c r="IG62" s="39"/>
      <c r="IH62" s="39"/>
      <c r="II62" s="39"/>
      <c r="IJ62" s="39"/>
      <c r="IK62" s="39"/>
      <c r="IL62" s="39"/>
      <c r="IM62" s="39"/>
      <c r="IN62" s="39"/>
      <c r="IO62" s="39"/>
      <c r="IP62" s="39"/>
      <c r="IQ62" s="39"/>
      <c r="IR62" s="39"/>
      <c r="IS62" s="39"/>
      <c r="IT62" s="39"/>
      <c r="IU62" s="39"/>
      <c r="IV62" s="39"/>
      <c r="IW62" s="39"/>
    </row>
    <row r="63" customFormat="false" ht="12.95" hidden="false" customHeight="true" outlineLevel="0" collapsed="false">
      <c r="A63" s="37" t="n">
        <f aca="false">+'CCs # Master'!A173</f>
        <v>11</v>
      </c>
      <c r="B63" s="99" t="str">
        <f aca="false">+'CCs # Master'!B173</f>
        <v>ISC-Release Service</v>
      </c>
      <c r="C63" s="99" t="str">
        <f aca="false">+'CCs # Master'!C173</f>
        <v>Schmidt, Mark</v>
      </c>
      <c r="D63" s="37" t="n">
        <f aca="false">+'CCs # Master'!D173</f>
        <v>103096</v>
      </c>
      <c r="E63" s="39" t="n">
        <f aca="false">+'CCs # Master'!E173</f>
        <v>0</v>
      </c>
      <c r="F63" s="39" t="n">
        <f aca="false">+'CCs # Master'!F173</f>
        <v>0</v>
      </c>
      <c r="G63" s="39" t="n">
        <f aca="false">+'CCs # Master'!G173</f>
        <v>0</v>
      </c>
      <c r="H63" s="39" t="n">
        <f aca="false">+'CCs # Master'!H173</f>
        <v>0</v>
      </c>
      <c r="I63" s="39" t="n">
        <f aca="false">+'CCs # Master'!I173</f>
        <v>0</v>
      </c>
      <c r="J63" s="39" t="n">
        <f aca="false">+'CCs # Master'!J173</f>
        <v>0</v>
      </c>
      <c r="K63" s="39" t="n">
        <f aca="false">SUM(E63:J63)</f>
        <v>0</v>
      </c>
      <c r="L63" s="39"/>
      <c r="M63" s="39" t="str">
        <f aca="false">+'CCs # Master'!M173</f>
        <v>Per Agreement with BU</v>
      </c>
      <c r="N63" s="39" t="n">
        <f aca="false">+'CCs # Master'!AW173</f>
        <v>0</v>
      </c>
      <c r="O63" s="39" t="n">
        <v>0</v>
      </c>
      <c r="P63" s="39" t="n">
        <f aca="false">+'CCs # Master'!N173</f>
        <v>0</v>
      </c>
      <c r="Q63" s="39" t="n">
        <f aca="false">+'CCs # Master'!O173</f>
        <v>0</v>
      </c>
      <c r="R63" s="39" t="n">
        <f aca="false">+'CCs # Master'!P173</f>
        <v>0</v>
      </c>
      <c r="S63" s="39" t="n">
        <f aca="false">+'CCs # Master'!Q173</f>
        <v>0</v>
      </c>
      <c r="T63" s="39" t="n">
        <f aca="false">+'CCs # Master'!R173</f>
        <v>0</v>
      </c>
      <c r="U63" s="39" t="n">
        <f aca="false">+'CCs # Master'!S173</f>
        <v>0</v>
      </c>
      <c r="V63" s="39" t="n">
        <f aca="false">+'CCs # Master'!T173</f>
        <v>0</v>
      </c>
      <c r="W63" s="39" t="n">
        <f aca="false">+'CCs # Master'!U173</f>
        <v>0</v>
      </c>
      <c r="X63" s="39" t="n">
        <f aca="false">+'CCs # Master'!V173</f>
        <v>0</v>
      </c>
      <c r="Y63" s="39" t="n">
        <f aca="false">+'CCs # Master'!W173</f>
        <v>0</v>
      </c>
      <c r="Z63" s="39" t="n">
        <f aca="false">+'CCs # Master'!X173</f>
        <v>0</v>
      </c>
      <c r="AA63" s="39" t="n">
        <f aca="false">+'CCs # Master'!Y173</f>
        <v>0</v>
      </c>
      <c r="AB63" s="39" t="n">
        <f aca="false">+'CCs # Master'!Z173</f>
        <v>0</v>
      </c>
      <c r="AC63" s="39" t="n">
        <f aca="false">+'CCs # Master'!AA173</f>
        <v>0</v>
      </c>
      <c r="AD63" s="39" t="n">
        <f aca="false">+'CCs # Master'!AB173</f>
        <v>0</v>
      </c>
      <c r="AE63" s="39" t="n">
        <f aca="false">+'CCs # Master'!AC173</f>
        <v>0</v>
      </c>
      <c r="AF63" s="39" t="n">
        <f aca="false">+'CCs # Master'!AD173</f>
        <v>0</v>
      </c>
      <c r="AG63" s="39" t="n">
        <f aca="false">+'CCs # Master'!AE173</f>
        <v>0</v>
      </c>
      <c r="AH63" s="39" t="n">
        <f aca="false">+'CCs # Master'!AF173</f>
        <v>0</v>
      </c>
      <c r="AI63" s="39" t="n">
        <f aca="false">+'CCs # Master'!AG173</f>
        <v>0</v>
      </c>
      <c r="AJ63" s="39" t="n">
        <f aca="false">+'CCs # Master'!AH173</f>
        <v>0</v>
      </c>
      <c r="AK63" s="39" t="n">
        <f aca="false">+'CCs # Master'!AI173</f>
        <v>0</v>
      </c>
      <c r="AL63" s="39" t="n">
        <f aca="false">+'CCs # Master'!AJ173</f>
        <v>0</v>
      </c>
      <c r="AM63" s="39" t="n">
        <f aca="false">+'CCs # Master'!AK173</f>
        <v>0</v>
      </c>
      <c r="AN63" s="39" t="n">
        <f aca="false">+'CCs # Master'!AL173</f>
        <v>0</v>
      </c>
      <c r="AO63" s="39" t="n">
        <f aca="false">+'CCs # Master'!AM173</f>
        <v>0</v>
      </c>
      <c r="AP63" s="39" t="n">
        <f aca="false">+'CCs # Master'!AN173</f>
        <v>0</v>
      </c>
      <c r="AQ63" s="39" t="n">
        <f aca="false">+'CCs # Master'!AO173</f>
        <v>0</v>
      </c>
      <c r="AR63" s="39" t="n">
        <f aca="false">+'CCs # Master'!AP173</f>
        <v>0</v>
      </c>
      <c r="AS63" s="39" t="n">
        <f aca="false">+'CCs # Master'!AQ173</f>
        <v>0</v>
      </c>
      <c r="AT63" s="39" t="n">
        <f aca="false">+'CCs # Master'!AR173</f>
        <v>0</v>
      </c>
      <c r="AU63" s="39" t="n">
        <f aca="false">+'CCs # Master'!AS173</f>
        <v>0</v>
      </c>
      <c r="AV63" s="39" t="n">
        <f aca="false">+'CCs # Master'!AT173</f>
        <v>0</v>
      </c>
      <c r="AW63" s="0"/>
      <c r="AX63" s="71" t="n">
        <f aca="false">SUM(N63:AW63)</f>
        <v>0</v>
      </c>
      <c r="AY63" s="71" t="n">
        <f aca="false">+K63-AX63</f>
        <v>0</v>
      </c>
      <c r="AZ63" s="39"/>
      <c r="BA63" s="39" t="n">
        <f aca="false">+P63+Q63+T63+U63+V63+W63+X63+Y63</f>
        <v>0</v>
      </c>
      <c r="BB63" s="39" t="n">
        <f aca="false">N63</f>
        <v>0</v>
      </c>
      <c r="BC63" s="39" t="n">
        <f aca="false">SUM(P63:AW63)</f>
        <v>0</v>
      </c>
      <c r="BD63" s="39"/>
      <c r="BE63" s="39" t="n">
        <f aca="false">SUM(BB63:BC63)</f>
        <v>0</v>
      </c>
      <c r="BF63" s="39"/>
      <c r="BG63" s="48" t="n">
        <f aca="false">SUM(N63:AW63)</f>
        <v>0</v>
      </c>
      <c r="BH63" s="39" t="n">
        <f aca="false">BE63-BG63</f>
        <v>0</v>
      </c>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c r="GZ63" s="39"/>
      <c r="HA63" s="39"/>
      <c r="HB63" s="39"/>
      <c r="HC63" s="39"/>
      <c r="HD63" s="39"/>
      <c r="HE63" s="39"/>
      <c r="HF63" s="39"/>
      <c r="HG63" s="39"/>
      <c r="HH63" s="39"/>
      <c r="HI63" s="39"/>
      <c r="HJ63" s="39"/>
      <c r="HK63" s="39"/>
      <c r="HL63" s="39"/>
      <c r="HM63" s="39"/>
      <c r="HN63" s="39"/>
      <c r="HO63" s="39"/>
      <c r="HP63" s="39"/>
      <c r="HQ63" s="39"/>
      <c r="HR63" s="39"/>
      <c r="HS63" s="39"/>
      <c r="HT63" s="39"/>
      <c r="HU63" s="39"/>
      <c r="HV63" s="39"/>
      <c r="HW63" s="39"/>
      <c r="HX63" s="39"/>
      <c r="HY63" s="39"/>
      <c r="HZ63" s="39"/>
      <c r="IA63" s="39"/>
      <c r="IB63" s="39"/>
      <c r="IC63" s="39"/>
      <c r="ID63" s="39"/>
      <c r="IE63" s="39"/>
      <c r="IF63" s="39"/>
      <c r="IG63" s="39"/>
      <c r="IH63" s="39"/>
      <c r="II63" s="39"/>
      <c r="IJ63" s="39"/>
      <c r="IK63" s="39"/>
      <c r="IL63" s="39"/>
      <c r="IM63" s="39"/>
      <c r="IN63" s="39"/>
      <c r="IO63" s="39"/>
      <c r="IP63" s="39"/>
      <c r="IQ63" s="39"/>
      <c r="IR63" s="39"/>
      <c r="IS63" s="39"/>
      <c r="IT63" s="39"/>
      <c r="IU63" s="39"/>
      <c r="IV63" s="39"/>
      <c r="IW63" s="39"/>
    </row>
    <row r="64" customFormat="false" ht="12.95" hidden="false" customHeight="true" outlineLevel="0" collapsed="false">
      <c r="A64" s="37" t="n">
        <f aca="false">+'CCs # Master'!A174</f>
        <v>11</v>
      </c>
      <c r="B64" s="99" t="str">
        <f aca="false">+'CCs # Master'!B174</f>
        <v>Apollo Amortization</v>
      </c>
      <c r="C64" s="99" t="str">
        <f aca="false">+'CCs # Master'!C174</f>
        <v>Lindsey, Mark</v>
      </c>
      <c r="D64" s="37" t="n">
        <f aca="false">+'CCs # Master'!D174</f>
        <v>100216</v>
      </c>
      <c r="E64" s="39" t="n">
        <f aca="false">+'CCs # Master'!E174</f>
        <v>0</v>
      </c>
      <c r="F64" s="39" t="n">
        <f aca="false">+'CCs # Master'!F174</f>
        <v>0</v>
      </c>
      <c r="G64" s="39" t="n">
        <f aca="false">+'CCs # Master'!G174</f>
        <v>0</v>
      </c>
      <c r="H64" s="39" t="n">
        <f aca="false">+'CCs # Master'!H174</f>
        <v>0</v>
      </c>
      <c r="I64" s="39" t="n">
        <f aca="false">+'CCs # Master'!I174</f>
        <v>0</v>
      </c>
      <c r="J64" s="39" t="n">
        <f aca="false">+'CCs # Master'!J174</f>
        <v>20908</v>
      </c>
      <c r="K64" s="39" t="n">
        <f aca="false">SUM(E64:J64)</f>
        <v>20908</v>
      </c>
      <c r="L64" s="39"/>
      <c r="M64" s="39" t="str">
        <f aca="false">+'CCs # Master'!M174</f>
        <v>Per Agreement with BU</v>
      </c>
      <c r="N64" s="39" t="n">
        <f aca="false">+'CCs # Master'!AW174</f>
        <v>2609</v>
      </c>
      <c r="O64" s="39" t="n">
        <v>0</v>
      </c>
      <c r="P64" s="39" t="n">
        <f aca="false">+'CCs # Master'!N174</f>
        <v>0</v>
      </c>
      <c r="Q64" s="39" t="n">
        <f aca="false">+'CCs # Master'!O174</f>
        <v>0</v>
      </c>
      <c r="R64" s="39" t="n">
        <f aca="false">+'CCs # Master'!P174</f>
        <v>666</v>
      </c>
      <c r="S64" s="39" t="n">
        <f aca="false">+'CCs # Master'!Q174</f>
        <v>693</v>
      </c>
      <c r="T64" s="39" t="n">
        <f aca="false">+'CCs # Master'!R174</f>
        <v>0</v>
      </c>
      <c r="U64" s="39" t="n">
        <f aca="false">+'CCs # Master'!S174</f>
        <v>0</v>
      </c>
      <c r="V64" s="39" t="n">
        <f aca="false">+'CCs # Master'!T174</f>
        <v>0</v>
      </c>
      <c r="W64" s="39" t="n">
        <f aca="false">+'CCs # Master'!U174</f>
        <v>0</v>
      </c>
      <c r="X64" s="39" t="n">
        <f aca="false">+'CCs # Master'!V174</f>
        <v>2614</v>
      </c>
      <c r="Y64" s="39" t="n">
        <f aca="false">+'CCs # Master'!W174</f>
        <v>0</v>
      </c>
      <c r="Z64" s="39" t="n">
        <f aca="false">+'CCs # Master'!X174</f>
        <v>2614</v>
      </c>
      <c r="AA64" s="39" t="n">
        <f aca="false">+'CCs # Master'!Y174</f>
        <v>0</v>
      </c>
      <c r="AB64" s="39" t="n">
        <f aca="false">+'CCs # Master'!Z174</f>
        <v>0</v>
      </c>
      <c r="AC64" s="39" t="n">
        <f aca="false">+'CCs # Master'!AA174</f>
        <v>314</v>
      </c>
      <c r="AD64" s="39" t="n">
        <f aca="false">+'CCs # Master'!AB174</f>
        <v>2614</v>
      </c>
      <c r="AE64" s="39" t="n">
        <f aca="false">+'CCs # Master'!AC174</f>
        <v>0</v>
      </c>
      <c r="AF64" s="39" t="n">
        <f aca="false">+'CCs # Master'!AD174</f>
        <v>2614</v>
      </c>
      <c r="AG64" s="39" t="n">
        <f aca="false">+'CCs # Master'!AE174</f>
        <v>2614</v>
      </c>
      <c r="AH64" s="39" t="n">
        <f aca="false">+'CCs # Master'!AF174</f>
        <v>0</v>
      </c>
      <c r="AI64" s="39" t="n">
        <f aca="false">+'CCs # Master'!AG174</f>
        <v>0</v>
      </c>
      <c r="AJ64" s="39" t="n">
        <f aca="false">+'CCs # Master'!AH174</f>
        <v>314</v>
      </c>
      <c r="AK64" s="39" t="n">
        <f aca="false">+'CCs # Master'!AI174</f>
        <v>627</v>
      </c>
      <c r="AL64" s="39" t="n">
        <f aca="false">+'CCs # Master'!AJ174</f>
        <v>627</v>
      </c>
      <c r="AM64" s="39" t="n">
        <f aca="false">+'CCs # Master'!AK174</f>
        <v>314</v>
      </c>
      <c r="AN64" s="39" t="n">
        <f aca="false">+'CCs # Master'!AL174</f>
        <v>314</v>
      </c>
      <c r="AO64" s="39" t="n">
        <f aca="false">+'CCs # Master'!AM174</f>
        <v>314</v>
      </c>
      <c r="AP64" s="39" t="n">
        <f aca="false">+'CCs # Master'!AN174</f>
        <v>0</v>
      </c>
      <c r="AQ64" s="39" t="n">
        <f aca="false">+'CCs # Master'!AO174</f>
        <v>732</v>
      </c>
      <c r="AR64" s="39" t="n">
        <f aca="false">+'CCs # Master'!AP174</f>
        <v>314</v>
      </c>
      <c r="AS64" s="39" t="n">
        <f aca="false">+'CCs # Master'!AQ174</f>
        <v>0</v>
      </c>
      <c r="AT64" s="39" t="n">
        <f aca="false">+'CCs # Master'!AR174</f>
        <v>0</v>
      </c>
      <c r="AU64" s="39" t="n">
        <f aca="false">+'CCs # Master'!AS174</f>
        <v>0</v>
      </c>
      <c r="AV64" s="39" t="n">
        <f aca="false">+'CCs # Master'!AT174</f>
        <v>0</v>
      </c>
      <c r="AW64" s="0"/>
      <c r="AX64" s="71" t="n">
        <f aca="false">SUM(N64:AW64)</f>
        <v>20908</v>
      </c>
      <c r="AY64" s="71" t="n">
        <f aca="false">+K64-AX64</f>
        <v>0</v>
      </c>
      <c r="AZ64" s="39"/>
      <c r="BA64" s="39" t="n">
        <f aca="false">+P64+Q64+T64+U64+V64+W64+X64+Y64</f>
        <v>2614</v>
      </c>
      <c r="BB64" s="39" t="n">
        <f aca="false">N64</f>
        <v>2609</v>
      </c>
      <c r="BC64" s="39" t="n">
        <f aca="false">SUM(P64:AW64)</f>
        <v>18299</v>
      </c>
      <c r="BD64" s="39"/>
      <c r="BE64" s="39" t="n">
        <f aca="false">SUM(BB64:BC64)</f>
        <v>20908</v>
      </c>
      <c r="BF64" s="39"/>
      <c r="BG64" s="48" t="n">
        <f aca="false">SUM(N64:AW64)</f>
        <v>20908</v>
      </c>
      <c r="BH64" s="39" t="n">
        <f aca="false">BE64-BG64</f>
        <v>0</v>
      </c>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c r="GZ64" s="39"/>
      <c r="HA64" s="39"/>
      <c r="HB64" s="39"/>
      <c r="HC64" s="39"/>
      <c r="HD64" s="39"/>
      <c r="HE64" s="39"/>
      <c r="HF64" s="39"/>
      <c r="HG64" s="39"/>
      <c r="HH64" s="39"/>
      <c r="HI64" s="39"/>
      <c r="HJ64" s="39"/>
      <c r="HK64" s="39"/>
      <c r="HL64" s="39"/>
      <c r="HM64" s="39"/>
      <c r="HN64" s="39"/>
      <c r="HO64" s="39"/>
      <c r="HP64" s="39"/>
      <c r="HQ64" s="39"/>
      <c r="HR64" s="39"/>
      <c r="HS64" s="39"/>
      <c r="HT64" s="39"/>
      <c r="HU64" s="39"/>
      <c r="HV64" s="39"/>
      <c r="HW64" s="39"/>
      <c r="HX64" s="39"/>
      <c r="HY64" s="39"/>
      <c r="HZ64" s="39"/>
      <c r="IA64" s="39"/>
      <c r="IB64" s="39"/>
      <c r="IC64" s="39"/>
      <c r="ID64" s="39"/>
      <c r="IE64" s="39"/>
      <c r="IF64" s="39"/>
      <c r="IG64" s="39"/>
      <c r="IH64" s="39"/>
      <c r="II64" s="39"/>
      <c r="IJ64" s="39"/>
      <c r="IK64" s="39"/>
      <c r="IL64" s="39"/>
      <c r="IM64" s="39"/>
      <c r="IN64" s="39"/>
      <c r="IO64" s="39"/>
      <c r="IP64" s="39"/>
      <c r="IQ64" s="39"/>
      <c r="IR64" s="39"/>
      <c r="IS64" s="39"/>
      <c r="IT64" s="39"/>
      <c r="IU64" s="39"/>
      <c r="IV64" s="39"/>
      <c r="IW64" s="39"/>
    </row>
    <row r="65" customFormat="false" ht="12.95" hidden="false" customHeight="true" outlineLevel="0" collapsed="false">
      <c r="A65" s="37" t="n">
        <f aca="false">+'CCs # Master'!A24</f>
        <v>11</v>
      </c>
      <c r="B65" s="39" t="str">
        <f aca="false">+'CCs # Master'!B24</f>
        <v>Strategic Sourcing-Min.&amp; Women Bus Develop</v>
      </c>
      <c r="C65" s="39" t="str">
        <f aca="false">+'CCs # Master'!C24</f>
        <v>Wasaff, G</v>
      </c>
      <c r="D65" s="96" t="n">
        <f aca="false">+'CCs # Master'!D24</f>
        <v>100022</v>
      </c>
      <c r="E65" s="39" t="n">
        <f aca="false">+'CCs # Master'!E24</f>
        <v>203</v>
      </c>
      <c r="F65" s="39" t="n">
        <f aca="false">+'CCs # Master'!F24</f>
        <v>38</v>
      </c>
      <c r="G65" s="39" t="n">
        <f aca="false">+'CCs # Master'!G24</f>
        <v>0</v>
      </c>
      <c r="H65" s="39" t="n">
        <f aca="false">+'CCs # Master'!H24</f>
        <v>32</v>
      </c>
      <c r="I65" s="39" t="n">
        <f aca="false">+'CCs # Master'!I24</f>
        <v>19</v>
      </c>
      <c r="J65" s="39" t="n">
        <f aca="false">+'CCs # Master'!J24</f>
        <v>35</v>
      </c>
      <c r="K65" s="71" t="n">
        <f aca="false">SUM(E65:J65)</f>
        <v>327</v>
      </c>
      <c r="L65" s="39"/>
      <c r="M65" s="39" t="str">
        <f aca="false">+'CCs # Master'!M24</f>
        <v>MMF</v>
      </c>
      <c r="N65" s="39" t="n">
        <f aca="false">+'CCs # Master'!AW24</f>
        <v>327</v>
      </c>
      <c r="O65" s="39" t="n">
        <v>0</v>
      </c>
      <c r="P65" s="39" t="n">
        <f aca="false">+'CCs # Master'!N24</f>
        <v>0</v>
      </c>
      <c r="Q65" s="39" t="n">
        <f aca="false">+'CCs # Master'!O24</f>
        <v>0</v>
      </c>
      <c r="R65" s="39" t="n">
        <f aca="false">+'CCs # Master'!P24</f>
        <v>0</v>
      </c>
      <c r="S65" s="39" t="n">
        <f aca="false">+'CCs # Master'!Q24</f>
        <v>0</v>
      </c>
      <c r="T65" s="39" t="n">
        <f aca="false">+'CCs # Master'!R24</f>
        <v>0</v>
      </c>
      <c r="U65" s="39" t="n">
        <f aca="false">+'CCs # Master'!S24</f>
        <v>0</v>
      </c>
      <c r="V65" s="39" t="n">
        <f aca="false">+'CCs # Master'!T24</f>
        <v>0</v>
      </c>
      <c r="W65" s="39" t="n">
        <f aca="false">+'CCs # Master'!U24</f>
        <v>0</v>
      </c>
      <c r="X65" s="39" t="n">
        <f aca="false">+'CCs # Master'!V24</f>
        <v>0</v>
      </c>
      <c r="Y65" s="39" t="n">
        <f aca="false">+'CCs # Master'!W24</f>
        <v>0</v>
      </c>
      <c r="Z65" s="39" t="n">
        <f aca="false">+'CCs # Master'!X24</f>
        <v>0</v>
      </c>
      <c r="AA65" s="39" t="n">
        <f aca="false">+'CCs # Master'!Y24</f>
        <v>0</v>
      </c>
      <c r="AB65" s="39" t="n">
        <f aca="false">+'CCs # Master'!Z24</f>
        <v>0</v>
      </c>
      <c r="AC65" s="39" t="n">
        <f aca="false">+'CCs # Master'!AA24</f>
        <v>0</v>
      </c>
      <c r="AD65" s="39" t="n">
        <f aca="false">+'CCs # Master'!AB24</f>
        <v>0</v>
      </c>
      <c r="AE65" s="39" t="n">
        <f aca="false">+'CCs # Master'!AC24</f>
        <v>0</v>
      </c>
      <c r="AF65" s="39" t="n">
        <f aca="false">+'CCs # Master'!AD24</f>
        <v>0</v>
      </c>
      <c r="AG65" s="39" t="n">
        <f aca="false">+'CCs # Master'!AE24</f>
        <v>0</v>
      </c>
      <c r="AH65" s="39" t="n">
        <f aca="false">+'CCs # Master'!AF24</f>
        <v>0</v>
      </c>
      <c r="AI65" s="39" t="n">
        <f aca="false">+'CCs # Master'!AG24</f>
        <v>0</v>
      </c>
      <c r="AJ65" s="39" t="n">
        <f aca="false">+'CCs # Master'!AH24</f>
        <v>0</v>
      </c>
      <c r="AK65" s="39" t="n">
        <f aca="false">+'CCs # Master'!AI24</f>
        <v>0</v>
      </c>
      <c r="AL65" s="39" t="n">
        <f aca="false">+'CCs # Master'!AJ24</f>
        <v>0</v>
      </c>
      <c r="AM65" s="39" t="n">
        <f aca="false">+'CCs # Master'!AK24</f>
        <v>0</v>
      </c>
      <c r="AN65" s="39" t="n">
        <f aca="false">+'CCs # Master'!AL24</f>
        <v>0</v>
      </c>
      <c r="AO65" s="39" t="n">
        <f aca="false">+'CCs # Master'!AM24</f>
        <v>0</v>
      </c>
      <c r="AP65" s="39" t="n">
        <f aca="false">+'CCs # Master'!AN24</f>
        <v>0</v>
      </c>
      <c r="AQ65" s="39" t="n">
        <f aca="false">+'CCs # Master'!AO24</f>
        <v>0</v>
      </c>
      <c r="AR65" s="39" t="n">
        <f aca="false">+'CCs # Master'!AP24</f>
        <v>0</v>
      </c>
      <c r="AS65" s="39" t="n">
        <f aca="false">+'CCs # Master'!AQ24</f>
        <v>0</v>
      </c>
      <c r="AT65" s="39" t="n">
        <f aca="false">+'CCs # Master'!AR24</f>
        <v>0</v>
      </c>
      <c r="AU65" s="39" t="n">
        <f aca="false">+'CCs # Master'!AS24</f>
        <v>0</v>
      </c>
      <c r="AV65" s="39" t="n">
        <f aca="false">+'CCs # Master'!AT24</f>
        <v>0</v>
      </c>
      <c r="AW65" s="100"/>
      <c r="AX65" s="71" t="n">
        <f aca="false">SUM(N65:AW65)</f>
        <v>327</v>
      </c>
      <c r="AY65" s="71" t="n">
        <f aca="false">+K65-AX65</f>
        <v>0</v>
      </c>
      <c r="AZ65" s="39"/>
      <c r="BA65" s="39" t="n">
        <f aca="false">+P65+Q65+T65+U65+V65+W65+X65+Y65</f>
        <v>0</v>
      </c>
      <c r="BB65" s="39" t="n">
        <f aca="false">N65</f>
        <v>327</v>
      </c>
      <c r="BC65" s="39" t="n">
        <f aca="false">SUM(P65:AW65)</f>
        <v>0</v>
      </c>
      <c r="BD65" s="39"/>
      <c r="BE65" s="39" t="n">
        <f aca="false">SUM(BB65:BC65)</f>
        <v>327</v>
      </c>
      <c r="BF65" s="39"/>
      <c r="BG65" s="48" t="n">
        <f aca="false">SUM(N65:AW65)</f>
        <v>327</v>
      </c>
      <c r="BH65" s="39" t="n">
        <f aca="false">BE65-BG65</f>
        <v>0</v>
      </c>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39"/>
      <c r="HD65" s="39"/>
      <c r="HE65" s="39"/>
      <c r="HF65" s="39"/>
      <c r="HG65" s="39"/>
      <c r="HH65" s="39"/>
      <c r="HI65" s="39"/>
      <c r="HJ65" s="39"/>
      <c r="HK65" s="39"/>
      <c r="HL65" s="39"/>
      <c r="HM65" s="39"/>
      <c r="HN65" s="39"/>
      <c r="HO65" s="39"/>
      <c r="HP65" s="39"/>
      <c r="HQ65" s="39"/>
      <c r="HR65" s="39"/>
      <c r="HS65" s="39"/>
      <c r="HT65" s="39"/>
      <c r="HU65" s="39"/>
      <c r="HV65" s="39"/>
      <c r="HW65" s="39"/>
      <c r="HX65" s="39"/>
      <c r="HY65" s="39"/>
      <c r="HZ65" s="39"/>
      <c r="IA65" s="39"/>
      <c r="IB65" s="39"/>
      <c r="IC65" s="39"/>
      <c r="ID65" s="39"/>
      <c r="IE65" s="39"/>
      <c r="IF65" s="39"/>
      <c r="IG65" s="39"/>
      <c r="IH65" s="39"/>
      <c r="II65" s="39"/>
      <c r="IJ65" s="39"/>
      <c r="IK65" s="39"/>
      <c r="IL65" s="39"/>
      <c r="IM65" s="39"/>
      <c r="IN65" s="39"/>
      <c r="IO65" s="39"/>
      <c r="IP65" s="39"/>
      <c r="IQ65" s="39"/>
      <c r="IR65" s="39"/>
      <c r="IS65" s="39"/>
      <c r="IT65" s="39"/>
      <c r="IU65" s="39"/>
      <c r="IV65" s="39"/>
      <c r="IW65" s="39"/>
    </row>
    <row r="66" customFormat="false" ht="12.95" hidden="false" customHeight="true" outlineLevel="0" collapsed="false">
      <c r="A66" s="37" t="n">
        <f aca="false">+'CCs # Master'!A175</f>
        <v>11</v>
      </c>
      <c r="B66" s="99" t="str">
        <f aca="false">+'CCs # Master'!B175</f>
        <v>Strategic Sourcing - Contract Administration</v>
      </c>
      <c r="C66" s="99" t="str">
        <f aca="false">+'CCs # Master'!C175</f>
        <v>Higgason, Kelly</v>
      </c>
      <c r="D66" s="37" t="n">
        <f aca="false">+'CCs # Master'!D175</f>
        <v>103102</v>
      </c>
      <c r="E66" s="39" t="n">
        <f aca="false">+'CCs # Master'!E175</f>
        <v>318</v>
      </c>
      <c r="F66" s="39" t="n">
        <f aca="false">+'CCs # Master'!F175</f>
        <v>18</v>
      </c>
      <c r="G66" s="39" t="n">
        <f aca="false">+'CCs # Master'!G175</f>
        <v>0</v>
      </c>
      <c r="H66" s="39" t="n">
        <f aca="false">+'CCs # Master'!H175</f>
        <v>43</v>
      </c>
      <c r="I66" s="39" t="n">
        <f aca="false">+'CCs # Master'!I175</f>
        <v>2</v>
      </c>
      <c r="J66" s="39" t="n">
        <f aca="false">+'CCs # Master'!J175</f>
        <v>2</v>
      </c>
      <c r="K66" s="39" t="n">
        <f aca="false">SUM(E66:J66)</f>
        <v>383</v>
      </c>
      <c r="L66" s="39"/>
      <c r="M66" s="39" t="str">
        <f aca="false">+'CCs # Master'!M175</f>
        <v>Retained at Corp</v>
      </c>
      <c r="N66" s="39" t="n">
        <f aca="false">+'CCs # Master'!AW175</f>
        <v>383</v>
      </c>
      <c r="O66" s="39" t="n">
        <v>0</v>
      </c>
      <c r="P66" s="39" t="n">
        <f aca="false">+'CCs # Master'!N175</f>
        <v>0</v>
      </c>
      <c r="Q66" s="39" t="n">
        <f aca="false">+'CCs # Master'!O175</f>
        <v>0</v>
      </c>
      <c r="R66" s="39" t="n">
        <f aca="false">+'CCs # Master'!P175</f>
        <v>0</v>
      </c>
      <c r="S66" s="39" t="n">
        <f aca="false">+'CCs # Master'!Q175</f>
        <v>0</v>
      </c>
      <c r="T66" s="39" t="n">
        <f aca="false">+'CCs # Master'!R175</f>
        <v>0</v>
      </c>
      <c r="U66" s="39" t="n">
        <f aca="false">+'CCs # Master'!S175</f>
        <v>0</v>
      </c>
      <c r="V66" s="39" t="n">
        <f aca="false">+'CCs # Master'!T175</f>
        <v>0</v>
      </c>
      <c r="W66" s="39" t="n">
        <f aca="false">+'CCs # Master'!U175</f>
        <v>0</v>
      </c>
      <c r="X66" s="39" t="n">
        <f aca="false">+'CCs # Master'!V175</f>
        <v>0</v>
      </c>
      <c r="Y66" s="39" t="n">
        <f aca="false">+'CCs # Master'!W175</f>
        <v>0</v>
      </c>
      <c r="Z66" s="39" t="n">
        <f aca="false">+'CCs # Master'!X175</f>
        <v>0</v>
      </c>
      <c r="AA66" s="39" t="n">
        <f aca="false">+'CCs # Master'!Y175</f>
        <v>0</v>
      </c>
      <c r="AB66" s="39" t="n">
        <f aca="false">+'CCs # Master'!Z175</f>
        <v>0</v>
      </c>
      <c r="AC66" s="39" t="n">
        <f aca="false">+'CCs # Master'!AA175</f>
        <v>0</v>
      </c>
      <c r="AD66" s="39" t="n">
        <f aca="false">+'CCs # Master'!AB175</f>
        <v>0</v>
      </c>
      <c r="AE66" s="39" t="n">
        <f aca="false">+'CCs # Master'!AC175</f>
        <v>0</v>
      </c>
      <c r="AF66" s="39" t="n">
        <f aca="false">+'CCs # Master'!AD175</f>
        <v>0</v>
      </c>
      <c r="AG66" s="39" t="n">
        <f aca="false">+'CCs # Master'!AE175</f>
        <v>0</v>
      </c>
      <c r="AH66" s="39" t="n">
        <f aca="false">+'CCs # Master'!AF175</f>
        <v>0</v>
      </c>
      <c r="AI66" s="39" t="n">
        <f aca="false">+'CCs # Master'!AG175</f>
        <v>0</v>
      </c>
      <c r="AJ66" s="39" t="n">
        <f aca="false">+'CCs # Master'!AH175</f>
        <v>0</v>
      </c>
      <c r="AK66" s="39" t="n">
        <f aca="false">+'CCs # Master'!AI175</f>
        <v>0</v>
      </c>
      <c r="AL66" s="39" t="n">
        <f aca="false">+'CCs # Master'!AJ175</f>
        <v>0</v>
      </c>
      <c r="AM66" s="39" t="n">
        <f aca="false">+'CCs # Master'!AK175</f>
        <v>0</v>
      </c>
      <c r="AN66" s="39" t="n">
        <f aca="false">+'CCs # Master'!AL175</f>
        <v>0</v>
      </c>
      <c r="AO66" s="39" t="n">
        <f aca="false">+'CCs # Master'!AM175</f>
        <v>0</v>
      </c>
      <c r="AP66" s="39" t="n">
        <f aca="false">+'CCs # Master'!AN175</f>
        <v>0</v>
      </c>
      <c r="AQ66" s="39" t="n">
        <f aca="false">+'CCs # Master'!AO175</f>
        <v>0</v>
      </c>
      <c r="AR66" s="39" t="n">
        <f aca="false">+'CCs # Master'!AP175</f>
        <v>0</v>
      </c>
      <c r="AS66" s="39" t="n">
        <f aca="false">+'CCs # Master'!AQ175</f>
        <v>0</v>
      </c>
      <c r="AT66" s="39" t="n">
        <f aca="false">+'CCs # Master'!AR175</f>
        <v>0</v>
      </c>
      <c r="AU66" s="39" t="n">
        <f aca="false">+'CCs # Master'!AS175</f>
        <v>0</v>
      </c>
      <c r="AV66" s="39" t="n">
        <f aca="false">+'CCs # Master'!AT175</f>
        <v>0</v>
      </c>
      <c r="AW66" s="100"/>
      <c r="AX66" s="71" t="n">
        <f aca="false">SUM(N66:AW66)</f>
        <v>383</v>
      </c>
      <c r="AY66" s="71" t="n">
        <f aca="false">+K66-AX66</f>
        <v>0</v>
      </c>
      <c r="AZ66" s="39"/>
      <c r="BA66" s="39" t="n">
        <f aca="false">+P66+Q66+T66+U66+V66+W66+X66+Y66</f>
        <v>0</v>
      </c>
      <c r="BB66" s="39" t="n">
        <f aca="false">N66</f>
        <v>383</v>
      </c>
      <c r="BC66" s="39" t="n">
        <f aca="false">SUM(P66:AW66)</f>
        <v>0</v>
      </c>
      <c r="BD66" s="39"/>
      <c r="BE66" s="39" t="n">
        <f aca="false">SUM(BB66:BC66)</f>
        <v>383</v>
      </c>
      <c r="BF66" s="39"/>
      <c r="BG66" s="48" t="n">
        <f aca="false">SUM(N66:AW66)</f>
        <v>383</v>
      </c>
      <c r="BH66" s="39" t="n">
        <f aca="false">BE66-BG66</f>
        <v>0</v>
      </c>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2.95" hidden="false" customHeight="true" outlineLevel="0" collapsed="false">
      <c r="A67" s="37" t="n">
        <f aca="false">+'CCs # Master'!A190</f>
        <v>11</v>
      </c>
      <c r="B67" s="99" t="str">
        <f aca="false">+'CCs # Master'!B190</f>
        <v>Business Risk Management and IT Compliance</v>
      </c>
      <c r="C67" s="99" t="str">
        <f aca="false">+'CCs # Master'!C190</f>
        <v>Lindholm, Tod</v>
      </c>
      <c r="D67" s="37" t="n">
        <f aca="false">+'CCs # Master'!D190</f>
        <v>103335</v>
      </c>
      <c r="E67" s="39" t="n">
        <f aca="false">+'CCs # Master'!E190</f>
        <v>464</v>
      </c>
      <c r="F67" s="39" t="n">
        <f aca="false">+'CCs # Master'!F190</f>
        <v>80</v>
      </c>
      <c r="G67" s="39" t="n">
        <f aca="false">+'CCs # Master'!G190</f>
        <v>12</v>
      </c>
      <c r="H67" s="39" t="n">
        <f aca="false">+'CCs # Master'!H190</f>
        <v>187</v>
      </c>
      <c r="I67" s="39" t="n">
        <f aca="false">+'CCs # Master'!I190</f>
        <v>0</v>
      </c>
      <c r="J67" s="39" t="n">
        <f aca="false">+'CCs # Master'!J190</f>
        <v>21</v>
      </c>
      <c r="K67" s="39" t="n">
        <f aca="false">SUM(E67:J67)</f>
        <v>764</v>
      </c>
      <c r="L67" s="39"/>
      <c r="M67" s="39" t="str">
        <f aca="false">+'CCs # Master'!M190</f>
        <v>Retained at Corp</v>
      </c>
      <c r="N67" s="39" t="n">
        <f aca="false">+'CCs # Master'!AW190</f>
        <v>764</v>
      </c>
      <c r="O67" s="39" t="n">
        <v>0</v>
      </c>
      <c r="P67" s="39" t="n">
        <f aca="false">+'CCs # Master'!N190</f>
        <v>0</v>
      </c>
      <c r="Q67" s="39" t="n">
        <f aca="false">+'CCs # Master'!O190</f>
        <v>0</v>
      </c>
      <c r="R67" s="39" t="n">
        <f aca="false">+'CCs # Master'!P190</f>
        <v>0</v>
      </c>
      <c r="S67" s="39" t="n">
        <f aca="false">+'CCs # Master'!Q190</f>
        <v>0</v>
      </c>
      <c r="T67" s="39" t="n">
        <f aca="false">+'CCs # Master'!R190</f>
        <v>0</v>
      </c>
      <c r="U67" s="39" t="n">
        <f aca="false">+'CCs # Master'!S190</f>
        <v>0</v>
      </c>
      <c r="V67" s="39" t="n">
        <f aca="false">+'CCs # Master'!T190</f>
        <v>0</v>
      </c>
      <c r="W67" s="39" t="n">
        <f aca="false">+'CCs # Master'!U190</f>
        <v>0</v>
      </c>
      <c r="X67" s="39" t="n">
        <f aca="false">+'CCs # Master'!V190</f>
        <v>0</v>
      </c>
      <c r="Y67" s="39" t="n">
        <f aca="false">+'CCs # Master'!W190</f>
        <v>0</v>
      </c>
      <c r="Z67" s="39" t="n">
        <f aca="false">+'CCs # Master'!X190</f>
        <v>0</v>
      </c>
      <c r="AA67" s="39" t="n">
        <f aca="false">+'CCs # Master'!Y190</f>
        <v>0</v>
      </c>
      <c r="AB67" s="39" t="n">
        <f aca="false">+'CCs # Master'!Z190</f>
        <v>0</v>
      </c>
      <c r="AC67" s="39" t="n">
        <f aca="false">+'CCs # Master'!AA190</f>
        <v>0</v>
      </c>
      <c r="AD67" s="39" t="n">
        <f aca="false">+'CCs # Master'!AB190</f>
        <v>0</v>
      </c>
      <c r="AE67" s="39" t="n">
        <f aca="false">+'CCs # Master'!AC190</f>
        <v>0</v>
      </c>
      <c r="AF67" s="39" t="n">
        <f aca="false">+'CCs # Master'!AD190</f>
        <v>0</v>
      </c>
      <c r="AG67" s="39" t="n">
        <f aca="false">+'CCs # Master'!AE190</f>
        <v>0</v>
      </c>
      <c r="AH67" s="39" t="n">
        <f aca="false">+'CCs # Master'!AF190</f>
        <v>0</v>
      </c>
      <c r="AI67" s="39" t="n">
        <f aca="false">+'CCs # Master'!AG190</f>
        <v>0</v>
      </c>
      <c r="AJ67" s="39" t="n">
        <f aca="false">+'CCs # Master'!AH190</f>
        <v>0</v>
      </c>
      <c r="AK67" s="39" t="n">
        <f aca="false">+'CCs # Master'!AI190</f>
        <v>0</v>
      </c>
      <c r="AL67" s="39" t="n">
        <f aca="false">+'CCs # Master'!AJ190</f>
        <v>0</v>
      </c>
      <c r="AM67" s="39" t="n">
        <f aca="false">+'CCs # Master'!AK190</f>
        <v>0</v>
      </c>
      <c r="AN67" s="39" t="n">
        <f aca="false">+'CCs # Master'!AL190</f>
        <v>0</v>
      </c>
      <c r="AO67" s="39" t="n">
        <f aca="false">+'CCs # Master'!AM190</f>
        <v>0</v>
      </c>
      <c r="AP67" s="39" t="n">
        <f aca="false">+'CCs # Master'!AN190</f>
        <v>0</v>
      </c>
      <c r="AQ67" s="39" t="n">
        <f aca="false">+'CCs # Master'!AO190</f>
        <v>0</v>
      </c>
      <c r="AR67" s="39" t="n">
        <f aca="false">+'CCs # Master'!AP190</f>
        <v>0</v>
      </c>
      <c r="AS67" s="39" t="n">
        <f aca="false">+'CCs # Master'!AQ190</f>
        <v>0</v>
      </c>
      <c r="AT67" s="39" t="n">
        <f aca="false">+'CCs # Master'!AR190</f>
        <v>0</v>
      </c>
      <c r="AU67" s="39" t="n">
        <f aca="false">+'CCs # Master'!AS190</f>
        <v>0</v>
      </c>
      <c r="AV67" s="39" t="n">
        <f aca="false">+'CCs # Master'!AT190</f>
        <v>0</v>
      </c>
      <c r="AW67" s="0"/>
      <c r="AX67" s="71" t="n">
        <f aca="false">SUM(N67:AW67)</f>
        <v>764</v>
      </c>
      <c r="AY67" s="71" t="n">
        <f aca="false">+K67-AX67</f>
        <v>0</v>
      </c>
      <c r="AZ67" s="39"/>
      <c r="BA67" s="39" t="n">
        <f aca="false">+P67+Q67+T67+U67+V67+W67+X67+Y67</f>
        <v>0</v>
      </c>
      <c r="BB67" s="39" t="n">
        <f aca="false">N67</f>
        <v>764</v>
      </c>
      <c r="BC67" s="39" t="n">
        <f aca="false">SUM(P67:AW67)</f>
        <v>0</v>
      </c>
      <c r="BD67" s="39"/>
      <c r="BE67" s="39" t="n">
        <f aca="false">SUM(BB67:BC67)</f>
        <v>764</v>
      </c>
      <c r="BF67" s="39"/>
      <c r="BG67" s="48" t="n">
        <f aca="false">SUM(N67:AW67)</f>
        <v>764</v>
      </c>
      <c r="BH67" s="39" t="n">
        <f aca="false">BE67-BG67</f>
        <v>0</v>
      </c>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2.95" hidden="false" customHeight="true" outlineLevel="0" collapsed="false">
      <c r="A68" s="37" t="n">
        <f aca="false">+'CCs # Master'!A177</f>
        <v>11</v>
      </c>
      <c r="B68" s="99" t="str">
        <f aca="false">+'CCs # Master'!B177</f>
        <v>ISC-Training/Change Mgmt</v>
      </c>
      <c r="C68" s="99" t="str">
        <f aca="false">+'CCs # Master'!C177</f>
        <v>Kokas, Kathy</v>
      </c>
      <c r="D68" s="37" t="n">
        <f aca="false">+'CCs # Master'!D177</f>
        <v>103413</v>
      </c>
      <c r="E68" s="39" t="n">
        <f aca="false">+'CCs # Master'!E177</f>
        <v>773</v>
      </c>
      <c r="F68" s="39" t="n">
        <f aca="false">+'CCs # Master'!F177</f>
        <v>33</v>
      </c>
      <c r="G68" s="39" t="n">
        <f aca="false">+'CCs # Master'!G177</f>
        <v>0</v>
      </c>
      <c r="H68" s="39" t="n">
        <f aca="false">+'CCs # Master'!H177</f>
        <v>139</v>
      </c>
      <c r="I68" s="39" t="n">
        <f aca="false">+'CCs # Master'!I177</f>
        <v>0</v>
      </c>
      <c r="J68" s="39" t="n">
        <f aca="false">+'CCs # Master'!J177</f>
        <v>0</v>
      </c>
      <c r="K68" s="39" t="n">
        <f aca="false">SUM(E68:J68)</f>
        <v>945</v>
      </c>
      <c r="L68" s="39"/>
      <c r="M68" s="39" t="str">
        <f aca="false">+'CCs # Master'!M177</f>
        <v>Per Agreement with BU</v>
      </c>
      <c r="N68" s="39" t="n">
        <f aca="false">+'CCs # Master'!AW177</f>
        <v>121</v>
      </c>
      <c r="O68" s="39" t="n">
        <f aca="false">+'CCs # Master'!AX177</f>
        <v>0</v>
      </c>
      <c r="P68" s="39" t="n">
        <f aca="false">+'CCs # Master'!N177</f>
        <v>0</v>
      </c>
      <c r="Q68" s="39" t="n">
        <f aca="false">+'CCs # Master'!O177</f>
        <v>0</v>
      </c>
      <c r="R68" s="39" t="n">
        <f aca="false">+'CCs # Master'!P177</f>
        <v>30</v>
      </c>
      <c r="S68" s="39" t="n">
        <f aca="false">+'CCs # Master'!Q177</f>
        <v>31</v>
      </c>
      <c r="T68" s="39" t="n">
        <f aca="false">+'CCs # Master'!R177</f>
        <v>0</v>
      </c>
      <c r="U68" s="39" t="n">
        <f aca="false">+'CCs # Master'!S177</f>
        <v>0</v>
      </c>
      <c r="V68" s="39" t="n">
        <f aca="false">+'CCs # Master'!T177</f>
        <v>0</v>
      </c>
      <c r="W68" s="39" t="n">
        <f aca="false">+'CCs # Master'!U177</f>
        <v>0</v>
      </c>
      <c r="X68" s="39" t="n">
        <f aca="false">+'CCs # Master'!V177</f>
        <v>118</v>
      </c>
      <c r="Y68" s="39" t="n">
        <f aca="false">+'CCs # Master'!W177</f>
        <v>0</v>
      </c>
      <c r="Z68" s="39" t="n">
        <f aca="false">+'CCs # Master'!X177</f>
        <v>118</v>
      </c>
      <c r="AA68" s="39" t="n">
        <f aca="false">+'CCs # Master'!Y177</f>
        <v>0</v>
      </c>
      <c r="AB68" s="39" t="n">
        <f aca="false">+'CCs # Master'!Z177</f>
        <v>0</v>
      </c>
      <c r="AC68" s="39" t="n">
        <f aca="false">+'CCs # Master'!AA177</f>
        <v>14</v>
      </c>
      <c r="AD68" s="39" t="n">
        <f aca="false">+'CCs # Master'!AB177</f>
        <v>118</v>
      </c>
      <c r="AE68" s="39" t="n">
        <f aca="false">+'CCs # Master'!AC177</f>
        <v>0</v>
      </c>
      <c r="AF68" s="39" t="n">
        <f aca="false">+'CCs # Master'!AD177</f>
        <v>118</v>
      </c>
      <c r="AG68" s="39" t="n">
        <f aca="false">+'CCs # Master'!AE177</f>
        <v>118</v>
      </c>
      <c r="AH68" s="39" t="n">
        <f aca="false">+'CCs # Master'!AF177</f>
        <v>0</v>
      </c>
      <c r="AI68" s="39" t="n">
        <f aca="false">+'CCs # Master'!AG177</f>
        <v>0</v>
      </c>
      <c r="AJ68" s="39" t="n">
        <f aca="false">+'CCs # Master'!AH177</f>
        <v>14</v>
      </c>
      <c r="AK68" s="39" t="n">
        <f aca="false">+'CCs # Master'!AI177</f>
        <v>28</v>
      </c>
      <c r="AL68" s="39" t="n">
        <f aca="false">+'CCs # Master'!AJ177</f>
        <v>28</v>
      </c>
      <c r="AM68" s="39" t="n">
        <f aca="false">+'CCs # Master'!AK177</f>
        <v>14</v>
      </c>
      <c r="AN68" s="39" t="n">
        <f aca="false">+'CCs # Master'!AL177</f>
        <v>14</v>
      </c>
      <c r="AO68" s="39" t="n">
        <f aca="false">+'CCs # Master'!AM177</f>
        <v>14</v>
      </c>
      <c r="AP68" s="39" t="n">
        <f aca="false">+'CCs # Master'!AN177</f>
        <v>0</v>
      </c>
      <c r="AQ68" s="39" t="n">
        <f aca="false">+'CCs # Master'!AO177</f>
        <v>33</v>
      </c>
      <c r="AR68" s="39" t="n">
        <f aca="false">+'CCs # Master'!AP177</f>
        <v>14</v>
      </c>
      <c r="AS68" s="39" t="n">
        <f aca="false">+'CCs # Master'!AQ177</f>
        <v>0</v>
      </c>
      <c r="AT68" s="39" t="n">
        <f aca="false">+'CCs # Master'!AR177</f>
        <v>0</v>
      </c>
      <c r="AU68" s="39" t="n">
        <f aca="false">+'CCs # Master'!AS177</f>
        <v>0</v>
      </c>
      <c r="AV68" s="39" t="n">
        <f aca="false">+'CCs # Master'!AT177</f>
        <v>0</v>
      </c>
      <c r="AW68" s="0"/>
      <c r="AX68" s="71" t="n">
        <f aca="false">SUM(N68:AW68)</f>
        <v>945</v>
      </c>
      <c r="AY68" s="71" t="n">
        <f aca="false">+K68-AX68</f>
        <v>0</v>
      </c>
      <c r="AZ68" s="39"/>
      <c r="BA68" s="39" t="n">
        <f aca="false">+P68+Q68+T68+U68+V68+W68+X68+Y68</f>
        <v>118</v>
      </c>
      <c r="BB68" s="39" t="n">
        <f aca="false">N68</f>
        <v>121</v>
      </c>
      <c r="BC68" s="39" t="n">
        <f aca="false">SUM(P68:AW68)</f>
        <v>824</v>
      </c>
      <c r="BD68" s="39"/>
      <c r="BE68" s="39" t="n">
        <f aca="false">SUM(BB68:BC68)</f>
        <v>945</v>
      </c>
      <c r="BF68" s="39"/>
      <c r="BG68" s="48" t="n">
        <f aca="false">SUM(N68:AW68)</f>
        <v>945</v>
      </c>
      <c r="BH68" s="39" t="n">
        <f aca="false">BE68-BG68</f>
        <v>0</v>
      </c>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2.95" hidden="false" customHeight="true" outlineLevel="0" collapsed="false">
      <c r="A69" s="37" t="n">
        <f aca="false">+'CCs # Master'!A178</f>
        <v>11</v>
      </c>
      <c r="B69" s="99" t="str">
        <f aca="false">+'CCs # Master'!B178</f>
        <v>ISC-Reporting Services</v>
      </c>
      <c r="C69" s="99" t="str">
        <f aca="false">+'CCs # Master'!C178</f>
        <v>Kokas, Kathy</v>
      </c>
      <c r="D69" s="37" t="n">
        <f aca="false">+'CCs # Master'!D178</f>
        <v>103415</v>
      </c>
      <c r="E69" s="39" t="n">
        <f aca="false">+'CCs # Master'!E178</f>
        <v>373</v>
      </c>
      <c r="F69" s="39" t="n">
        <f aca="false">+'CCs # Master'!F178</f>
        <v>9</v>
      </c>
      <c r="G69" s="39" t="n">
        <f aca="false">+'CCs # Master'!G178</f>
        <v>0</v>
      </c>
      <c r="H69" s="39" t="n">
        <f aca="false">+'CCs # Master'!H178</f>
        <v>337</v>
      </c>
      <c r="I69" s="39" t="n">
        <f aca="false">+'CCs # Master'!I178</f>
        <v>0</v>
      </c>
      <c r="J69" s="39" t="n">
        <f aca="false">+'CCs # Master'!J178</f>
        <v>0</v>
      </c>
      <c r="K69" s="39" t="n">
        <f aca="false">SUM(E69:J69)</f>
        <v>719</v>
      </c>
      <c r="L69" s="39"/>
      <c r="M69" s="39" t="str">
        <f aca="false">+'CCs # Master'!M178</f>
        <v>Per Agreement with BU</v>
      </c>
      <c r="N69" s="39" t="n">
        <f aca="false">+'CCs # Master'!AW178</f>
        <v>87</v>
      </c>
      <c r="O69" s="39" t="n">
        <f aca="false">+'CCs # Master'!AX178</f>
        <v>0</v>
      </c>
      <c r="P69" s="39" t="n">
        <f aca="false">+'CCs # Master'!N178</f>
        <v>0</v>
      </c>
      <c r="Q69" s="39" t="n">
        <f aca="false">+'CCs # Master'!O178</f>
        <v>0</v>
      </c>
      <c r="R69" s="39" t="n">
        <f aca="false">+'CCs # Master'!P178</f>
        <v>25</v>
      </c>
      <c r="S69" s="39" t="n">
        <f aca="false">+'CCs # Master'!Q178</f>
        <v>22</v>
      </c>
      <c r="T69" s="39" t="n">
        <f aca="false">+'CCs # Master'!R178</f>
        <v>0</v>
      </c>
      <c r="U69" s="39" t="n">
        <f aca="false">+'CCs # Master'!S178</f>
        <v>0</v>
      </c>
      <c r="V69" s="39" t="n">
        <f aca="false">+'CCs # Master'!T178</f>
        <v>0</v>
      </c>
      <c r="W69" s="39" t="n">
        <f aca="false">+'CCs # Master'!U178</f>
        <v>0</v>
      </c>
      <c r="X69" s="39" t="n">
        <f aca="false">+'CCs # Master'!V178</f>
        <v>90</v>
      </c>
      <c r="Y69" s="39" t="n">
        <f aca="false">+'CCs # Master'!W178</f>
        <v>0</v>
      </c>
      <c r="Z69" s="39" t="n">
        <f aca="false">+'CCs # Master'!X178</f>
        <v>90</v>
      </c>
      <c r="AA69" s="39" t="n">
        <f aca="false">+'CCs # Master'!Y178</f>
        <v>0</v>
      </c>
      <c r="AB69" s="39" t="n">
        <f aca="false">+'CCs # Master'!Z178</f>
        <v>0</v>
      </c>
      <c r="AC69" s="39" t="n">
        <f aca="false">+'CCs # Master'!AA178</f>
        <v>11</v>
      </c>
      <c r="AD69" s="39" t="n">
        <f aca="false">+'CCs # Master'!AB178</f>
        <v>90</v>
      </c>
      <c r="AE69" s="39" t="n">
        <f aca="false">+'CCs # Master'!AC178</f>
        <v>0</v>
      </c>
      <c r="AF69" s="39" t="n">
        <f aca="false">+'CCs # Master'!AD178</f>
        <v>90</v>
      </c>
      <c r="AG69" s="39" t="n">
        <f aca="false">+'CCs # Master'!AE178</f>
        <v>90</v>
      </c>
      <c r="AH69" s="39" t="n">
        <f aca="false">+'CCs # Master'!AF178</f>
        <v>0</v>
      </c>
      <c r="AI69" s="39" t="n">
        <f aca="false">+'CCs # Master'!AG178</f>
        <v>0</v>
      </c>
      <c r="AJ69" s="39" t="n">
        <f aca="false">+'CCs # Master'!AH178</f>
        <v>11</v>
      </c>
      <c r="AK69" s="39" t="n">
        <f aca="false">+'CCs # Master'!AI178</f>
        <v>22</v>
      </c>
      <c r="AL69" s="39" t="n">
        <f aca="false">+'CCs # Master'!AJ178</f>
        <v>22</v>
      </c>
      <c r="AM69" s="39" t="n">
        <f aca="false">+'CCs # Master'!AK178</f>
        <v>11</v>
      </c>
      <c r="AN69" s="39" t="n">
        <f aca="false">+'CCs # Master'!AL178</f>
        <v>11</v>
      </c>
      <c r="AO69" s="39" t="n">
        <f aca="false">+'CCs # Master'!AM178</f>
        <v>11</v>
      </c>
      <c r="AP69" s="39" t="n">
        <f aca="false">+'CCs # Master'!AN178</f>
        <v>0</v>
      </c>
      <c r="AQ69" s="39" t="n">
        <f aca="false">+'CCs # Master'!AO178</f>
        <v>25</v>
      </c>
      <c r="AR69" s="39" t="n">
        <f aca="false">+'CCs # Master'!AP178</f>
        <v>11</v>
      </c>
      <c r="AS69" s="39" t="n">
        <f aca="false">+'CCs # Master'!AQ178</f>
        <v>0</v>
      </c>
      <c r="AT69" s="39" t="n">
        <f aca="false">+'CCs # Master'!AR178</f>
        <v>0</v>
      </c>
      <c r="AU69" s="39" t="n">
        <f aca="false">+'CCs # Master'!AS178</f>
        <v>0</v>
      </c>
      <c r="AV69" s="39" t="n">
        <f aca="false">+'CCs # Master'!AT178</f>
        <v>0</v>
      </c>
      <c r="AW69" s="0"/>
      <c r="AX69" s="71" t="n">
        <f aca="false">SUM(N69:AW69)</f>
        <v>719</v>
      </c>
      <c r="AY69" s="71" t="n">
        <f aca="false">+K69-AX69</f>
        <v>0</v>
      </c>
      <c r="AZ69" s="39"/>
      <c r="BA69" s="39" t="n">
        <f aca="false">+P69+Q69+T69+U69+V69+W69+X69+Y69</f>
        <v>90</v>
      </c>
      <c r="BB69" s="39" t="n">
        <f aca="false">N69</f>
        <v>87</v>
      </c>
      <c r="BC69" s="39" t="n">
        <f aca="false">SUM(P69:AW69)</f>
        <v>632</v>
      </c>
      <c r="BD69" s="39"/>
      <c r="BE69" s="39" t="n">
        <f aca="false">SUM(BB69:BC69)</f>
        <v>719</v>
      </c>
      <c r="BF69" s="39"/>
      <c r="BG69" s="48"/>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2.95" hidden="false" customHeight="true" outlineLevel="0" collapsed="false">
      <c r="A70" s="37" t="n">
        <f aca="false">+'CCs # Master'!A176</f>
        <v>11</v>
      </c>
      <c r="B70" s="99" t="str">
        <f aca="false">+'CCs # Master'!B176</f>
        <v>ISC-SAP Organization Leader</v>
      </c>
      <c r="C70" s="99" t="str">
        <f aca="false">+'CCs # Master'!C176</f>
        <v>Becker, Melissa</v>
      </c>
      <c r="D70" s="37" t="n">
        <f aca="false">+'CCs # Master'!D176</f>
        <v>103176</v>
      </c>
      <c r="E70" s="39" t="n">
        <f aca="false">+'CCs # Master'!E176</f>
        <v>40</v>
      </c>
      <c r="F70" s="39" t="n">
        <f aca="false">+'CCs # Master'!F176</f>
        <v>23</v>
      </c>
      <c r="G70" s="39" t="n">
        <f aca="false">+'CCs # Master'!G176</f>
        <v>0</v>
      </c>
      <c r="H70" s="39" t="n">
        <f aca="false">+'CCs # Master'!H176</f>
        <v>0</v>
      </c>
      <c r="I70" s="39" t="n">
        <f aca="false">+'CCs # Master'!I176</f>
        <v>0</v>
      </c>
      <c r="J70" s="39" t="n">
        <f aca="false">+'CCs # Master'!J176</f>
        <v>2</v>
      </c>
      <c r="K70" s="39" t="n">
        <f aca="false">SUM(E70:J70)</f>
        <v>65</v>
      </c>
      <c r="L70" s="39"/>
      <c r="M70" s="39" t="str">
        <f aca="false">+'CCs # Master'!M176</f>
        <v>Retained at Corp</v>
      </c>
      <c r="N70" s="39" t="n">
        <f aca="false">+'CCs # Master'!AW176</f>
        <v>65</v>
      </c>
      <c r="O70" s="39" t="n">
        <v>0</v>
      </c>
      <c r="P70" s="39" t="n">
        <f aca="false">+'CCs # Master'!N176</f>
        <v>0</v>
      </c>
      <c r="Q70" s="39" t="n">
        <f aca="false">+'CCs # Master'!O176</f>
        <v>0</v>
      </c>
      <c r="R70" s="39" t="n">
        <f aca="false">+'CCs # Master'!P176</f>
        <v>0</v>
      </c>
      <c r="S70" s="39" t="n">
        <f aca="false">+'CCs # Master'!Q176</f>
        <v>0</v>
      </c>
      <c r="T70" s="39" t="n">
        <f aca="false">+'CCs # Master'!R176</f>
        <v>0</v>
      </c>
      <c r="U70" s="39" t="n">
        <f aca="false">+'CCs # Master'!S176</f>
        <v>0</v>
      </c>
      <c r="V70" s="39" t="n">
        <f aca="false">+'CCs # Master'!T176</f>
        <v>0</v>
      </c>
      <c r="W70" s="39" t="n">
        <f aca="false">+'CCs # Master'!U176</f>
        <v>0</v>
      </c>
      <c r="X70" s="39" t="n">
        <f aca="false">+'CCs # Master'!V176</f>
        <v>0</v>
      </c>
      <c r="Y70" s="39" t="n">
        <f aca="false">+'CCs # Master'!W176</f>
        <v>0</v>
      </c>
      <c r="Z70" s="39" t="n">
        <f aca="false">+'CCs # Master'!X176</f>
        <v>0</v>
      </c>
      <c r="AA70" s="39" t="n">
        <f aca="false">+'CCs # Master'!Y176</f>
        <v>0</v>
      </c>
      <c r="AB70" s="39" t="n">
        <f aca="false">+'CCs # Master'!Z176</f>
        <v>0</v>
      </c>
      <c r="AC70" s="39" t="n">
        <f aca="false">+'CCs # Master'!AA176</f>
        <v>0</v>
      </c>
      <c r="AD70" s="39" t="n">
        <f aca="false">+'CCs # Master'!AB176</f>
        <v>0</v>
      </c>
      <c r="AE70" s="39" t="n">
        <f aca="false">+'CCs # Master'!AC176</f>
        <v>0</v>
      </c>
      <c r="AF70" s="39" t="n">
        <f aca="false">+'CCs # Master'!AD176</f>
        <v>0</v>
      </c>
      <c r="AG70" s="39" t="n">
        <f aca="false">+'CCs # Master'!AE176</f>
        <v>0</v>
      </c>
      <c r="AH70" s="39" t="n">
        <f aca="false">+'CCs # Master'!AF176</f>
        <v>0</v>
      </c>
      <c r="AI70" s="39" t="n">
        <f aca="false">+'CCs # Master'!AG176</f>
        <v>0</v>
      </c>
      <c r="AJ70" s="39" t="n">
        <f aca="false">+'CCs # Master'!AH176</f>
        <v>0</v>
      </c>
      <c r="AK70" s="39" t="n">
        <f aca="false">+'CCs # Master'!AI176</f>
        <v>0</v>
      </c>
      <c r="AL70" s="39" t="n">
        <f aca="false">+'CCs # Master'!AJ176</f>
        <v>0</v>
      </c>
      <c r="AM70" s="39" t="n">
        <f aca="false">+'CCs # Master'!AK176</f>
        <v>0</v>
      </c>
      <c r="AN70" s="39" t="n">
        <f aca="false">+'CCs # Master'!AL176</f>
        <v>0</v>
      </c>
      <c r="AO70" s="39" t="n">
        <f aca="false">+'CCs # Master'!AM176</f>
        <v>0</v>
      </c>
      <c r="AP70" s="39" t="n">
        <f aca="false">+'CCs # Master'!AN176</f>
        <v>0</v>
      </c>
      <c r="AQ70" s="39" t="n">
        <f aca="false">+'CCs # Master'!AO176</f>
        <v>0</v>
      </c>
      <c r="AR70" s="39" t="n">
        <f aca="false">+'CCs # Master'!AP176</f>
        <v>0</v>
      </c>
      <c r="AS70" s="39" t="n">
        <f aca="false">+'CCs # Master'!AQ176</f>
        <v>0</v>
      </c>
      <c r="AT70" s="39" t="n">
        <f aca="false">+'CCs # Master'!AR176</f>
        <v>0</v>
      </c>
      <c r="AU70" s="39" t="n">
        <f aca="false">+'CCs # Master'!AS176</f>
        <v>0</v>
      </c>
      <c r="AV70" s="39" t="n">
        <f aca="false">+'CCs # Master'!AT176</f>
        <v>0</v>
      </c>
      <c r="AW70" s="0"/>
      <c r="AX70" s="71" t="n">
        <f aca="false">SUM(N70:AW70)</f>
        <v>65</v>
      </c>
      <c r="AY70" s="71" t="n">
        <f aca="false">+K70-AX70</f>
        <v>0</v>
      </c>
      <c r="AZ70" s="39"/>
      <c r="BA70" s="39" t="n">
        <f aca="false">+P70+Q70+T70+U70+V70+W70+X70+Y70</f>
        <v>0</v>
      </c>
      <c r="BB70" s="39" t="n">
        <f aca="false">N70</f>
        <v>65</v>
      </c>
      <c r="BC70" s="97" t="n">
        <f aca="false">SUM(P70:AW70)</f>
        <v>0</v>
      </c>
      <c r="BD70" s="39"/>
      <c r="BE70" s="97" t="n">
        <f aca="false">SUM(BB70:BC70)</f>
        <v>65</v>
      </c>
      <c r="BF70" s="39"/>
      <c r="BG70" s="98" t="n">
        <f aca="false">SUM(N70:AW70)</f>
        <v>65</v>
      </c>
      <c r="BH70" s="39" t="n">
        <f aca="false">BE70-BG70</f>
        <v>0</v>
      </c>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8.1" hidden="false" customHeight="true" outlineLevel="0" collapsed="false">
      <c r="A71" s="95"/>
      <c r="B71" s="38"/>
      <c r="C71" s="39"/>
      <c r="D71" s="96"/>
      <c r="E71" s="91"/>
      <c r="F71" s="91"/>
      <c r="G71" s="91"/>
      <c r="H71" s="91"/>
      <c r="I71" s="91"/>
      <c r="J71" s="91"/>
      <c r="K71" s="91"/>
      <c r="L71" s="39"/>
      <c r="M71" s="39"/>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0"/>
      <c r="AX71" s="91"/>
      <c r="AY71" s="91"/>
      <c r="AZ71" s="39"/>
      <c r="BA71" s="91"/>
      <c r="BB71" s="91"/>
      <c r="BC71" s="39"/>
      <c r="BD71" s="39"/>
      <c r="BE71" s="39"/>
      <c r="BF71" s="39"/>
      <c r="BG71" s="48"/>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39"/>
      <c r="IV71" s="39"/>
      <c r="IW71" s="39"/>
    </row>
    <row r="72" customFormat="false" ht="12.95" hidden="false" customHeight="true" outlineLevel="0" collapsed="false">
      <c r="A72" s="95"/>
      <c r="B72" s="38"/>
      <c r="C72" s="39"/>
      <c r="D72" s="96"/>
      <c r="E72" s="97" t="n">
        <f aca="false">SUM(E37:E70)</f>
        <v>41419</v>
      </c>
      <c r="F72" s="97" t="n">
        <f aca="false">SUM(F37:F70)</f>
        <v>4002</v>
      </c>
      <c r="G72" s="97" t="n">
        <f aca="false">SUM(G37:G70)</f>
        <v>472</v>
      </c>
      <c r="H72" s="97" t="n">
        <f aca="false">SUM(H37:H70)</f>
        <v>24518</v>
      </c>
      <c r="I72" s="97" t="n">
        <f aca="false">SUM(I37:I70)</f>
        <v>5370</v>
      </c>
      <c r="J72" s="97" t="n">
        <f aca="false">SUM(J37:J70)</f>
        <v>20455</v>
      </c>
      <c r="K72" s="97" t="n">
        <f aca="false">SUM(K37:K70)</f>
        <v>96236</v>
      </c>
      <c r="L72" s="39"/>
      <c r="M72" s="39"/>
      <c r="N72" s="97" t="n">
        <f aca="false">SUM(N37:N71)</f>
        <v>40808</v>
      </c>
      <c r="O72" s="97" t="n">
        <f aca="false">SUM(O37:O71)</f>
        <v>0</v>
      </c>
      <c r="P72" s="97" t="n">
        <f aca="false">SUM(P37:P71)</f>
        <v>171</v>
      </c>
      <c r="Q72" s="97" t="n">
        <f aca="false">SUM(Q37:Q71)</f>
        <v>461</v>
      </c>
      <c r="R72" s="97" t="n">
        <f aca="false">SUM(R37:R71)</f>
        <v>1831</v>
      </c>
      <c r="S72" s="97" t="n">
        <f aca="false">SUM(S37:S71)</f>
        <v>1928</v>
      </c>
      <c r="T72" s="97" t="n">
        <f aca="false">SUM(T37:T71)</f>
        <v>0</v>
      </c>
      <c r="U72" s="97" t="n">
        <f aca="false">SUM(U37:U71)</f>
        <v>0</v>
      </c>
      <c r="V72" s="97" t="n">
        <f aca="false">SUM(V37:V71)</f>
        <v>37</v>
      </c>
      <c r="W72" s="97" t="n">
        <f aca="false">SUM(W37:W71)</f>
        <v>1720</v>
      </c>
      <c r="X72" s="97" t="n">
        <f aca="false">SUM(X37:X71)</f>
        <v>5360</v>
      </c>
      <c r="Y72" s="97" t="n">
        <f aca="false">SUM(Y37:Y71)</f>
        <v>50</v>
      </c>
      <c r="Z72" s="97" t="n">
        <f aca="false">SUM(Z37:Z71)</f>
        <v>9967</v>
      </c>
      <c r="AA72" s="97" t="n">
        <f aca="false">SUM(AA37:AA71)</f>
        <v>0</v>
      </c>
      <c r="AB72" s="97" t="n">
        <f aca="false">SUM(AB37:AB71)</f>
        <v>166</v>
      </c>
      <c r="AC72" s="97" t="n">
        <f aca="false">SUM(AC37:AC71)</f>
        <v>614</v>
      </c>
      <c r="AD72" s="97" t="n">
        <f aca="false">SUM(AD37:AD71)</f>
        <v>5287</v>
      </c>
      <c r="AE72" s="97" t="n">
        <f aca="false">SUM(AE37:AE71)</f>
        <v>233</v>
      </c>
      <c r="AF72" s="97" t="n">
        <f aca="false">SUM(AF37:AF71)</f>
        <v>7579</v>
      </c>
      <c r="AG72" s="97" t="n">
        <f aca="false">SUM(AG37:AG71)</f>
        <v>6682</v>
      </c>
      <c r="AH72" s="97" t="n">
        <f aca="false">SUM(AH37:AH71)</f>
        <v>143</v>
      </c>
      <c r="AI72" s="97" t="n">
        <f aca="false">SUM(AI37:AI71)</f>
        <v>19</v>
      </c>
      <c r="AJ72" s="97" t="n">
        <f aca="false">SUM(AJ37:AJ71)</f>
        <v>1707</v>
      </c>
      <c r="AK72" s="97" t="n">
        <f aca="false">SUM(AK37:AK71)</f>
        <v>2408</v>
      </c>
      <c r="AL72" s="97" t="n">
        <f aca="false">SUM(AL37:AL71)</f>
        <v>2068</v>
      </c>
      <c r="AM72" s="97" t="n">
        <f aca="false">SUM(AM37:AM71)</f>
        <v>737</v>
      </c>
      <c r="AN72" s="97" t="n">
        <f aca="false">SUM(AN37:AN71)</f>
        <v>1051</v>
      </c>
      <c r="AO72" s="97" t="n">
        <f aca="false">SUM(AO37:AO71)</f>
        <v>663</v>
      </c>
      <c r="AP72" s="97" t="n">
        <f aca="false">SUM(AP37:AP71)</f>
        <v>0</v>
      </c>
      <c r="AQ72" s="97" t="n">
        <f aca="false">SUM(AQ37:AQ71)</f>
        <v>3495</v>
      </c>
      <c r="AR72" s="97" t="n">
        <f aca="false">SUM(AR37:AR71)</f>
        <v>1051</v>
      </c>
      <c r="AS72" s="97" t="n">
        <f aca="false">SUM(AS37:AS71)</f>
        <v>0</v>
      </c>
      <c r="AT72" s="97" t="n">
        <f aca="false">SUM(AT37:AT71)</f>
        <v>0</v>
      </c>
      <c r="AU72" s="97" t="n">
        <f aca="false">SUM(AU37:AU71)</f>
        <v>0</v>
      </c>
      <c r="AV72" s="97" t="n">
        <f aca="false">SUM(AV37:AV71)</f>
        <v>0</v>
      </c>
      <c r="AW72" s="0"/>
      <c r="AX72" s="97" t="n">
        <f aca="false">SUM(AX37:AX71)</f>
        <v>96236</v>
      </c>
      <c r="AY72" s="97" t="n">
        <f aca="false">SUM(AY37:AY71)</f>
        <v>0</v>
      </c>
      <c r="AZ72" s="39"/>
      <c r="BA72" s="97" t="n">
        <f aca="false">SUM(BA37:BA71)</f>
        <v>7799</v>
      </c>
      <c r="BB72" s="97" t="n">
        <f aca="false">SUM(BB37:BB71)</f>
        <v>40808</v>
      </c>
      <c r="BC72" s="97" t="n">
        <f aca="false">SUM(BC37:BC71)</f>
        <v>55428</v>
      </c>
      <c r="BD72" s="39"/>
      <c r="BE72" s="97" t="n">
        <f aca="false">SUM(BE37:BE71)</f>
        <v>96236</v>
      </c>
      <c r="BF72" s="39"/>
      <c r="BG72" s="97" t="n">
        <f aca="false">SUM(BG37:BG71)</f>
        <v>95517</v>
      </c>
      <c r="BH72" s="39" t="n">
        <f aca="false">SUM(BH37:BH71)</f>
        <v>0</v>
      </c>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c r="GG72" s="39"/>
      <c r="GH72" s="39"/>
      <c r="GI72" s="39"/>
      <c r="GJ72" s="39"/>
      <c r="GK72" s="39"/>
      <c r="GL72" s="39"/>
      <c r="GM72" s="39"/>
      <c r="GN72" s="39"/>
      <c r="GO72" s="39"/>
      <c r="GP72" s="39"/>
      <c r="GQ72" s="39"/>
      <c r="GR72" s="39"/>
      <c r="GS72" s="39"/>
      <c r="GT72" s="39"/>
      <c r="GU72" s="39"/>
      <c r="GV72" s="39"/>
      <c r="GW72" s="39"/>
      <c r="GX72" s="39"/>
      <c r="GY72" s="39"/>
      <c r="GZ72" s="39"/>
      <c r="HA72" s="39"/>
      <c r="HB72" s="39"/>
      <c r="HC72" s="39"/>
      <c r="HD72" s="39"/>
      <c r="HE72" s="39"/>
      <c r="HF72" s="39"/>
      <c r="HG72" s="39"/>
      <c r="HH72" s="39"/>
      <c r="HI72" s="39"/>
      <c r="HJ72" s="39"/>
      <c r="HK72" s="39"/>
      <c r="HL72" s="39"/>
      <c r="HM72" s="39"/>
      <c r="HN72" s="39"/>
      <c r="HO72" s="39"/>
      <c r="HP72" s="39"/>
      <c r="HQ72" s="39"/>
      <c r="HR72" s="39"/>
      <c r="HS72" s="39"/>
      <c r="HT72" s="39"/>
      <c r="HU72" s="39"/>
      <c r="HV72" s="39"/>
      <c r="HW72" s="39"/>
      <c r="HX72" s="39"/>
      <c r="HY72" s="39"/>
      <c r="HZ72" s="39"/>
      <c r="IA72" s="39"/>
      <c r="IB72" s="39"/>
      <c r="IC72" s="39"/>
      <c r="ID72" s="39"/>
      <c r="IE72" s="39"/>
      <c r="IF72" s="39"/>
      <c r="IG72" s="39"/>
      <c r="IH72" s="39"/>
      <c r="II72" s="39"/>
      <c r="IJ72" s="39"/>
      <c r="IK72" s="39"/>
      <c r="IL72" s="39"/>
      <c r="IM72" s="39"/>
      <c r="IN72" s="39"/>
      <c r="IO72" s="39"/>
      <c r="IP72" s="39"/>
      <c r="IQ72" s="39"/>
      <c r="IR72" s="39"/>
      <c r="IS72" s="39"/>
      <c r="IT72" s="39"/>
      <c r="IU72" s="39"/>
      <c r="IV72" s="39"/>
      <c r="IW72" s="39"/>
    </row>
    <row r="73" customFormat="false" ht="8.1" hidden="false" customHeight="true" outlineLevel="0" collapsed="false">
      <c r="A73" s="95"/>
      <c r="B73" s="38"/>
      <c r="C73" s="39"/>
      <c r="D73" s="96"/>
      <c r="E73" s="39"/>
      <c r="F73" s="71"/>
      <c r="G73" s="71"/>
      <c r="H73" s="39"/>
      <c r="I73" s="39"/>
      <c r="J73" s="39"/>
      <c r="K73" s="71"/>
      <c r="L73" s="39"/>
      <c r="M73" s="39"/>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0"/>
      <c r="AX73" s="71"/>
      <c r="AY73" s="71"/>
      <c r="AZ73" s="39"/>
      <c r="BA73" s="71"/>
      <c r="BB73" s="71"/>
      <c r="BC73" s="71"/>
      <c r="BD73" s="39"/>
      <c r="BE73" s="71"/>
      <c r="BF73" s="71"/>
      <c r="BG73" s="48"/>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9"/>
      <c r="GJ73" s="39"/>
      <c r="GK73" s="39"/>
      <c r="GL73" s="39"/>
      <c r="GM73" s="39"/>
      <c r="GN73" s="39"/>
      <c r="GO73" s="39"/>
      <c r="GP73" s="39"/>
      <c r="GQ73" s="39"/>
      <c r="GR73" s="39"/>
      <c r="GS73" s="39"/>
      <c r="GT73" s="39"/>
      <c r="GU73" s="39"/>
      <c r="GV73" s="39"/>
      <c r="GW73" s="39"/>
      <c r="GX73" s="39"/>
      <c r="GY73" s="39"/>
      <c r="GZ73" s="39"/>
      <c r="HA73" s="39"/>
      <c r="HB73" s="39"/>
      <c r="HC73" s="39"/>
      <c r="HD73" s="39"/>
      <c r="HE73" s="39"/>
      <c r="HF73" s="39"/>
      <c r="HG73" s="39"/>
      <c r="HH73" s="39"/>
      <c r="HI73" s="39"/>
      <c r="HJ73" s="39"/>
      <c r="HK73" s="39"/>
      <c r="HL73" s="39"/>
      <c r="HM73" s="39"/>
      <c r="HN73" s="39"/>
      <c r="HO73" s="39"/>
      <c r="HP73" s="39"/>
      <c r="HQ73" s="39"/>
      <c r="HR73" s="39"/>
      <c r="HS73" s="39"/>
      <c r="HT73" s="39"/>
      <c r="HU73" s="39"/>
      <c r="HV73" s="39"/>
      <c r="HW73" s="39"/>
      <c r="HX73" s="39"/>
      <c r="HY73" s="39"/>
      <c r="HZ73" s="39"/>
      <c r="IA73" s="39"/>
      <c r="IB73" s="39"/>
      <c r="IC73" s="39"/>
      <c r="ID73" s="39"/>
      <c r="IE73" s="39"/>
      <c r="IF73" s="39"/>
      <c r="IG73" s="39"/>
      <c r="IH73" s="39"/>
      <c r="II73" s="39"/>
      <c r="IJ73" s="39"/>
      <c r="IK73" s="39"/>
      <c r="IL73" s="39"/>
      <c r="IM73" s="39"/>
      <c r="IN73" s="39"/>
      <c r="IO73" s="39"/>
      <c r="IP73" s="39"/>
      <c r="IQ73" s="39"/>
      <c r="IR73" s="39"/>
      <c r="IS73" s="39"/>
      <c r="IT73" s="39"/>
      <c r="IU73" s="39"/>
      <c r="IV73" s="39"/>
      <c r="IW73" s="39"/>
    </row>
    <row r="74" customFormat="false" ht="12.95" hidden="false" customHeight="true" outlineLevel="0" collapsed="false">
      <c r="A74" s="95" t="s">
        <v>419</v>
      </c>
      <c r="B74" s="38"/>
      <c r="C74" s="39"/>
      <c r="D74" s="96"/>
      <c r="E74" s="39"/>
      <c r="F74" s="71"/>
      <c r="G74" s="71"/>
      <c r="H74" s="39"/>
      <c r="I74" s="39"/>
      <c r="J74" s="39"/>
      <c r="K74" s="71"/>
      <c r="L74" s="39"/>
      <c r="M74" s="39"/>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0"/>
      <c r="AX74" s="71"/>
      <c r="AY74" s="71"/>
      <c r="AZ74" s="39"/>
      <c r="BA74" s="71"/>
      <c r="BB74" s="71"/>
      <c r="BC74" s="71"/>
      <c r="BD74" s="39"/>
      <c r="BE74" s="71"/>
      <c r="BF74" s="71"/>
      <c r="BG74" s="48"/>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9"/>
      <c r="GJ74" s="39"/>
      <c r="GK74" s="39"/>
      <c r="GL74" s="39"/>
      <c r="GM74" s="39"/>
      <c r="GN74" s="39"/>
      <c r="GO74" s="39"/>
      <c r="GP74" s="39"/>
      <c r="GQ74" s="39"/>
      <c r="GR74" s="39"/>
      <c r="GS74" s="39"/>
      <c r="GT74" s="39"/>
      <c r="GU74" s="39"/>
      <c r="GV74" s="39"/>
      <c r="GW74" s="39"/>
      <c r="GX74" s="39"/>
      <c r="GY74" s="39"/>
      <c r="GZ74" s="39"/>
      <c r="HA74" s="39"/>
      <c r="HB74" s="39"/>
      <c r="HC74" s="39"/>
      <c r="HD74" s="39"/>
      <c r="HE74" s="39"/>
      <c r="HF74" s="39"/>
      <c r="HG74" s="39"/>
      <c r="HH74" s="39"/>
      <c r="HI74" s="39"/>
      <c r="HJ74" s="39"/>
      <c r="HK74" s="39"/>
      <c r="HL74" s="39"/>
      <c r="HM74" s="39"/>
      <c r="HN74" s="39"/>
      <c r="HO74" s="39"/>
      <c r="HP74" s="39"/>
      <c r="HQ74" s="39"/>
      <c r="HR74" s="39"/>
      <c r="HS74" s="39"/>
      <c r="HT74" s="39"/>
      <c r="HU74" s="39"/>
      <c r="HV74" s="39"/>
      <c r="HW74" s="39"/>
      <c r="HX74" s="39"/>
      <c r="HY74" s="39"/>
      <c r="HZ74" s="39"/>
      <c r="IA74" s="39"/>
      <c r="IB74" s="39"/>
      <c r="IC74" s="39"/>
      <c r="ID74" s="39"/>
      <c r="IE74" s="39"/>
      <c r="IF74" s="39"/>
      <c r="IG74" s="39"/>
      <c r="IH74" s="39"/>
      <c r="II74" s="39"/>
      <c r="IJ74" s="39"/>
      <c r="IK74" s="39"/>
      <c r="IL74" s="39"/>
      <c r="IM74" s="39"/>
      <c r="IN74" s="39"/>
      <c r="IO74" s="39"/>
      <c r="IP74" s="39"/>
      <c r="IQ74" s="39"/>
      <c r="IR74" s="39"/>
      <c r="IS74" s="39"/>
      <c r="IT74" s="39"/>
      <c r="IU74" s="39"/>
      <c r="IV74" s="39"/>
      <c r="IW74" s="39"/>
    </row>
    <row r="75" customFormat="false" ht="12.95" hidden="false" customHeight="true" outlineLevel="0" collapsed="false">
      <c r="A75" s="37" t="str">
        <f aca="false">+'CCs # Master'!A43</f>
        <v>0011</v>
      </c>
      <c r="B75" s="39" t="str">
        <f aca="false">+'CCs # Master'!B43</f>
        <v>RAC - Global Credit Group</v>
      </c>
      <c r="C75" s="39" t="str">
        <f aca="false">+'CCs # Master'!C43</f>
        <v>Buy, Rick</v>
      </c>
      <c r="D75" s="96" t="n">
        <f aca="false">+'CCs # Master'!D43</f>
        <v>100052</v>
      </c>
      <c r="E75" s="39" t="n">
        <f aca="false">+'CCs # Master'!E43</f>
        <v>3872</v>
      </c>
      <c r="F75" s="39" t="n">
        <f aca="false">+'CCs # Master'!F43</f>
        <v>558</v>
      </c>
      <c r="G75" s="39" t="n">
        <f aca="false">+'CCs # Master'!G43</f>
        <v>25</v>
      </c>
      <c r="H75" s="39" t="n">
        <f aca="false">+'CCs # Master'!H43</f>
        <v>343</v>
      </c>
      <c r="I75" s="39" t="n">
        <f aca="false">+'CCs # Master'!I43</f>
        <v>475</v>
      </c>
      <c r="J75" s="39" t="n">
        <f aca="false">+'CCs # Master'!J43</f>
        <v>361</v>
      </c>
      <c r="K75" s="39" t="n">
        <f aca="false">SUM(E75:J75)</f>
        <v>5634</v>
      </c>
      <c r="L75" s="39"/>
      <c r="M75" s="39" t="str">
        <f aca="false">+'CCs # Master'!M43</f>
        <v>Anticipated Resources</v>
      </c>
      <c r="N75" s="39" t="n">
        <f aca="false">+'CCs # Master'!AW43</f>
        <v>0</v>
      </c>
      <c r="O75" s="39" t="n">
        <v>0</v>
      </c>
      <c r="P75" s="39" t="n">
        <f aca="false">+'CCs # Master'!N43</f>
        <v>0</v>
      </c>
      <c r="Q75" s="39" t="n">
        <f aca="false">+'CCs # Master'!O43</f>
        <v>0</v>
      </c>
      <c r="R75" s="39" t="n">
        <f aca="false">+'CCs # Master'!P43</f>
        <v>27</v>
      </c>
      <c r="S75" s="39" t="n">
        <f aca="false">+'CCs # Master'!Q43</f>
        <v>29</v>
      </c>
      <c r="T75" s="39" t="n">
        <f aca="false">+'CCs # Master'!R43</f>
        <v>0</v>
      </c>
      <c r="U75" s="39" t="n">
        <f aca="false">+'CCs # Master'!S43</f>
        <v>0</v>
      </c>
      <c r="V75" s="39" t="n">
        <f aca="false">+'CCs # Master'!T43</f>
        <v>0</v>
      </c>
      <c r="W75" s="39" t="n">
        <f aca="false">+'CCs # Master'!U43</f>
        <v>0</v>
      </c>
      <c r="X75" s="39" t="n">
        <f aca="false">+'CCs # Master'!V43</f>
        <v>0</v>
      </c>
      <c r="Y75" s="39" t="n">
        <f aca="false">+'CCs # Master'!W43</f>
        <v>0</v>
      </c>
      <c r="Z75" s="39" t="n">
        <f aca="false">+'CCs # Master'!X43</f>
        <v>2388</v>
      </c>
      <c r="AA75" s="39" t="n">
        <f aca="false">+'CCs # Master'!Y43</f>
        <v>0</v>
      </c>
      <c r="AB75" s="39" t="n">
        <f aca="false">+'CCs # Master'!Z43</f>
        <v>0</v>
      </c>
      <c r="AC75" s="39" t="n">
        <f aca="false">+'CCs # Master'!AA43</f>
        <v>423</v>
      </c>
      <c r="AD75" s="39" t="n">
        <f aca="false">+'CCs # Master'!AB43</f>
        <v>423</v>
      </c>
      <c r="AE75" s="39" t="n">
        <f aca="false">+'CCs # Master'!AC43</f>
        <v>0</v>
      </c>
      <c r="AF75" s="39" t="n">
        <f aca="false">+'CCs # Master'!AD43</f>
        <v>901</v>
      </c>
      <c r="AG75" s="39" t="n">
        <f aca="false">+'CCs # Master'!AE43</f>
        <v>451</v>
      </c>
      <c r="AH75" s="39" t="n">
        <f aca="false">+'CCs # Master'!AF43</f>
        <v>0</v>
      </c>
      <c r="AI75" s="39" t="n">
        <f aca="false">+'CCs # Master'!AG43</f>
        <v>0</v>
      </c>
      <c r="AJ75" s="39" t="n">
        <f aca="false">+'CCs # Master'!AH43</f>
        <v>169</v>
      </c>
      <c r="AK75" s="39" t="n">
        <f aca="false">+'CCs # Master'!AI43</f>
        <v>169</v>
      </c>
      <c r="AL75" s="39" t="n">
        <f aca="false">+'CCs # Master'!AJ43</f>
        <v>56</v>
      </c>
      <c r="AM75" s="39" t="n">
        <f aca="false">+'CCs # Master'!AK43</f>
        <v>0</v>
      </c>
      <c r="AN75" s="39" t="n">
        <f aca="false">+'CCs # Master'!AL43</f>
        <v>0</v>
      </c>
      <c r="AO75" s="39" t="n">
        <f aca="false">+'CCs # Master'!AM43</f>
        <v>0</v>
      </c>
      <c r="AP75" s="39" t="n">
        <f aca="false">+'CCs # Master'!AN43</f>
        <v>0</v>
      </c>
      <c r="AQ75" s="39" t="n">
        <f aca="false">+'CCs # Master'!AO43</f>
        <v>418</v>
      </c>
      <c r="AR75" s="39" t="n">
        <f aca="false">+'CCs # Master'!AP43</f>
        <v>180</v>
      </c>
      <c r="AS75" s="39" t="n">
        <f aca="false">+'CCs # Master'!AQ43</f>
        <v>0</v>
      </c>
      <c r="AT75" s="39" t="n">
        <f aca="false">+'CCs # Master'!AR43</f>
        <v>0</v>
      </c>
      <c r="AU75" s="39" t="n">
        <f aca="false">+'CCs # Master'!AS43</f>
        <v>0</v>
      </c>
      <c r="AV75" s="39" t="n">
        <f aca="false">+'CCs # Master'!AT43</f>
        <v>0</v>
      </c>
      <c r="AW75" s="0"/>
      <c r="AX75" s="71" t="n">
        <f aca="false">SUM(N75:AW75)</f>
        <v>5634</v>
      </c>
      <c r="AY75" s="71" t="n">
        <f aca="false">+K75-AX75</f>
        <v>0</v>
      </c>
      <c r="AZ75" s="39"/>
      <c r="BA75" s="39" t="n">
        <f aca="false">+P75+Q75+T75+U75+V75+W75+X75+Y75</f>
        <v>0</v>
      </c>
      <c r="BB75" s="39" t="n">
        <f aca="false">N75</f>
        <v>0</v>
      </c>
      <c r="BC75" s="39" t="n">
        <f aca="false">SUM(P75:AW75)</f>
        <v>5634</v>
      </c>
      <c r="BD75" s="39"/>
      <c r="BE75" s="39" t="n">
        <f aca="false">SUM(BB75:BC75)</f>
        <v>5634</v>
      </c>
      <c r="BF75" s="39"/>
      <c r="BG75" s="48" t="n">
        <f aca="false">SUM(N75:AW75)</f>
        <v>5634</v>
      </c>
      <c r="BH75" s="39" t="n">
        <f aca="false">BE75-BG75</f>
        <v>0</v>
      </c>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9"/>
      <c r="GJ75" s="39"/>
      <c r="GK75" s="39"/>
      <c r="GL75" s="39"/>
      <c r="GM75" s="39"/>
      <c r="GN75" s="39"/>
      <c r="GO75" s="39"/>
      <c r="GP75" s="39"/>
      <c r="GQ75" s="39"/>
      <c r="GR75" s="39"/>
      <c r="GS75" s="39"/>
      <c r="GT75" s="39"/>
      <c r="GU75" s="39"/>
      <c r="GV75" s="39"/>
      <c r="GW75" s="39"/>
      <c r="GX75" s="39"/>
      <c r="GY75" s="39"/>
      <c r="GZ75" s="39"/>
      <c r="HA75" s="39"/>
      <c r="HB75" s="39"/>
      <c r="HC75" s="39"/>
      <c r="HD75" s="39"/>
      <c r="HE75" s="39"/>
      <c r="HF75" s="39"/>
      <c r="HG75" s="39"/>
      <c r="HH75" s="39"/>
      <c r="HI75" s="39"/>
      <c r="HJ75" s="39"/>
      <c r="HK75" s="39"/>
      <c r="HL75" s="39"/>
      <c r="HM75" s="39"/>
      <c r="HN75" s="39"/>
      <c r="HO75" s="39"/>
      <c r="HP75" s="39"/>
      <c r="HQ75" s="39"/>
      <c r="HR75" s="39"/>
      <c r="HS75" s="39"/>
      <c r="HT75" s="39"/>
      <c r="HU75" s="39"/>
      <c r="HV75" s="39"/>
      <c r="HW75" s="39"/>
      <c r="HX75" s="39"/>
      <c r="HY75" s="39"/>
      <c r="HZ75" s="39"/>
      <c r="IA75" s="39"/>
      <c r="IB75" s="39"/>
      <c r="IC75" s="39"/>
      <c r="ID75" s="39"/>
      <c r="IE75" s="39"/>
      <c r="IF75" s="39"/>
      <c r="IG75" s="39"/>
      <c r="IH75" s="39"/>
      <c r="II75" s="39"/>
      <c r="IJ75" s="39"/>
      <c r="IK75" s="39"/>
      <c r="IL75" s="39"/>
      <c r="IM75" s="39"/>
      <c r="IN75" s="39"/>
      <c r="IO75" s="39"/>
      <c r="IP75" s="39"/>
      <c r="IQ75" s="39"/>
      <c r="IR75" s="39"/>
      <c r="IS75" s="39"/>
      <c r="IT75" s="39"/>
      <c r="IU75" s="39"/>
      <c r="IV75" s="39"/>
      <c r="IW75" s="39"/>
    </row>
    <row r="76" customFormat="false" ht="12.95" hidden="false" customHeight="true" outlineLevel="0" collapsed="false">
      <c r="A76" s="37" t="str">
        <f aca="false">+'CCs # Master'!A44</f>
        <v>0011</v>
      </c>
      <c r="B76" s="39" t="str">
        <f aca="false">+'CCs # Master'!B44</f>
        <v>RAC - Due Diligence/Asset Management</v>
      </c>
      <c r="C76" s="39" t="str">
        <f aca="false">+'CCs # Master'!C44</f>
        <v>Buy, Rick</v>
      </c>
      <c r="D76" s="96" t="n">
        <f aca="false">+'CCs # Master'!D44</f>
        <v>100053</v>
      </c>
      <c r="E76" s="39" t="n">
        <f aca="false">+'CCs # Master'!E44</f>
        <v>2199</v>
      </c>
      <c r="F76" s="39" t="n">
        <f aca="false">+'CCs # Master'!F44</f>
        <v>355</v>
      </c>
      <c r="G76" s="39" t="n">
        <f aca="false">+'CCs # Master'!G44</f>
        <v>36</v>
      </c>
      <c r="H76" s="39" t="n">
        <f aca="false">+'CCs # Master'!H44</f>
        <v>164</v>
      </c>
      <c r="I76" s="39" t="n">
        <f aca="false">+'CCs # Master'!I44</f>
        <v>410</v>
      </c>
      <c r="J76" s="39" t="n">
        <f aca="false">+'CCs # Master'!J44</f>
        <v>261</v>
      </c>
      <c r="K76" s="39" t="n">
        <f aca="false">SUM(E76:J76)</f>
        <v>3425</v>
      </c>
      <c r="L76" s="39"/>
      <c r="M76" s="39" t="str">
        <f aca="false">+'CCs # Master'!M44</f>
        <v>Anticipated Resources</v>
      </c>
      <c r="N76" s="39" t="n">
        <f aca="false">+'CCs # Master'!AW44</f>
        <v>0</v>
      </c>
      <c r="O76" s="39" t="n">
        <v>0</v>
      </c>
      <c r="P76" s="39" t="n">
        <f aca="false">+'CCs # Master'!N44</f>
        <v>0</v>
      </c>
      <c r="Q76" s="39" t="n">
        <f aca="false">+'CCs # Master'!O44</f>
        <v>0</v>
      </c>
      <c r="R76" s="39" t="n">
        <f aca="false">+'CCs # Master'!P44</f>
        <v>0</v>
      </c>
      <c r="S76" s="39" t="n">
        <f aca="false">+'CCs # Master'!Q44</f>
        <v>0</v>
      </c>
      <c r="T76" s="39" t="n">
        <f aca="false">+'CCs # Master'!R44</f>
        <v>0</v>
      </c>
      <c r="U76" s="39" t="n">
        <f aca="false">+'CCs # Master'!S44</f>
        <v>0</v>
      </c>
      <c r="V76" s="39" t="n">
        <f aca="false">+'CCs # Master'!T44</f>
        <v>0</v>
      </c>
      <c r="W76" s="39" t="n">
        <f aca="false">+'CCs # Master'!U44</f>
        <v>0</v>
      </c>
      <c r="X76" s="39" t="n">
        <f aca="false">+'CCs # Master'!V44</f>
        <v>0</v>
      </c>
      <c r="Y76" s="39" t="n">
        <f aca="false">+'CCs # Master'!W44</f>
        <v>0</v>
      </c>
      <c r="Z76" s="39" t="n">
        <f aca="false">+'CCs # Master'!X44</f>
        <v>1274</v>
      </c>
      <c r="AA76" s="39" t="n">
        <f aca="false">+'CCs # Master'!Y44</f>
        <v>0</v>
      </c>
      <c r="AB76" s="39" t="n">
        <f aca="false">+'CCs # Master'!Z44</f>
        <v>0</v>
      </c>
      <c r="AC76" s="39" t="n">
        <f aca="false">+'CCs # Master'!AA44</f>
        <v>0</v>
      </c>
      <c r="AD76" s="39" t="n">
        <f aca="false">+'CCs # Master'!AB44</f>
        <v>343</v>
      </c>
      <c r="AE76" s="39" t="n">
        <f aca="false">+'CCs # Master'!AC44</f>
        <v>0</v>
      </c>
      <c r="AF76" s="39" t="n">
        <f aca="false">+'CCs # Master'!AD44</f>
        <v>411</v>
      </c>
      <c r="AG76" s="39" t="n">
        <f aca="false">+'CCs # Master'!AE44</f>
        <v>411</v>
      </c>
      <c r="AH76" s="39" t="n">
        <f aca="false">+'CCs # Master'!AF44</f>
        <v>0</v>
      </c>
      <c r="AI76" s="39" t="n">
        <f aca="false">+'CCs # Master'!AG44</f>
        <v>0</v>
      </c>
      <c r="AJ76" s="39" t="n">
        <f aca="false">+'CCs # Master'!AH44</f>
        <v>0</v>
      </c>
      <c r="AK76" s="39" t="n">
        <f aca="false">+'CCs # Master'!AI44</f>
        <v>308</v>
      </c>
      <c r="AL76" s="39" t="n">
        <f aca="false">+'CCs # Master'!AJ44</f>
        <v>137</v>
      </c>
      <c r="AM76" s="39" t="n">
        <f aca="false">+'CCs # Master'!AK44</f>
        <v>0</v>
      </c>
      <c r="AN76" s="39" t="n">
        <f aca="false">+'CCs # Master'!AL44</f>
        <v>0</v>
      </c>
      <c r="AO76" s="39" t="n">
        <f aca="false">+'CCs # Master'!AM44</f>
        <v>0</v>
      </c>
      <c r="AP76" s="39" t="n">
        <f aca="false">+'CCs # Master'!AN44</f>
        <v>0</v>
      </c>
      <c r="AQ76" s="39" t="n">
        <f aca="false">+'CCs # Master'!AO44</f>
        <v>125</v>
      </c>
      <c r="AR76" s="39" t="n">
        <f aca="false">+'CCs # Master'!AP44</f>
        <v>416</v>
      </c>
      <c r="AS76" s="39" t="n">
        <f aca="false">+'CCs # Master'!AQ44</f>
        <v>0</v>
      </c>
      <c r="AT76" s="39" t="n">
        <f aca="false">+'CCs # Master'!AR44</f>
        <v>0</v>
      </c>
      <c r="AU76" s="39" t="n">
        <f aca="false">+'CCs # Master'!AS44</f>
        <v>0</v>
      </c>
      <c r="AV76" s="39" t="n">
        <f aca="false">+'CCs # Master'!AT44</f>
        <v>0</v>
      </c>
      <c r="AW76" s="0"/>
      <c r="AX76" s="71" t="n">
        <f aca="false">SUM(N76:AW76)</f>
        <v>3425</v>
      </c>
      <c r="AY76" s="71" t="n">
        <f aca="false">+K76-AX76</f>
        <v>0</v>
      </c>
      <c r="AZ76" s="39"/>
      <c r="BA76" s="39" t="n">
        <f aca="false">+P76+Q76+T76+U76+V76+W76+X76+Y76</f>
        <v>0</v>
      </c>
      <c r="BB76" s="39" t="n">
        <f aca="false">N76</f>
        <v>0</v>
      </c>
      <c r="BC76" s="39" t="n">
        <f aca="false">SUM(P76:AW76)</f>
        <v>3425</v>
      </c>
      <c r="BD76" s="39"/>
      <c r="BE76" s="39" t="n">
        <f aca="false">SUM(BB76:BC76)</f>
        <v>3425</v>
      </c>
      <c r="BF76" s="39"/>
      <c r="BG76" s="48" t="n">
        <f aca="false">SUM(N76:AW76)</f>
        <v>3425</v>
      </c>
      <c r="BH76" s="39" t="n">
        <f aca="false">BE76-BG76</f>
        <v>0</v>
      </c>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c r="GI76" s="39"/>
      <c r="GJ76" s="39"/>
      <c r="GK76" s="39"/>
      <c r="GL76" s="39"/>
      <c r="GM76" s="39"/>
      <c r="GN76" s="39"/>
      <c r="GO76" s="39"/>
      <c r="GP76" s="39"/>
      <c r="GQ76" s="39"/>
      <c r="GR76" s="39"/>
      <c r="GS76" s="39"/>
      <c r="GT76" s="39"/>
      <c r="GU76" s="39"/>
      <c r="GV76" s="39"/>
      <c r="GW76" s="39"/>
      <c r="GX76" s="39"/>
      <c r="GY76" s="39"/>
      <c r="GZ76" s="39"/>
      <c r="HA76" s="39"/>
      <c r="HB76" s="39"/>
      <c r="HC76" s="39"/>
      <c r="HD76" s="39"/>
      <c r="HE76" s="39"/>
      <c r="HF76" s="39"/>
      <c r="HG76" s="39"/>
      <c r="HH76" s="39"/>
      <c r="HI76" s="39"/>
      <c r="HJ76" s="39"/>
      <c r="HK76" s="39"/>
      <c r="HL76" s="39"/>
      <c r="HM76" s="39"/>
      <c r="HN76" s="39"/>
      <c r="HO76" s="39"/>
      <c r="HP76" s="39"/>
      <c r="HQ76" s="39"/>
      <c r="HR76" s="39"/>
      <c r="HS76" s="39"/>
      <c r="HT76" s="39"/>
      <c r="HU76" s="39"/>
      <c r="HV76" s="39"/>
      <c r="HW76" s="39"/>
      <c r="HX76" s="39"/>
      <c r="HY76" s="39"/>
      <c r="HZ76" s="39"/>
      <c r="IA76" s="39"/>
      <c r="IB76" s="39"/>
      <c r="IC76" s="39"/>
      <c r="ID76" s="39"/>
      <c r="IE76" s="39"/>
      <c r="IF76" s="39"/>
      <c r="IG76" s="39"/>
      <c r="IH76" s="39"/>
      <c r="II76" s="39"/>
      <c r="IJ76" s="39"/>
      <c r="IK76" s="39"/>
      <c r="IL76" s="39"/>
      <c r="IM76" s="39"/>
      <c r="IN76" s="39"/>
      <c r="IO76" s="39"/>
      <c r="IP76" s="39"/>
      <c r="IQ76" s="39"/>
      <c r="IR76" s="39"/>
      <c r="IS76" s="39"/>
      <c r="IT76" s="39"/>
      <c r="IU76" s="39"/>
      <c r="IV76" s="39"/>
      <c r="IW76" s="39"/>
    </row>
    <row r="77" customFormat="false" ht="12.95" hidden="false" customHeight="true" outlineLevel="0" collapsed="false">
      <c r="A77" s="37" t="str">
        <f aca="false">+'CCs # Master'!A45</f>
        <v>0011</v>
      </c>
      <c r="B77" s="39" t="str">
        <f aca="false">+'CCs # Master'!B45</f>
        <v>RAC - Risk Analytics</v>
      </c>
      <c r="C77" s="39" t="str">
        <f aca="false">+'CCs # Master'!C45</f>
        <v>Buy, Rick</v>
      </c>
      <c r="D77" s="96" t="n">
        <f aca="false">+'CCs # Master'!D45</f>
        <v>100054</v>
      </c>
      <c r="E77" s="39" t="n">
        <f aca="false">+'CCs # Master'!E45</f>
        <v>2364</v>
      </c>
      <c r="F77" s="39" t="n">
        <f aca="false">+'CCs # Master'!F45</f>
        <v>128</v>
      </c>
      <c r="G77" s="39" t="n">
        <f aca="false">+'CCs # Master'!G45</f>
        <v>13</v>
      </c>
      <c r="H77" s="39" t="n">
        <f aca="false">+'CCs # Master'!H45</f>
        <v>100</v>
      </c>
      <c r="I77" s="39" t="n">
        <f aca="false">+'CCs # Master'!I45</f>
        <v>300</v>
      </c>
      <c r="J77" s="39" t="n">
        <f aca="false">+'CCs # Master'!J45</f>
        <v>380</v>
      </c>
      <c r="K77" s="39" t="n">
        <f aca="false">SUM(E77:J77)</f>
        <v>3285</v>
      </c>
      <c r="L77" s="39"/>
      <c r="M77" s="39" t="str">
        <f aca="false">+'CCs # Master'!M45</f>
        <v>Anticipated Resources</v>
      </c>
      <c r="N77" s="39" t="n">
        <f aca="false">+'CCs # Master'!AW45</f>
        <v>0</v>
      </c>
      <c r="O77" s="39" t="n">
        <v>0</v>
      </c>
      <c r="P77" s="39" t="n">
        <f aca="false">+'CCs # Master'!N45</f>
        <v>0</v>
      </c>
      <c r="Q77" s="39" t="n">
        <f aca="false">+'CCs # Master'!O45</f>
        <v>0</v>
      </c>
      <c r="R77" s="39" t="n">
        <f aca="false">+'CCs # Master'!P45</f>
        <v>16</v>
      </c>
      <c r="S77" s="39" t="n">
        <f aca="false">+'CCs # Master'!Q45</f>
        <v>17</v>
      </c>
      <c r="T77" s="39" t="n">
        <f aca="false">+'CCs # Master'!R45</f>
        <v>0</v>
      </c>
      <c r="U77" s="39" t="n">
        <f aca="false">+'CCs # Master'!S45</f>
        <v>0</v>
      </c>
      <c r="V77" s="39" t="n">
        <f aca="false">+'CCs # Master'!T45</f>
        <v>0</v>
      </c>
      <c r="W77" s="39" t="n">
        <f aca="false">+'CCs # Master'!U45</f>
        <v>66</v>
      </c>
      <c r="X77" s="39" t="n">
        <f aca="false">+'CCs # Master'!V45</f>
        <v>66</v>
      </c>
      <c r="Y77" s="39" t="n">
        <f aca="false">+'CCs # Master'!W45</f>
        <v>0</v>
      </c>
      <c r="Z77" s="39" t="n">
        <f aca="false">+'CCs # Master'!X45</f>
        <v>1237</v>
      </c>
      <c r="AA77" s="39" t="n">
        <f aca="false">+'CCs # Master'!Y45</f>
        <v>32</v>
      </c>
      <c r="AB77" s="39" t="n">
        <f aca="false">+'CCs # Master'!Z45</f>
        <v>0</v>
      </c>
      <c r="AC77" s="39" t="n">
        <f aca="false">+'CCs # Master'!AA45</f>
        <v>0</v>
      </c>
      <c r="AD77" s="39" t="n">
        <f aca="false">+'CCs # Master'!AB45</f>
        <v>32</v>
      </c>
      <c r="AE77" s="39" t="n">
        <f aca="false">+'CCs # Master'!AC45</f>
        <v>0</v>
      </c>
      <c r="AF77" s="39" t="n">
        <f aca="false">+'CCs # Master'!AD45</f>
        <v>394</v>
      </c>
      <c r="AG77" s="39" t="n">
        <f aca="false">+'CCs # Master'!AE45</f>
        <v>723</v>
      </c>
      <c r="AH77" s="39" t="n">
        <f aca="false">+'CCs # Master'!AF45</f>
        <v>32</v>
      </c>
      <c r="AI77" s="39" t="n">
        <f aca="false">+'CCs # Master'!AG45</f>
        <v>33</v>
      </c>
      <c r="AJ77" s="39" t="n">
        <f aca="false">+'CCs # Master'!AH45</f>
        <v>66</v>
      </c>
      <c r="AK77" s="39" t="n">
        <f aca="false">+'CCs # Master'!AI45</f>
        <v>263</v>
      </c>
      <c r="AL77" s="39" t="n">
        <f aca="false">+'CCs # Master'!AJ45</f>
        <v>66</v>
      </c>
      <c r="AM77" s="39" t="n">
        <f aca="false">+'CCs # Master'!AK45</f>
        <v>0</v>
      </c>
      <c r="AN77" s="39" t="n">
        <f aca="false">+'CCs # Master'!AL45</f>
        <v>0</v>
      </c>
      <c r="AO77" s="39" t="n">
        <f aca="false">+'CCs # Master'!AM45</f>
        <v>66</v>
      </c>
      <c r="AP77" s="39" t="n">
        <f aca="false">+'CCs # Master'!AN45</f>
        <v>0</v>
      </c>
      <c r="AQ77" s="39" t="n">
        <f aca="false">+'CCs # Master'!AO45</f>
        <v>76</v>
      </c>
      <c r="AR77" s="39" t="n">
        <f aca="false">+'CCs # Master'!AP45</f>
        <v>100</v>
      </c>
      <c r="AS77" s="39" t="n">
        <f aca="false">+'CCs # Master'!AQ45</f>
        <v>0</v>
      </c>
      <c r="AT77" s="39" t="n">
        <f aca="false">+'CCs # Master'!AR45</f>
        <v>0</v>
      </c>
      <c r="AU77" s="39" t="n">
        <f aca="false">+'CCs # Master'!AS45</f>
        <v>0</v>
      </c>
      <c r="AV77" s="39" t="n">
        <f aca="false">+'CCs # Master'!AT45</f>
        <v>0</v>
      </c>
      <c r="AW77" s="0"/>
      <c r="AX77" s="71" t="n">
        <f aca="false">SUM(N77:AW77)</f>
        <v>3285</v>
      </c>
      <c r="AY77" s="71" t="n">
        <f aca="false">+K77-AX77</f>
        <v>0</v>
      </c>
      <c r="AZ77" s="39"/>
      <c r="BA77" s="39" t="n">
        <f aca="false">+P77+Q77+T77+U77+V77+W77+X77+Y77</f>
        <v>132</v>
      </c>
      <c r="BB77" s="39" t="n">
        <f aca="false">N77</f>
        <v>0</v>
      </c>
      <c r="BC77" s="39" t="n">
        <f aca="false">SUM(P77:AW77)</f>
        <v>3285</v>
      </c>
      <c r="BD77" s="39"/>
      <c r="BE77" s="39" t="n">
        <f aca="false">SUM(BB77:BC77)</f>
        <v>3285</v>
      </c>
      <c r="BF77" s="39"/>
      <c r="BG77" s="48" t="n">
        <f aca="false">SUM(N77:AW77)</f>
        <v>3285</v>
      </c>
      <c r="BH77" s="39" t="n">
        <f aca="false">BE77-BG77</f>
        <v>0</v>
      </c>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39"/>
      <c r="FI77" s="39"/>
      <c r="FJ77" s="39"/>
      <c r="FK77" s="39"/>
      <c r="FL77" s="39"/>
      <c r="FM77" s="39"/>
      <c r="FN77" s="39"/>
      <c r="FO77" s="39"/>
      <c r="FP77" s="39"/>
      <c r="FQ77" s="39"/>
      <c r="FR77" s="39"/>
      <c r="FS77" s="39"/>
      <c r="FT77" s="39"/>
      <c r="FU77" s="39"/>
      <c r="FV77" s="39"/>
      <c r="FW77" s="39"/>
      <c r="FX77" s="39"/>
      <c r="FY77" s="39"/>
      <c r="FZ77" s="39"/>
      <c r="GA77" s="39"/>
      <c r="GB77" s="39"/>
      <c r="GC77" s="39"/>
      <c r="GD77" s="39"/>
      <c r="GE77" s="39"/>
      <c r="GF77" s="39"/>
      <c r="GG77" s="39"/>
      <c r="GH77" s="39"/>
      <c r="GI77" s="39"/>
      <c r="GJ77" s="39"/>
      <c r="GK77" s="39"/>
      <c r="GL77" s="39"/>
      <c r="GM77" s="39"/>
      <c r="GN77" s="39"/>
      <c r="GO77" s="39"/>
      <c r="GP77" s="39"/>
      <c r="GQ77" s="39"/>
      <c r="GR77" s="39"/>
      <c r="GS77" s="39"/>
      <c r="GT77" s="39"/>
      <c r="GU77" s="39"/>
      <c r="GV77" s="39"/>
      <c r="GW77" s="39"/>
      <c r="GX77" s="39"/>
      <c r="GY77" s="39"/>
      <c r="GZ77" s="39"/>
      <c r="HA77" s="39"/>
      <c r="HB77" s="39"/>
      <c r="HC77" s="39"/>
      <c r="HD77" s="39"/>
      <c r="HE77" s="39"/>
      <c r="HF77" s="39"/>
      <c r="HG77" s="39"/>
      <c r="HH77" s="39"/>
      <c r="HI77" s="39"/>
      <c r="HJ77" s="39"/>
      <c r="HK77" s="39"/>
      <c r="HL77" s="39"/>
      <c r="HM77" s="39"/>
      <c r="HN77" s="39"/>
      <c r="HO77" s="39"/>
      <c r="HP77" s="39"/>
      <c r="HQ77" s="39"/>
      <c r="HR77" s="39"/>
      <c r="HS77" s="39"/>
      <c r="HT77" s="39"/>
      <c r="HU77" s="39"/>
      <c r="HV77" s="39"/>
      <c r="HW77" s="39"/>
      <c r="HX77" s="39"/>
      <c r="HY77" s="39"/>
      <c r="HZ77" s="39"/>
      <c r="IA77" s="39"/>
      <c r="IB77" s="39"/>
      <c r="IC77" s="39"/>
      <c r="ID77" s="39"/>
      <c r="IE77" s="39"/>
      <c r="IF77" s="39"/>
      <c r="IG77" s="39"/>
      <c r="IH77" s="39"/>
      <c r="II77" s="39"/>
      <c r="IJ77" s="39"/>
      <c r="IK77" s="39"/>
      <c r="IL77" s="39"/>
      <c r="IM77" s="39"/>
      <c r="IN77" s="39"/>
      <c r="IO77" s="39"/>
      <c r="IP77" s="39"/>
      <c r="IQ77" s="39"/>
      <c r="IR77" s="39"/>
      <c r="IS77" s="39"/>
      <c r="IT77" s="39"/>
      <c r="IU77" s="39"/>
      <c r="IV77" s="39"/>
      <c r="IW77" s="39"/>
    </row>
    <row r="78" customFormat="false" ht="12.95" hidden="false" customHeight="true" outlineLevel="0" collapsed="false">
      <c r="A78" s="37" t="str">
        <f aca="false">+'CCs # Master'!A46</f>
        <v>0011</v>
      </c>
      <c r="B78" s="39" t="str">
        <f aca="false">+'CCs # Master'!B46</f>
        <v>RAC Underwriting</v>
      </c>
      <c r="C78" s="39" t="str">
        <f aca="false">+'CCs # Master'!C46</f>
        <v>Buy, Rick</v>
      </c>
      <c r="D78" s="96" t="n">
        <f aca="false">+'CCs # Master'!D46</f>
        <v>100055</v>
      </c>
      <c r="E78" s="39" t="n">
        <f aca="false">+'CCs # Master'!E46</f>
        <v>2078</v>
      </c>
      <c r="F78" s="39" t="n">
        <f aca="false">+'CCs # Master'!F46</f>
        <v>274</v>
      </c>
      <c r="G78" s="39" t="n">
        <f aca="false">+'CCs # Master'!G46</f>
        <v>6</v>
      </c>
      <c r="H78" s="39" t="n">
        <f aca="false">+'CCs # Master'!H46</f>
        <v>87</v>
      </c>
      <c r="I78" s="39" t="n">
        <f aca="false">+'CCs # Master'!I46</f>
        <v>191</v>
      </c>
      <c r="J78" s="39" t="n">
        <f aca="false">+'CCs # Master'!J46</f>
        <v>203</v>
      </c>
      <c r="K78" s="39" t="n">
        <f aca="false">SUM(E78:J78)</f>
        <v>2839</v>
      </c>
      <c r="L78" s="39"/>
      <c r="M78" s="39" t="str">
        <f aca="false">+'CCs # Master'!M46</f>
        <v>Anticipated Resources</v>
      </c>
      <c r="N78" s="39" t="n">
        <f aca="false">+'CCs # Master'!AW46</f>
        <v>0</v>
      </c>
      <c r="O78" s="39" t="n">
        <v>0</v>
      </c>
      <c r="P78" s="39" t="n">
        <f aca="false">+'CCs # Master'!N46</f>
        <v>0</v>
      </c>
      <c r="Q78" s="39" t="n">
        <f aca="false">+'CCs # Master'!O46</f>
        <v>0</v>
      </c>
      <c r="R78" s="39" t="n">
        <f aca="false">+'CCs # Master'!P46</f>
        <v>28</v>
      </c>
      <c r="S78" s="39" t="n">
        <f aca="false">+'CCs # Master'!Q46</f>
        <v>29</v>
      </c>
      <c r="T78" s="39" t="n">
        <f aca="false">+'CCs # Master'!R46</f>
        <v>0</v>
      </c>
      <c r="U78" s="39" t="n">
        <f aca="false">+'CCs # Master'!S46</f>
        <v>0</v>
      </c>
      <c r="V78" s="39" t="n">
        <f aca="false">+'CCs # Master'!T46</f>
        <v>0</v>
      </c>
      <c r="W78" s="39" t="n">
        <f aca="false">+'CCs # Master'!U46</f>
        <v>0</v>
      </c>
      <c r="X78" s="39" t="n">
        <f aca="false">+'CCs # Master'!V46</f>
        <v>0</v>
      </c>
      <c r="Y78" s="39" t="n">
        <f aca="false">+'CCs # Master'!W46</f>
        <v>0</v>
      </c>
      <c r="Z78" s="39" t="n">
        <f aca="false">+'CCs # Master'!X46</f>
        <v>674</v>
      </c>
      <c r="AA78" s="39" t="n">
        <f aca="false">+'CCs # Master'!Y46</f>
        <v>114</v>
      </c>
      <c r="AB78" s="39" t="n">
        <f aca="false">+'CCs # Master'!Z46</f>
        <v>0</v>
      </c>
      <c r="AC78" s="39" t="n">
        <f aca="false">+'CCs # Master'!AA46</f>
        <v>0</v>
      </c>
      <c r="AD78" s="39" t="n">
        <f aca="false">+'CCs # Master'!AB46</f>
        <v>284</v>
      </c>
      <c r="AE78" s="39" t="n">
        <f aca="false">+'CCs # Master'!AC46</f>
        <v>0</v>
      </c>
      <c r="AF78" s="39" t="n">
        <f aca="false">+'CCs # Master'!AD46</f>
        <v>568</v>
      </c>
      <c r="AG78" s="39" t="n">
        <f aca="false">+'CCs # Master'!AE46</f>
        <v>426</v>
      </c>
      <c r="AH78" s="39" t="n">
        <f aca="false">+'CCs # Master'!AF46</f>
        <v>0</v>
      </c>
      <c r="AI78" s="39" t="n">
        <f aca="false">+'CCs # Master'!AG46</f>
        <v>85</v>
      </c>
      <c r="AJ78" s="39" t="n">
        <f aca="false">+'CCs # Master'!AH46</f>
        <v>85</v>
      </c>
      <c r="AK78" s="39" t="n">
        <f aca="false">+'CCs # Master'!AI46</f>
        <v>85</v>
      </c>
      <c r="AL78" s="39" t="n">
        <f aca="false">+'CCs # Master'!AJ46</f>
        <v>85</v>
      </c>
      <c r="AM78" s="39" t="n">
        <f aca="false">+'CCs # Master'!AK46</f>
        <v>0</v>
      </c>
      <c r="AN78" s="39" t="n">
        <f aca="false">+'CCs # Master'!AL46</f>
        <v>0</v>
      </c>
      <c r="AO78" s="39" t="n">
        <f aca="false">+'CCs # Master'!AM46</f>
        <v>0</v>
      </c>
      <c r="AP78" s="39" t="n">
        <f aca="false">+'CCs # Master'!AN46</f>
        <v>0</v>
      </c>
      <c r="AQ78" s="39" t="n">
        <f aca="false">+'CCs # Master'!AO46</f>
        <v>167</v>
      </c>
      <c r="AR78" s="39" t="n">
        <f aca="false">+'CCs # Master'!AP46</f>
        <v>209</v>
      </c>
      <c r="AS78" s="39" t="n">
        <f aca="false">+'CCs # Master'!AQ46</f>
        <v>0</v>
      </c>
      <c r="AT78" s="39" t="n">
        <f aca="false">+'CCs # Master'!AR46</f>
        <v>0</v>
      </c>
      <c r="AU78" s="39" t="n">
        <f aca="false">+'CCs # Master'!AS46</f>
        <v>0</v>
      </c>
      <c r="AV78" s="39" t="n">
        <f aca="false">+'CCs # Master'!AT46</f>
        <v>0</v>
      </c>
      <c r="AW78" s="0"/>
      <c r="AX78" s="71" t="n">
        <f aca="false">SUM(N78:AW78)</f>
        <v>2839</v>
      </c>
      <c r="AY78" s="71" t="n">
        <f aca="false">+K78-AX78</f>
        <v>0</v>
      </c>
      <c r="AZ78" s="39"/>
      <c r="BA78" s="39" t="n">
        <f aca="false">+P78+Q78+T78+U78+V78+W78+X78+Y78</f>
        <v>0</v>
      </c>
      <c r="BB78" s="39" t="n">
        <f aca="false">N78</f>
        <v>0</v>
      </c>
      <c r="BC78" s="39" t="n">
        <f aca="false">SUM(P78:AW78)</f>
        <v>2839</v>
      </c>
      <c r="BD78" s="39"/>
      <c r="BE78" s="39" t="n">
        <f aca="false">SUM(BB78:BC78)</f>
        <v>2839</v>
      </c>
      <c r="BF78" s="39"/>
      <c r="BG78" s="48" t="n">
        <f aca="false">SUM(N78:AW78)</f>
        <v>2839</v>
      </c>
      <c r="BH78" s="39" t="n">
        <f aca="false">BE78-BG78</f>
        <v>0</v>
      </c>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c r="GI78" s="39"/>
      <c r="GJ78" s="39"/>
      <c r="GK78" s="39"/>
      <c r="GL78" s="39"/>
      <c r="GM78" s="39"/>
      <c r="GN78" s="39"/>
      <c r="GO78" s="39"/>
      <c r="GP78" s="39"/>
      <c r="GQ78" s="39"/>
      <c r="GR78" s="39"/>
      <c r="GS78" s="39"/>
      <c r="GT78" s="39"/>
      <c r="GU78" s="39"/>
      <c r="GV78" s="39"/>
      <c r="GW78" s="39"/>
      <c r="GX78" s="39"/>
      <c r="GY78" s="39"/>
      <c r="GZ78" s="39"/>
      <c r="HA78" s="39"/>
      <c r="HB78" s="39"/>
      <c r="HC78" s="39"/>
      <c r="HD78" s="39"/>
      <c r="HE78" s="39"/>
      <c r="HF78" s="39"/>
      <c r="HG78" s="39"/>
      <c r="HH78" s="39"/>
      <c r="HI78" s="39"/>
      <c r="HJ78" s="39"/>
      <c r="HK78" s="39"/>
      <c r="HL78" s="39"/>
      <c r="HM78" s="39"/>
      <c r="HN78" s="39"/>
      <c r="HO78" s="39"/>
      <c r="HP78" s="39"/>
      <c r="HQ78" s="39"/>
      <c r="HR78" s="39"/>
      <c r="HS78" s="39"/>
      <c r="HT78" s="39"/>
      <c r="HU78" s="39"/>
      <c r="HV78" s="39"/>
      <c r="HW78" s="39"/>
      <c r="HX78" s="39"/>
      <c r="HY78" s="39"/>
      <c r="HZ78" s="39"/>
      <c r="IA78" s="39"/>
      <c r="IB78" s="39"/>
      <c r="IC78" s="39"/>
      <c r="ID78" s="39"/>
      <c r="IE78" s="39"/>
      <c r="IF78" s="39"/>
      <c r="IG78" s="39"/>
      <c r="IH78" s="39"/>
      <c r="II78" s="39"/>
      <c r="IJ78" s="39"/>
      <c r="IK78" s="39"/>
      <c r="IL78" s="39"/>
      <c r="IM78" s="39"/>
      <c r="IN78" s="39"/>
      <c r="IO78" s="39"/>
      <c r="IP78" s="39"/>
      <c r="IQ78" s="39"/>
      <c r="IR78" s="39"/>
      <c r="IS78" s="39"/>
      <c r="IT78" s="39"/>
      <c r="IU78" s="39"/>
      <c r="IV78" s="39"/>
      <c r="IW78" s="39"/>
    </row>
    <row r="79" customFormat="false" ht="12.95" hidden="false" customHeight="true" outlineLevel="0" collapsed="false">
      <c r="A79" s="37" t="str">
        <f aca="false">+'CCs # Master'!A55</f>
        <v>0011</v>
      </c>
      <c r="B79" s="39" t="str">
        <f aca="false">+'CCs # Master'!B55</f>
        <v>RAC Risk Management Control</v>
      </c>
      <c r="C79" s="39" t="str">
        <f aca="false">+'CCs # Master'!C55</f>
        <v>Buy, Rick</v>
      </c>
      <c r="D79" s="96" t="n">
        <f aca="false">+'CCs # Master'!D55</f>
        <v>100068</v>
      </c>
      <c r="E79" s="39" t="n">
        <f aca="false">+'CCs # Master'!E55</f>
        <v>4225</v>
      </c>
      <c r="F79" s="39" t="n">
        <f aca="false">+'CCs # Master'!F55</f>
        <v>950</v>
      </c>
      <c r="G79" s="39" t="n">
        <f aca="false">+'CCs # Master'!G55</f>
        <v>27</v>
      </c>
      <c r="H79" s="39" t="n">
        <f aca="false">+'CCs # Master'!H55</f>
        <v>871</v>
      </c>
      <c r="I79" s="39" t="n">
        <f aca="false">+'CCs # Master'!I55</f>
        <v>425</v>
      </c>
      <c r="J79" s="39" t="n">
        <f aca="false">+'CCs # Master'!J55</f>
        <v>471</v>
      </c>
      <c r="K79" s="39" t="n">
        <f aca="false">SUM(E79:J79)</f>
        <v>6969</v>
      </c>
      <c r="L79" s="39"/>
      <c r="M79" s="39" t="str">
        <f aca="false">+'CCs # Master'!M55</f>
        <v>Historical data, groups supported</v>
      </c>
      <c r="N79" s="39" t="n">
        <f aca="false">+'CCs # Master'!AW55</f>
        <v>0</v>
      </c>
      <c r="O79" s="39" t="n">
        <v>0</v>
      </c>
      <c r="P79" s="39" t="n">
        <f aca="false">+'CCs # Master'!N55</f>
        <v>0</v>
      </c>
      <c r="Q79" s="39" t="n">
        <f aca="false">+'CCs # Master'!O55</f>
        <v>0</v>
      </c>
      <c r="R79" s="39" t="n">
        <f aca="false">+'CCs # Master'!P55</f>
        <v>0</v>
      </c>
      <c r="S79" s="39" t="n">
        <f aca="false">+'CCs # Master'!Q55</f>
        <v>0</v>
      </c>
      <c r="T79" s="39" t="n">
        <f aca="false">+'CCs # Master'!R55</f>
        <v>0</v>
      </c>
      <c r="U79" s="39" t="n">
        <f aca="false">+'CCs # Master'!S55</f>
        <v>35</v>
      </c>
      <c r="V79" s="39" t="n">
        <f aca="false">+'CCs # Master'!T55</f>
        <v>0</v>
      </c>
      <c r="W79" s="39" t="n">
        <f aca="false">+'CCs # Master'!U55</f>
        <v>0</v>
      </c>
      <c r="X79" s="39" t="n">
        <f aca="false">+'CCs # Master'!V55</f>
        <v>0</v>
      </c>
      <c r="Y79" s="39" t="n">
        <f aca="false">+'CCs # Master'!W55</f>
        <v>0</v>
      </c>
      <c r="Z79" s="39" t="n">
        <f aca="false">+'CCs # Master'!X55</f>
        <v>3511</v>
      </c>
      <c r="AA79" s="39" t="n">
        <f aca="false">+'CCs # Master'!Y55</f>
        <v>0</v>
      </c>
      <c r="AB79" s="39" t="n">
        <f aca="false">+'CCs # Master'!Z55</f>
        <v>0</v>
      </c>
      <c r="AC79" s="39" t="n">
        <f aca="false">+'CCs # Master'!AA55</f>
        <v>573</v>
      </c>
      <c r="AD79" s="39" t="n">
        <f aca="false">+'CCs # Master'!AB55</f>
        <v>1000</v>
      </c>
      <c r="AE79" s="39" t="n">
        <f aca="false">+'CCs # Master'!AC55</f>
        <v>0</v>
      </c>
      <c r="AF79" s="39" t="n">
        <f aca="false">+'CCs # Master'!AD55</f>
        <v>803</v>
      </c>
      <c r="AG79" s="39" t="n">
        <f aca="false">+'CCs # Master'!AE55</f>
        <v>133</v>
      </c>
      <c r="AH79" s="39" t="n">
        <f aca="false">+'CCs # Master'!AF55</f>
        <v>0</v>
      </c>
      <c r="AI79" s="39" t="n">
        <f aca="false">+'CCs # Master'!AG55</f>
        <v>15</v>
      </c>
      <c r="AJ79" s="39" t="n">
        <f aca="false">+'CCs # Master'!AH55</f>
        <v>0</v>
      </c>
      <c r="AK79" s="39" t="n">
        <f aca="false">+'CCs # Master'!AI55</f>
        <v>278</v>
      </c>
      <c r="AL79" s="39" t="n">
        <f aca="false">+'CCs # Master'!AJ55</f>
        <v>0</v>
      </c>
      <c r="AM79" s="39" t="n">
        <f aca="false">+'CCs # Master'!AK55</f>
        <v>0</v>
      </c>
      <c r="AN79" s="39" t="n">
        <f aca="false">+'CCs # Master'!AL55</f>
        <v>0</v>
      </c>
      <c r="AO79" s="39" t="n">
        <f aca="false">+'CCs # Master'!AM55</f>
        <v>0</v>
      </c>
      <c r="AP79" s="39" t="n">
        <f aca="false">+'CCs # Master'!AN55</f>
        <v>0</v>
      </c>
      <c r="AQ79" s="39" t="n">
        <f aca="false">+'CCs # Master'!AO55</f>
        <v>548</v>
      </c>
      <c r="AR79" s="39" t="n">
        <f aca="false">+'CCs # Master'!AP55</f>
        <v>73</v>
      </c>
      <c r="AS79" s="39" t="n">
        <f aca="false">+'CCs # Master'!AQ55</f>
        <v>0</v>
      </c>
      <c r="AT79" s="39" t="n">
        <f aca="false">+'CCs # Master'!AR55</f>
        <v>0</v>
      </c>
      <c r="AU79" s="39" t="n">
        <f aca="false">+'CCs # Master'!AS55</f>
        <v>0</v>
      </c>
      <c r="AV79" s="39" t="n">
        <f aca="false">+'CCs # Master'!AT55</f>
        <v>0</v>
      </c>
      <c r="AW79" s="0"/>
      <c r="AX79" s="71" t="n">
        <f aca="false">SUM(N79:AW79)</f>
        <v>6969</v>
      </c>
      <c r="AY79" s="71" t="n">
        <f aca="false">+K79-AX79</f>
        <v>0</v>
      </c>
      <c r="AZ79" s="39"/>
      <c r="BA79" s="39" t="n">
        <f aca="false">+P79+Q79+T79+U79+V79+W79+X79+Y79</f>
        <v>35</v>
      </c>
      <c r="BB79" s="39" t="n">
        <f aca="false">N79</f>
        <v>0</v>
      </c>
      <c r="BC79" s="39" t="n">
        <f aca="false">SUM(P79:AW79)</f>
        <v>6969</v>
      </c>
      <c r="BD79" s="39"/>
      <c r="BE79" s="39" t="n">
        <f aca="false">SUM(BB79:BC79)</f>
        <v>6969</v>
      </c>
      <c r="BF79" s="39"/>
      <c r="BG79" s="48" t="n">
        <f aca="false">SUM(N79:AW79)</f>
        <v>6969</v>
      </c>
      <c r="BH79" s="39" t="n">
        <f aca="false">BE79-BG79</f>
        <v>0</v>
      </c>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39"/>
      <c r="FI79" s="39"/>
      <c r="FJ79" s="39"/>
      <c r="FK79" s="39"/>
      <c r="FL79" s="39"/>
      <c r="FM79" s="39"/>
      <c r="FN79" s="39"/>
      <c r="FO79" s="39"/>
      <c r="FP79" s="39"/>
      <c r="FQ79" s="39"/>
      <c r="FR79" s="39"/>
      <c r="FS79" s="39"/>
      <c r="FT79" s="39"/>
      <c r="FU79" s="39"/>
      <c r="FV79" s="39"/>
      <c r="FW79" s="39"/>
      <c r="FX79" s="39"/>
      <c r="FY79" s="39"/>
      <c r="FZ79" s="39"/>
      <c r="GA79" s="39"/>
      <c r="GB79" s="39"/>
      <c r="GC79" s="39"/>
      <c r="GD79" s="39"/>
      <c r="GE79" s="39"/>
      <c r="GF79" s="39"/>
      <c r="GG79" s="39"/>
      <c r="GH79" s="39"/>
      <c r="GI79" s="39"/>
      <c r="GJ79" s="39"/>
      <c r="GK79" s="39"/>
      <c r="GL79" s="39"/>
      <c r="GM79" s="39"/>
      <c r="GN79" s="39"/>
      <c r="GO79" s="39"/>
      <c r="GP79" s="39"/>
      <c r="GQ79" s="39"/>
      <c r="GR79" s="39"/>
      <c r="GS79" s="39"/>
      <c r="GT79" s="39"/>
      <c r="GU79" s="39"/>
      <c r="GV79" s="39"/>
      <c r="GW79" s="39"/>
      <c r="GX79" s="39"/>
      <c r="GY79" s="39"/>
      <c r="GZ79" s="39"/>
      <c r="HA79" s="39"/>
      <c r="HB79" s="39"/>
      <c r="HC79" s="39"/>
      <c r="HD79" s="39"/>
      <c r="HE79" s="39"/>
      <c r="HF79" s="39"/>
      <c r="HG79" s="39"/>
      <c r="HH79" s="39"/>
      <c r="HI79" s="39"/>
      <c r="HJ79" s="39"/>
      <c r="HK79" s="39"/>
      <c r="HL79" s="39"/>
      <c r="HM79" s="39"/>
      <c r="HN79" s="39"/>
      <c r="HO79" s="39"/>
      <c r="HP79" s="39"/>
      <c r="HQ79" s="39"/>
      <c r="HR79" s="39"/>
      <c r="HS79" s="39"/>
      <c r="HT79" s="39"/>
      <c r="HU79" s="39"/>
      <c r="HV79" s="39"/>
      <c r="HW79" s="39"/>
      <c r="HX79" s="39"/>
      <c r="HY79" s="39"/>
      <c r="HZ79" s="39"/>
      <c r="IA79" s="39"/>
      <c r="IB79" s="39"/>
      <c r="IC79" s="39"/>
      <c r="ID79" s="39"/>
      <c r="IE79" s="39"/>
      <c r="IF79" s="39"/>
      <c r="IG79" s="39"/>
      <c r="IH79" s="39"/>
      <c r="II79" s="39"/>
      <c r="IJ79" s="39"/>
      <c r="IK79" s="39"/>
      <c r="IL79" s="39"/>
      <c r="IM79" s="39"/>
      <c r="IN79" s="39"/>
      <c r="IO79" s="39"/>
      <c r="IP79" s="39"/>
      <c r="IQ79" s="39"/>
      <c r="IR79" s="39"/>
      <c r="IS79" s="39"/>
      <c r="IT79" s="39"/>
      <c r="IU79" s="39"/>
      <c r="IV79" s="39"/>
      <c r="IW79" s="39"/>
    </row>
    <row r="80" customFormat="false" ht="12.95" hidden="false" customHeight="true" outlineLevel="0" collapsed="false">
      <c r="A80" s="37" t="n">
        <f aca="false">+'CCs # Master'!A137</f>
        <v>11</v>
      </c>
      <c r="B80" s="99" t="str">
        <f aca="false">+'CCs # Master'!B137</f>
        <v>Lowry/Carson - Domestic Compliance</v>
      </c>
      <c r="C80" s="99" t="str">
        <f aca="false">+'CCs # Master'!C137</f>
        <v>Lowry, Donna</v>
      </c>
      <c r="D80" s="37" t="n">
        <f aca="false">+'CCs # Master'!D137</f>
        <v>100872</v>
      </c>
      <c r="E80" s="39" t="n">
        <f aca="false">+'CCs # Master'!E137</f>
        <v>660</v>
      </c>
      <c r="F80" s="39" t="n">
        <f aca="false">+'CCs # Master'!F137</f>
        <v>64</v>
      </c>
      <c r="G80" s="39" t="n">
        <f aca="false">+'CCs # Master'!G137</f>
        <v>7</v>
      </c>
      <c r="H80" s="39" t="n">
        <f aca="false">+'CCs # Master'!H137</f>
        <v>25</v>
      </c>
      <c r="I80" s="39" t="n">
        <f aca="false">+'CCs # Master'!I137</f>
        <v>79</v>
      </c>
      <c r="J80" s="39" t="n">
        <f aca="false">+'CCs # Master'!J137</f>
        <v>5</v>
      </c>
      <c r="K80" s="39" t="n">
        <f aca="false">SUM(E80:J80)</f>
        <v>840</v>
      </c>
      <c r="L80" s="39"/>
      <c r="M80" s="39" t="str">
        <f aca="false">+'CCs # Master'!M137</f>
        <v>Anticipated Resources</v>
      </c>
      <c r="N80" s="39" t="n">
        <f aca="false">+'CCs # Master'!AW137</f>
        <v>0</v>
      </c>
      <c r="O80" s="39" t="n">
        <v>0</v>
      </c>
      <c r="P80" s="39" t="n">
        <f aca="false">+'CCs # Master'!N137</f>
        <v>0</v>
      </c>
      <c r="Q80" s="39" t="n">
        <f aca="false">+'CCs # Master'!O137</f>
        <v>0</v>
      </c>
      <c r="R80" s="39" t="n">
        <f aca="false">+'CCs # Master'!P137</f>
        <v>0</v>
      </c>
      <c r="S80" s="39" t="n">
        <f aca="false">+'CCs # Master'!Q137</f>
        <v>0</v>
      </c>
      <c r="T80" s="39" t="n">
        <f aca="false">+'CCs # Master'!R137</f>
        <v>0</v>
      </c>
      <c r="U80" s="39" t="n">
        <f aca="false">+'CCs # Master'!S137</f>
        <v>0</v>
      </c>
      <c r="V80" s="39" t="n">
        <f aca="false">+'CCs # Master'!T137</f>
        <v>0</v>
      </c>
      <c r="W80" s="39" t="n">
        <f aca="false">+'CCs # Master'!U137</f>
        <v>0</v>
      </c>
      <c r="X80" s="39" t="n">
        <f aca="false">+'CCs # Master'!V137</f>
        <v>0</v>
      </c>
      <c r="Y80" s="39" t="n">
        <f aca="false">+'CCs # Master'!W137</f>
        <v>0</v>
      </c>
      <c r="Z80" s="39" t="n">
        <f aca="false">+'CCs # Master'!X137</f>
        <v>517</v>
      </c>
      <c r="AA80" s="39" t="n">
        <f aca="false">+'CCs # Master'!Y137</f>
        <v>0</v>
      </c>
      <c r="AB80" s="39" t="n">
        <f aca="false">+'CCs # Master'!Z137</f>
        <v>0</v>
      </c>
      <c r="AC80" s="39" t="n">
        <f aca="false">+'CCs # Master'!AA137</f>
        <v>0</v>
      </c>
      <c r="AD80" s="39" t="n">
        <f aca="false">+'CCs # Master'!AB137</f>
        <v>0</v>
      </c>
      <c r="AE80" s="39" t="n">
        <f aca="false">+'CCs # Master'!AC137</f>
        <v>0</v>
      </c>
      <c r="AF80" s="39" t="n">
        <f aca="false">+'CCs # Master'!AD137</f>
        <v>0</v>
      </c>
      <c r="AG80" s="39" t="n">
        <f aca="false">+'CCs # Master'!AE137</f>
        <v>0</v>
      </c>
      <c r="AH80" s="39" t="n">
        <f aca="false">+'CCs # Master'!AF137</f>
        <v>0</v>
      </c>
      <c r="AI80" s="39" t="n">
        <f aca="false">+'CCs # Master'!AG137</f>
        <v>0</v>
      </c>
      <c r="AJ80" s="39" t="n">
        <f aca="false">+'CCs # Master'!AH137</f>
        <v>0</v>
      </c>
      <c r="AK80" s="39" t="n">
        <f aca="false">+'CCs # Master'!AI137</f>
        <v>0</v>
      </c>
      <c r="AL80" s="39" t="n">
        <f aca="false">+'CCs # Master'!AJ137</f>
        <v>0</v>
      </c>
      <c r="AM80" s="39" t="n">
        <f aca="false">+'CCs # Master'!AK137</f>
        <v>0</v>
      </c>
      <c r="AN80" s="39" t="n">
        <f aca="false">+'CCs # Master'!AL137</f>
        <v>0</v>
      </c>
      <c r="AO80" s="39" t="n">
        <f aca="false">+'CCs # Master'!AM137</f>
        <v>0</v>
      </c>
      <c r="AP80" s="39" t="n">
        <f aca="false">+'CCs # Master'!AN137</f>
        <v>0</v>
      </c>
      <c r="AQ80" s="39" t="n">
        <f aca="false">+'CCs # Master'!AO137</f>
        <v>194</v>
      </c>
      <c r="AR80" s="39" t="n">
        <f aca="false">+'CCs # Master'!AP137</f>
        <v>129</v>
      </c>
      <c r="AS80" s="39" t="n">
        <f aca="false">+'CCs # Master'!AQ137</f>
        <v>0</v>
      </c>
      <c r="AT80" s="39" t="n">
        <f aca="false">+'CCs # Master'!AR137</f>
        <v>0</v>
      </c>
      <c r="AU80" s="39" t="n">
        <f aca="false">+'CCs # Master'!AS137</f>
        <v>0</v>
      </c>
      <c r="AV80" s="39" t="n">
        <f aca="false">+'CCs # Master'!AT137</f>
        <v>0</v>
      </c>
      <c r="AW80" s="0"/>
      <c r="AX80" s="71" t="n">
        <f aca="false">SUM(N80:AW80)</f>
        <v>840</v>
      </c>
      <c r="AY80" s="71" t="n">
        <f aca="false">+K80-AX80</f>
        <v>0</v>
      </c>
      <c r="AZ80" s="39"/>
      <c r="BA80" s="39" t="n">
        <f aca="false">+P80+Q80+T80+U80+V80+W80+X80+Y80</f>
        <v>0</v>
      </c>
      <c r="BB80" s="39" t="n">
        <f aca="false">N80</f>
        <v>0</v>
      </c>
      <c r="BC80" s="39" t="n">
        <f aca="false">SUM(P80:AW80)</f>
        <v>840</v>
      </c>
      <c r="BD80" s="39"/>
      <c r="BE80" s="39" t="n">
        <f aca="false">SUM(BB80:BC80)</f>
        <v>840</v>
      </c>
      <c r="BF80" s="39"/>
      <c r="BG80" s="48" t="n">
        <f aca="false">SUM(N80:AW80)</f>
        <v>840</v>
      </c>
      <c r="BH80" s="39" t="n">
        <f aca="false">BE80-BG80</f>
        <v>0</v>
      </c>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c r="EU80" s="39"/>
      <c r="EV80" s="39"/>
      <c r="EW80" s="39"/>
      <c r="EX80" s="39"/>
      <c r="EY80" s="39"/>
      <c r="EZ80" s="39"/>
      <c r="FA80" s="39"/>
      <c r="FB80" s="39"/>
      <c r="FC80" s="39"/>
      <c r="FD80" s="39"/>
      <c r="FE80" s="39"/>
      <c r="FF80" s="39"/>
      <c r="FG80" s="39"/>
      <c r="FH80" s="39"/>
      <c r="FI80" s="39"/>
      <c r="FJ80" s="39"/>
      <c r="FK80" s="39"/>
      <c r="FL80" s="39"/>
      <c r="FM80" s="39"/>
      <c r="FN80" s="39"/>
      <c r="FO80" s="39"/>
      <c r="FP80" s="39"/>
      <c r="FQ80" s="39"/>
      <c r="FR80" s="39"/>
      <c r="FS80" s="39"/>
      <c r="FT80" s="39"/>
      <c r="FU80" s="39"/>
      <c r="FV80" s="39"/>
      <c r="FW80" s="39"/>
      <c r="FX80" s="39"/>
      <c r="FY80" s="39"/>
      <c r="FZ80" s="39"/>
      <c r="GA80" s="39"/>
      <c r="GB80" s="39"/>
      <c r="GC80" s="39"/>
      <c r="GD80" s="39"/>
      <c r="GE80" s="39"/>
      <c r="GF80" s="39"/>
      <c r="GG80" s="39"/>
      <c r="GH80" s="39"/>
      <c r="GI80" s="39"/>
      <c r="GJ80" s="39"/>
      <c r="GK80" s="39"/>
      <c r="GL80" s="39"/>
      <c r="GM80" s="39"/>
      <c r="GN80" s="39"/>
      <c r="GO80" s="39"/>
      <c r="GP80" s="39"/>
      <c r="GQ80" s="39"/>
      <c r="GR80" s="39"/>
      <c r="GS80" s="39"/>
      <c r="GT80" s="39"/>
      <c r="GU80" s="39"/>
      <c r="GV80" s="39"/>
      <c r="GW80" s="39"/>
      <c r="GX80" s="39"/>
      <c r="GY80" s="39"/>
      <c r="GZ80" s="39"/>
      <c r="HA80" s="39"/>
      <c r="HB80" s="39"/>
      <c r="HC80" s="39"/>
      <c r="HD80" s="39"/>
      <c r="HE80" s="39"/>
      <c r="HF80" s="39"/>
      <c r="HG80" s="39"/>
      <c r="HH80" s="39"/>
      <c r="HI80" s="39"/>
      <c r="HJ80" s="39"/>
      <c r="HK80" s="39"/>
      <c r="HL80" s="39"/>
      <c r="HM80" s="39"/>
      <c r="HN80" s="39"/>
      <c r="HO80" s="39"/>
      <c r="HP80" s="39"/>
      <c r="HQ80" s="39"/>
      <c r="HR80" s="39"/>
      <c r="HS80" s="39"/>
      <c r="HT80" s="39"/>
      <c r="HU80" s="39"/>
      <c r="HV80" s="39"/>
      <c r="HW80" s="39"/>
      <c r="HX80" s="39"/>
      <c r="HY80" s="39"/>
      <c r="HZ80" s="39"/>
      <c r="IA80" s="39"/>
      <c r="IB80" s="39"/>
      <c r="IC80" s="39"/>
      <c r="ID80" s="39"/>
      <c r="IE80" s="39"/>
      <c r="IF80" s="39"/>
      <c r="IG80" s="39"/>
      <c r="IH80" s="39"/>
      <c r="II80" s="39"/>
      <c r="IJ80" s="39"/>
      <c r="IK80" s="39"/>
      <c r="IL80" s="39"/>
      <c r="IM80" s="39"/>
      <c r="IN80" s="39"/>
      <c r="IO80" s="39"/>
      <c r="IP80" s="39"/>
      <c r="IQ80" s="39"/>
      <c r="IR80" s="39"/>
      <c r="IS80" s="39"/>
      <c r="IT80" s="39"/>
      <c r="IU80" s="39"/>
      <c r="IV80" s="39"/>
      <c r="IW80" s="39"/>
    </row>
    <row r="81" customFormat="false" ht="12.95" hidden="false" customHeight="true" outlineLevel="0" collapsed="false">
      <c r="A81" s="37" t="n">
        <f aca="false">+'CCs # Master'!A138</f>
        <v>11</v>
      </c>
      <c r="B81" s="39" t="str">
        <f aca="false">+'CCs # Master'!B138</f>
        <v>Lowry/Carson - International Compliance</v>
      </c>
      <c r="C81" s="39" t="str">
        <f aca="false">+'CCs # Master'!C138</f>
        <v>Lowry, Donna</v>
      </c>
      <c r="D81" s="37" t="n">
        <f aca="false">+'CCs # Master'!D138</f>
        <v>100873</v>
      </c>
      <c r="E81" s="39" t="n">
        <f aca="false">+'CCs # Master'!E138</f>
        <v>0</v>
      </c>
      <c r="F81" s="39" t="n">
        <f aca="false">+'CCs # Master'!F138</f>
        <v>0</v>
      </c>
      <c r="G81" s="39" t="n">
        <f aca="false">+'CCs # Master'!G138</f>
        <v>0</v>
      </c>
      <c r="H81" s="39" t="n">
        <f aca="false">+'CCs # Master'!H138</f>
        <v>0</v>
      </c>
      <c r="I81" s="39" t="n">
        <f aca="false">+'CCs # Master'!I138</f>
        <v>0</v>
      </c>
      <c r="J81" s="39" t="n">
        <f aca="false">+'CCs # Master'!J138</f>
        <v>0</v>
      </c>
      <c r="K81" s="39" t="n">
        <f aca="false">SUM(E81:J81)</f>
        <v>0</v>
      </c>
      <c r="L81" s="39"/>
      <c r="M81" s="39" t="str">
        <f aca="false">+'CCs # Master'!M138</f>
        <v>Anticipated Resources</v>
      </c>
      <c r="N81" s="39" t="n">
        <f aca="false">+'CCs # Master'!AW138</f>
        <v>0</v>
      </c>
      <c r="O81" s="39" t="n">
        <v>0</v>
      </c>
      <c r="P81" s="39" t="n">
        <f aca="false">+'CCs # Master'!N138</f>
        <v>0</v>
      </c>
      <c r="Q81" s="39" t="n">
        <f aca="false">+'CCs # Master'!O138</f>
        <v>0</v>
      </c>
      <c r="R81" s="39" t="n">
        <f aca="false">+'CCs # Master'!P138</f>
        <v>0</v>
      </c>
      <c r="S81" s="39" t="n">
        <f aca="false">+'CCs # Master'!Q138</f>
        <v>0</v>
      </c>
      <c r="T81" s="39" t="n">
        <f aca="false">+'CCs # Master'!R138</f>
        <v>0</v>
      </c>
      <c r="U81" s="39" t="n">
        <f aca="false">+'CCs # Master'!S138</f>
        <v>0</v>
      </c>
      <c r="V81" s="39" t="n">
        <f aca="false">+'CCs # Master'!T138</f>
        <v>0</v>
      </c>
      <c r="W81" s="39" t="n">
        <f aca="false">+'CCs # Master'!U138</f>
        <v>0</v>
      </c>
      <c r="X81" s="39" t="n">
        <f aca="false">+'CCs # Master'!V138</f>
        <v>0</v>
      </c>
      <c r="Y81" s="39" t="n">
        <f aca="false">+'CCs # Master'!W138</f>
        <v>0</v>
      </c>
      <c r="Z81" s="39" t="n">
        <f aca="false">+'CCs # Master'!X138</f>
        <v>0</v>
      </c>
      <c r="AA81" s="39" t="n">
        <f aca="false">+'CCs # Master'!Y138</f>
        <v>0</v>
      </c>
      <c r="AB81" s="39" t="n">
        <f aca="false">+'CCs # Master'!Z138</f>
        <v>0</v>
      </c>
      <c r="AC81" s="39" t="n">
        <f aca="false">+'CCs # Master'!AA138</f>
        <v>0</v>
      </c>
      <c r="AD81" s="39" t="n">
        <f aca="false">+'CCs # Master'!AB138</f>
        <v>0</v>
      </c>
      <c r="AE81" s="39" t="n">
        <f aca="false">+'CCs # Master'!AC138</f>
        <v>0</v>
      </c>
      <c r="AF81" s="39" t="n">
        <f aca="false">+'CCs # Master'!AD138</f>
        <v>0</v>
      </c>
      <c r="AG81" s="39" t="n">
        <f aca="false">+'CCs # Master'!AE138</f>
        <v>0</v>
      </c>
      <c r="AH81" s="39" t="n">
        <f aca="false">+'CCs # Master'!AF138</f>
        <v>0</v>
      </c>
      <c r="AI81" s="39" t="n">
        <f aca="false">+'CCs # Master'!AG138</f>
        <v>0</v>
      </c>
      <c r="AJ81" s="39" t="n">
        <f aca="false">+'CCs # Master'!AH138</f>
        <v>0</v>
      </c>
      <c r="AK81" s="39" t="n">
        <f aca="false">+'CCs # Master'!AI138</f>
        <v>0</v>
      </c>
      <c r="AL81" s="39" t="n">
        <f aca="false">+'CCs # Master'!AJ138</f>
        <v>0</v>
      </c>
      <c r="AM81" s="39" t="n">
        <f aca="false">+'CCs # Master'!AK138</f>
        <v>0</v>
      </c>
      <c r="AN81" s="39" t="n">
        <f aca="false">+'CCs # Master'!AL138</f>
        <v>0</v>
      </c>
      <c r="AO81" s="39" t="n">
        <f aca="false">+'CCs # Master'!AM138</f>
        <v>0</v>
      </c>
      <c r="AP81" s="39" t="n">
        <f aca="false">+'CCs # Master'!AN138</f>
        <v>0</v>
      </c>
      <c r="AQ81" s="39" t="n">
        <f aca="false">+'CCs # Master'!AO138</f>
        <v>0</v>
      </c>
      <c r="AR81" s="39" t="n">
        <f aca="false">+'CCs # Master'!AP138</f>
        <v>0</v>
      </c>
      <c r="AS81" s="39" t="n">
        <f aca="false">+'CCs # Master'!AQ138</f>
        <v>0</v>
      </c>
      <c r="AT81" s="39" t="n">
        <f aca="false">+'CCs # Master'!AR138</f>
        <v>0</v>
      </c>
      <c r="AU81" s="39" t="n">
        <f aca="false">+'CCs # Master'!AS138</f>
        <v>0</v>
      </c>
      <c r="AV81" s="39" t="n">
        <f aca="false">+'CCs # Master'!AT138</f>
        <v>0</v>
      </c>
      <c r="AW81" s="0"/>
      <c r="AX81" s="71" t="n">
        <f aca="false">SUM(N81:AW81)</f>
        <v>0</v>
      </c>
      <c r="AY81" s="71" t="n">
        <f aca="false">+K81-AX81</f>
        <v>0</v>
      </c>
      <c r="AZ81" s="39"/>
      <c r="BA81" s="39" t="n">
        <f aca="false">+P81+Q81+T81+U81+V81+W81+X81+Y81</f>
        <v>0</v>
      </c>
      <c r="BB81" s="39" t="n">
        <f aca="false">N81</f>
        <v>0</v>
      </c>
      <c r="BC81" s="97" t="n">
        <f aca="false">SUM(P81:AW81)</f>
        <v>0</v>
      </c>
      <c r="BD81" s="39"/>
      <c r="BE81" s="97" t="n">
        <f aca="false">SUM(BB81:BC81)</f>
        <v>0</v>
      </c>
      <c r="BF81" s="39"/>
      <c r="BG81" s="98" t="n">
        <f aca="false">SUM(N81:AW81)</f>
        <v>0</v>
      </c>
      <c r="BH81" s="39" t="n">
        <f aca="false">BE81-BG81</f>
        <v>0</v>
      </c>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c r="EU81" s="39"/>
      <c r="EV81" s="39"/>
      <c r="EW81" s="39"/>
      <c r="EX81" s="39"/>
      <c r="EY81" s="39"/>
      <c r="EZ81" s="39"/>
      <c r="FA81" s="39"/>
      <c r="FB81" s="39"/>
      <c r="FC81" s="39"/>
      <c r="FD81" s="39"/>
      <c r="FE81" s="39"/>
      <c r="FF81" s="39"/>
      <c r="FG81" s="39"/>
      <c r="FH81" s="39"/>
      <c r="FI81" s="39"/>
      <c r="FJ81" s="39"/>
      <c r="FK81" s="39"/>
      <c r="FL81" s="39"/>
      <c r="FM81" s="39"/>
      <c r="FN81" s="39"/>
      <c r="FO81" s="39"/>
      <c r="FP81" s="39"/>
      <c r="FQ81" s="39"/>
      <c r="FR81" s="39"/>
      <c r="FS81" s="39"/>
      <c r="FT81" s="39"/>
      <c r="FU81" s="39"/>
      <c r="FV81" s="39"/>
      <c r="FW81" s="39"/>
      <c r="FX81" s="39"/>
      <c r="FY81" s="39"/>
      <c r="FZ81" s="39"/>
      <c r="GA81" s="39"/>
      <c r="GB81" s="39"/>
      <c r="GC81" s="39"/>
      <c r="GD81" s="39"/>
      <c r="GE81" s="39"/>
      <c r="GF81" s="39"/>
      <c r="GG81" s="39"/>
      <c r="GH81" s="39"/>
      <c r="GI81" s="39"/>
      <c r="GJ81" s="39"/>
      <c r="GK81" s="39"/>
      <c r="GL81" s="39"/>
      <c r="GM81" s="39"/>
      <c r="GN81" s="39"/>
      <c r="GO81" s="39"/>
      <c r="GP81" s="39"/>
      <c r="GQ81" s="39"/>
      <c r="GR81" s="39"/>
      <c r="GS81" s="39"/>
      <c r="GT81" s="39"/>
      <c r="GU81" s="39"/>
      <c r="GV81" s="39"/>
      <c r="GW81" s="39"/>
      <c r="GX81" s="39"/>
      <c r="GY81" s="39"/>
      <c r="GZ81" s="39"/>
      <c r="HA81" s="39"/>
      <c r="HB81" s="39"/>
      <c r="HC81" s="39"/>
      <c r="HD81" s="39"/>
      <c r="HE81" s="39"/>
      <c r="HF81" s="39"/>
      <c r="HG81" s="39"/>
      <c r="HH81" s="39"/>
      <c r="HI81" s="39"/>
      <c r="HJ81" s="39"/>
      <c r="HK81" s="39"/>
      <c r="HL81" s="39"/>
      <c r="HM81" s="39"/>
      <c r="HN81" s="39"/>
      <c r="HO81" s="39"/>
      <c r="HP81" s="39"/>
      <c r="HQ81" s="39"/>
      <c r="HR81" s="39"/>
      <c r="HS81" s="39"/>
      <c r="HT81" s="39"/>
      <c r="HU81" s="39"/>
      <c r="HV81" s="39"/>
      <c r="HW81" s="39"/>
      <c r="HX81" s="39"/>
      <c r="HY81" s="39"/>
      <c r="HZ81" s="39"/>
      <c r="IA81" s="39"/>
      <c r="IB81" s="39"/>
      <c r="IC81" s="39"/>
      <c r="ID81" s="39"/>
      <c r="IE81" s="39"/>
      <c r="IF81" s="39"/>
      <c r="IG81" s="39"/>
      <c r="IH81" s="39"/>
      <c r="II81" s="39"/>
      <c r="IJ81" s="39"/>
      <c r="IK81" s="39"/>
      <c r="IL81" s="39"/>
      <c r="IM81" s="39"/>
      <c r="IN81" s="39"/>
      <c r="IO81" s="39"/>
      <c r="IP81" s="39"/>
      <c r="IQ81" s="39"/>
      <c r="IR81" s="39"/>
      <c r="IS81" s="39"/>
      <c r="IT81" s="39"/>
      <c r="IU81" s="39"/>
      <c r="IV81" s="39"/>
      <c r="IW81" s="39"/>
    </row>
    <row r="82" customFormat="false" ht="8.1" hidden="false" customHeight="true" outlineLevel="0" collapsed="false">
      <c r="A82" s="95"/>
      <c r="B82" s="38"/>
      <c r="C82" s="39"/>
      <c r="D82" s="96"/>
      <c r="E82" s="91"/>
      <c r="F82" s="91"/>
      <c r="G82" s="91"/>
      <c r="H82" s="91"/>
      <c r="I82" s="91"/>
      <c r="J82" s="91"/>
      <c r="K82" s="91"/>
      <c r="L82" s="39"/>
      <c r="M82" s="39"/>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0"/>
      <c r="AX82" s="91"/>
      <c r="AY82" s="91"/>
      <c r="AZ82" s="39"/>
      <c r="BA82" s="91"/>
      <c r="BB82" s="91"/>
      <c r="BC82" s="39"/>
      <c r="BD82" s="39"/>
      <c r="BE82" s="39"/>
      <c r="BF82" s="39"/>
      <c r="BG82" s="48"/>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39"/>
      <c r="FI82" s="39"/>
      <c r="FJ82" s="39"/>
      <c r="FK82" s="39"/>
      <c r="FL82" s="39"/>
      <c r="FM82" s="39"/>
      <c r="FN82" s="39"/>
      <c r="FO82" s="39"/>
      <c r="FP82" s="39"/>
      <c r="FQ82" s="39"/>
      <c r="FR82" s="39"/>
      <c r="FS82" s="39"/>
      <c r="FT82" s="39"/>
      <c r="FU82" s="39"/>
      <c r="FV82" s="39"/>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row>
    <row r="83" customFormat="false" ht="12.95" hidden="false" customHeight="true" outlineLevel="0" collapsed="false">
      <c r="A83" s="95"/>
      <c r="B83" s="38"/>
      <c r="C83" s="39"/>
      <c r="D83" s="96"/>
      <c r="E83" s="97" t="n">
        <f aca="false">SUM(E75:E82)</f>
        <v>15398</v>
      </c>
      <c r="F83" s="97" t="n">
        <f aca="false">SUM(F75:F82)</f>
        <v>2329</v>
      </c>
      <c r="G83" s="97" t="n">
        <f aca="false">SUM(G75:G82)</f>
        <v>114</v>
      </c>
      <c r="H83" s="97" t="n">
        <f aca="false">SUM(H75:H82)</f>
        <v>1590</v>
      </c>
      <c r="I83" s="97" t="n">
        <f aca="false">SUM(I75:I82)</f>
        <v>1880</v>
      </c>
      <c r="J83" s="97" t="n">
        <f aca="false">SUM(J75:J82)</f>
        <v>1681</v>
      </c>
      <c r="K83" s="97" t="n">
        <f aca="false">SUM(K75:K82)</f>
        <v>22992</v>
      </c>
      <c r="L83" s="39"/>
      <c r="M83" s="39"/>
      <c r="N83" s="97" t="n">
        <f aca="false">SUM(N75:N82)</f>
        <v>0</v>
      </c>
      <c r="O83" s="97" t="n">
        <f aca="false">SUM(O75:O82)</f>
        <v>0</v>
      </c>
      <c r="P83" s="97" t="n">
        <f aca="false">SUM(P75:P82)</f>
        <v>0</v>
      </c>
      <c r="Q83" s="97" t="n">
        <f aca="false">SUM(Q75:Q82)</f>
        <v>0</v>
      </c>
      <c r="R83" s="97" t="n">
        <f aca="false">SUM(R75:R82)</f>
        <v>71</v>
      </c>
      <c r="S83" s="97" t="n">
        <f aca="false">SUM(S75:S82)</f>
        <v>75</v>
      </c>
      <c r="T83" s="97" t="n">
        <f aca="false">SUM(T75:T82)</f>
        <v>0</v>
      </c>
      <c r="U83" s="97" t="n">
        <f aca="false">SUM(U75:U82)</f>
        <v>35</v>
      </c>
      <c r="V83" s="97" t="n">
        <f aca="false">SUM(V75:V82)</f>
        <v>0</v>
      </c>
      <c r="W83" s="97" t="n">
        <f aca="false">SUM(W75:W82)</f>
        <v>66</v>
      </c>
      <c r="X83" s="97" t="n">
        <f aca="false">SUM(X75:X82)</f>
        <v>66</v>
      </c>
      <c r="Y83" s="97" t="n">
        <f aca="false">SUM(Y75:Y82)</f>
        <v>0</v>
      </c>
      <c r="Z83" s="97" t="n">
        <f aca="false">SUM(Z75:Z82)</f>
        <v>9601</v>
      </c>
      <c r="AA83" s="97" t="n">
        <f aca="false">SUM(AA75:AA82)</f>
        <v>146</v>
      </c>
      <c r="AB83" s="97" t="n">
        <f aca="false">SUM(AB75:AB82)</f>
        <v>0</v>
      </c>
      <c r="AC83" s="97" t="n">
        <f aca="false">SUM(AC75:AC82)</f>
        <v>996</v>
      </c>
      <c r="AD83" s="97" t="n">
        <f aca="false">SUM(AD75:AD82)</f>
        <v>2082</v>
      </c>
      <c r="AE83" s="97" t="n">
        <f aca="false">SUM(AE75:AE82)</f>
        <v>0</v>
      </c>
      <c r="AF83" s="97" t="n">
        <f aca="false">SUM(AF75:AF82)</f>
        <v>3077</v>
      </c>
      <c r="AG83" s="97" t="n">
        <f aca="false">SUM(AG75:AG82)</f>
        <v>2144</v>
      </c>
      <c r="AH83" s="97" t="n">
        <f aca="false">SUM(AH75:AH82)</f>
        <v>32</v>
      </c>
      <c r="AI83" s="97" t="n">
        <f aca="false">SUM(AI75:AI82)</f>
        <v>133</v>
      </c>
      <c r="AJ83" s="97" t="n">
        <f aca="false">SUM(AJ75:AJ82)</f>
        <v>320</v>
      </c>
      <c r="AK83" s="97" t="n">
        <f aca="false">SUM(AK75:AK82)</f>
        <v>1103</v>
      </c>
      <c r="AL83" s="97" t="n">
        <f aca="false">SUM(AL75:AL82)</f>
        <v>344</v>
      </c>
      <c r="AM83" s="97" t="n">
        <f aca="false">SUM(AM75:AM82)</f>
        <v>0</v>
      </c>
      <c r="AN83" s="97" t="n">
        <f aca="false">SUM(AN75:AN82)</f>
        <v>0</v>
      </c>
      <c r="AO83" s="97" t="n">
        <f aca="false">SUM(AO75:AO82)</f>
        <v>66</v>
      </c>
      <c r="AP83" s="97" t="n">
        <f aca="false">SUM(AP75:AP82)</f>
        <v>0</v>
      </c>
      <c r="AQ83" s="97" t="n">
        <f aca="false">SUM(AQ75:AQ82)</f>
        <v>1528</v>
      </c>
      <c r="AR83" s="97" t="n">
        <f aca="false">SUM(AR75:AR82)</f>
        <v>1107</v>
      </c>
      <c r="AS83" s="97" t="n">
        <f aca="false">SUM(AS75:AS82)</f>
        <v>0</v>
      </c>
      <c r="AT83" s="97" t="n">
        <f aca="false">SUM(AT75:AT82)</f>
        <v>0</v>
      </c>
      <c r="AU83" s="97" t="n">
        <f aca="false">SUM(AU75:AU82)</f>
        <v>0</v>
      </c>
      <c r="AV83" s="97" t="n">
        <f aca="false">SUM(AV75:AV82)</f>
        <v>0</v>
      </c>
      <c r="AW83" s="0"/>
      <c r="AX83" s="97" t="n">
        <f aca="false">SUM(AX75:AX82)</f>
        <v>22992</v>
      </c>
      <c r="AY83" s="97" t="n">
        <f aca="false">SUM(AY75:AY82)</f>
        <v>0</v>
      </c>
      <c r="AZ83" s="39"/>
      <c r="BA83" s="97" t="n">
        <f aca="false">SUM(BA75:BA82)</f>
        <v>167</v>
      </c>
      <c r="BB83" s="97" t="n">
        <f aca="false">SUM(BB75:BB82)</f>
        <v>0</v>
      </c>
      <c r="BC83" s="97" t="n">
        <f aca="false">SUM(BC75:BC82)</f>
        <v>22992</v>
      </c>
      <c r="BD83" s="39"/>
      <c r="BE83" s="97" t="n">
        <f aca="false">SUM(BE75:BE82)</f>
        <v>22992</v>
      </c>
      <c r="BF83" s="39"/>
      <c r="BG83" s="97" t="n">
        <f aca="false">SUM(BG75:BG82)</f>
        <v>22992</v>
      </c>
      <c r="BH83" s="39" t="n">
        <f aca="false">SUM(BH75:BH82)</f>
        <v>0</v>
      </c>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9"/>
      <c r="ED83" s="39"/>
      <c r="EE83" s="39"/>
      <c r="EF83" s="39"/>
      <c r="EG83" s="39"/>
      <c r="EH83" s="39"/>
      <c r="EI83" s="39"/>
      <c r="EJ83" s="39"/>
      <c r="EK83" s="39"/>
      <c r="EL83" s="39"/>
      <c r="EM83" s="39"/>
      <c r="EN83" s="39"/>
      <c r="EO83" s="39"/>
      <c r="EP83" s="39"/>
      <c r="EQ83" s="39"/>
      <c r="ER83" s="39"/>
      <c r="ES83" s="39"/>
      <c r="ET83" s="39"/>
      <c r="EU83" s="39"/>
      <c r="EV83" s="39"/>
      <c r="EW83" s="39"/>
      <c r="EX83" s="39"/>
      <c r="EY83" s="39"/>
      <c r="EZ83" s="39"/>
      <c r="FA83" s="39"/>
      <c r="FB83" s="39"/>
      <c r="FC83" s="39"/>
      <c r="FD83" s="39"/>
      <c r="FE83" s="39"/>
      <c r="FF83" s="39"/>
      <c r="FG83" s="39"/>
      <c r="FH83" s="39"/>
      <c r="FI83" s="39"/>
      <c r="FJ83" s="39"/>
      <c r="FK83" s="39"/>
      <c r="FL83" s="39"/>
      <c r="FM83" s="39"/>
      <c r="FN83" s="39"/>
      <c r="FO83" s="39"/>
      <c r="FP83" s="39"/>
      <c r="FQ83" s="39"/>
      <c r="FR83" s="39"/>
      <c r="FS83" s="39"/>
      <c r="FT83" s="39"/>
      <c r="FU83" s="39"/>
      <c r="FV83" s="39"/>
      <c r="FW83" s="39"/>
      <c r="FX83" s="39"/>
      <c r="FY83" s="39"/>
      <c r="FZ83" s="39"/>
      <c r="GA83" s="39"/>
      <c r="GB83" s="39"/>
      <c r="GC83" s="39"/>
      <c r="GD83" s="39"/>
      <c r="GE83" s="39"/>
      <c r="GF83" s="39"/>
      <c r="GG83" s="39"/>
      <c r="GH83" s="39"/>
      <c r="GI83" s="39"/>
      <c r="GJ83" s="39"/>
      <c r="GK83" s="39"/>
      <c r="GL83" s="39"/>
      <c r="GM83" s="39"/>
      <c r="GN83" s="39"/>
      <c r="GO83" s="39"/>
      <c r="GP83" s="39"/>
      <c r="GQ83" s="39"/>
      <c r="GR83" s="39"/>
      <c r="GS83" s="39"/>
      <c r="GT83" s="39"/>
      <c r="GU83" s="39"/>
      <c r="GV83" s="39"/>
      <c r="GW83" s="39"/>
      <c r="GX83" s="39"/>
      <c r="GY83" s="39"/>
      <c r="GZ83" s="39"/>
      <c r="HA83" s="39"/>
      <c r="HB83" s="39"/>
      <c r="HC83" s="39"/>
      <c r="HD83" s="39"/>
      <c r="HE83" s="39"/>
      <c r="HF83" s="39"/>
      <c r="HG83" s="39"/>
      <c r="HH83" s="39"/>
      <c r="HI83" s="39"/>
      <c r="HJ83" s="39"/>
      <c r="HK83" s="39"/>
      <c r="HL83" s="39"/>
      <c r="HM83" s="39"/>
      <c r="HN83" s="39"/>
      <c r="HO83" s="39"/>
      <c r="HP83" s="39"/>
      <c r="HQ83" s="39"/>
      <c r="HR83" s="39"/>
      <c r="HS83" s="39"/>
      <c r="HT83" s="39"/>
      <c r="HU83" s="39"/>
      <c r="HV83" s="39"/>
      <c r="HW83" s="39"/>
      <c r="HX83" s="39"/>
      <c r="HY83" s="39"/>
      <c r="HZ83" s="39"/>
      <c r="IA83" s="39"/>
      <c r="IB83" s="39"/>
      <c r="IC83" s="39"/>
      <c r="ID83" s="39"/>
      <c r="IE83" s="39"/>
      <c r="IF83" s="39"/>
      <c r="IG83" s="39"/>
      <c r="IH83" s="39"/>
      <c r="II83" s="39"/>
      <c r="IJ83" s="39"/>
      <c r="IK83" s="39"/>
      <c r="IL83" s="39"/>
      <c r="IM83" s="39"/>
      <c r="IN83" s="39"/>
      <c r="IO83" s="39"/>
      <c r="IP83" s="39"/>
      <c r="IQ83" s="39"/>
      <c r="IR83" s="39"/>
      <c r="IS83" s="39"/>
      <c r="IT83" s="39"/>
      <c r="IU83" s="39"/>
      <c r="IV83" s="39"/>
      <c r="IW83" s="39"/>
    </row>
    <row r="84" customFormat="false" ht="8.1" hidden="false" customHeight="true" outlineLevel="0" collapsed="false">
      <c r="A84" s="95"/>
      <c r="B84" s="38"/>
      <c r="C84" s="39"/>
      <c r="D84" s="96"/>
      <c r="E84" s="39"/>
      <c r="F84" s="71"/>
      <c r="G84" s="71"/>
      <c r="H84" s="39"/>
      <c r="I84" s="39"/>
      <c r="J84" s="39"/>
      <c r="K84" s="71"/>
      <c r="L84" s="39"/>
      <c r="M84" s="39"/>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0"/>
      <c r="AX84" s="71"/>
      <c r="AY84" s="71"/>
      <c r="AZ84" s="39"/>
      <c r="BA84" s="71"/>
      <c r="BB84" s="71"/>
      <c r="BC84" s="71"/>
      <c r="BD84" s="39"/>
      <c r="BE84" s="71"/>
      <c r="BF84" s="71"/>
      <c r="BG84" s="48"/>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c r="FJ84" s="39"/>
      <c r="FK84" s="39"/>
      <c r="FL84" s="39"/>
      <c r="FM84" s="39"/>
      <c r="FN84" s="39"/>
      <c r="FO84" s="39"/>
      <c r="FP84" s="39"/>
      <c r="FQ84" s="39"/>
      <c r="FR84" s="39"/>
      <c r="FS84" s="39"/>
      <c r="FT84" s="39"/>
      <c r="FU84" s="39"/>
      <c r="FV84" s="39"/>
      <c r="FW84" s="39"/>
      <c r="FX84" s="39"/>
      <c r="FY84" s="39"/>
      <c r="FZ84" s="39"/>
      <c r="GA84" s="39"/>
      <c r="GB84" s="39"/>
      <c r="GC84" s="39"/>
      <c r="GD84" s="39"/>
      <c r="GE84" s="39"/>
      <c r="GF84" s="39"/>
      <c r="GG84" s="39"/>
      <c r="GH84" s="39"/>
      <c r="GI84" s="39"/>
      <c r="GJ84" s="39"/>
      <c r="GK84" s="39"/>
      <c r="GL84" s="39"/>
      <c r="GM84" s="39"/>
      <c r="GN84" s="39"/>
      <c r="GO84" s="39"/>
      <c r="GP84" s="39"/>
      <c r="GQ84" s="39"/>
      <c r="GR84" s="39"/>
      <c r="GS84" s="39"/>
      <c r="GT84" s="39"/>
      <c r="GU84" s="39"/>
      <c r="GV84" s="39"/>
      <c r="GW84" s="39"/>
      <c r="GX84" s="39"/>
      <c r="GY84" s="39"/>
      <c r="GZ84" s="39"/>
      <c r="HA84" s="39"/>
      <c r="HB84" s="39"/>
      <c r="HC84" s="39"/>
      <c r="HD84" s="39"/>
      <c r="HE84" s="39"/>
      <c r="HF84" s="39"/>
      <c r="HG84" s="39"/>
      <c r="HH84" s="39"/>
      <c r="HI84" s="39"/>
      <c r="HJ84" s="39"/>
      <c r="HK84" s="39"/>
      <c r="HL84" s="39"/>
      <c r="HM84" s="39"/>
      <c r="HN84" s="39"/>
      <c r="HO84" s="39"/>
      <c r="HP84" s="39"/>
      <c r="HQ84" s="39"/>
      <c r="HR84" s="39"/>
      <c r="HS84" s="39"/>
      <c r="HT84" s="39"/>
      <c r="HU84" s="39"/>
      <c r="HV84" s="39"/>
      <c r="HW84" s="39"/>
      <c r="HX84" s="39"/>
      <c r="HY84" s="39"/>
      <c r="HZ84" s="39"/>
      <c r="IA84" s="39"/>
      <c r="IB84" s="39"/>
      <c r="IC84" s="39"/>
      <c r="ID84" s="39"/>
      <c r="IE84" s="39"/>
      <c r="IF84" s="39"/>
      <c r="IG84" s="39"/>
      <c r="IH84" s="39"/>
      <c r="II84" s="39"/>
      <c r="IJ84" s="39"/>
      <c r="IK84" s="39"/>
      <c r="IL84" s="39"/>
      <c r="IM84" s="39"/>
      <c r="IN84" s="39"/>
      <c r="IO84" s="39"/>
      <c r="IP84" s="39"/>
      <c r="IQ84" s="39"/>
      <c r="IR84" s="39"/>
      <c r="IS84" s="39"/>
      <c r="IT84" s="39"/>
      <c r="IU84" s="39"/>
      <c r="IV84" s="39"/>
      <c r="IW84" s="39"/>
    </row>
    <row r="85" customFormat="false" ht="12.95" hidden="false" customHeight="true" outlineLevel="0" collapsed="false">
      <c r="A85" s="95" t="s">
        <v>420</v>
      </c>
      <c r="B85" s="38"/>
      <c r="C85" s="39"/>
      <c r="D85" s="96"/>
      <c r="E85" s="39"/>
      <c r="F85" s="71"/>
      <c r="G85" s="71"/>
      <c r="H85" s="39"/>
      <c r="I85" s="39"/>
      <c r="J85" s="39"/>
      <c r="K85" s="71"/>
      <c r="L85" s="39"/>
      <c r="M85" s="39"/>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0"/>
      <c r="AX85" s="71"/>
      <c r="AY85" s="71"/>
      <c r="AZ85" s="39"/>
      <c r="BA85" s="71"/>
      <c r="BB85" s="71"/>
      <c r="BC85" s="71"/>
      <c r="BD85" s="39"/>
      <c r="BE85" s="71"/>
      <c r="BF85" s="71"/>
      <c r="BG85" s="48"/>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row>
    <row r="86" customFormat="false" ht="12.95" hidden="false" customHeight="true" outlineLevel="0" collapsed="false">
      <c r="A86" s="37" t="n">
        <f aca="false">+'CCs # Master'!A25</f>
        <v>11</v>
      </c>
      <c r="B86" s="39" t="str">
        <f aca="false">+'CCs # Master'!B25</f>
        <v>Investor Relations</v>
      </c>
      <c r="C86" s="39" t="str">
        <f aca="false">+'CCs # Master'!C25</f>
        <v>Koeing, Mark</v>
      </c>
      <c r="D86" s="96" t="n">
        <f aca="false">+'CCs # Master'!D25</f>
        <v>100024</v>
      </c>
      <c r="E86" s="39" t="n">
        <f aca="false">+'CCs # Master'!E25</f>
        <v>1470</v>
      </c>
      <c r="F86" s="39" t="n">
        <f aca="false">+'CCs # Master'!F25</f>
        <v>308</v>
      </c>
      <c r="G86" s="39" t="n">
        <f aca="false">+'CCs # Master'!G25</f>
        <v>50</v>
      </c>
      <c r="H86" s="39" t="n">
        <f aca="false">+'CCs # Master'!H25</f>
        <v>655</v>
      </c>
      <c r="I86" s="39" t="n">
        <f aca="false">+'CCs # Master'!I25</f>
        <v>500</v>
      </c>
      <c r="J86" s="39" t="n">
        <f aca="false">+'CCs # Master'!J25</f>
        <v>103</v>
      </c>
      <c r="K86" s="39" t="n">
        <f aca="false">SUM(E86:J86)</f>
        <v>3086</v>
      </c>
      <c r="L86" s="39"/>
      <c r="M86" s="39" t="str">
        <f aca="false">+'CCs # Master'!M25</f>
        <v>MMF</v>
      </c>
      <c r="N86" s="39" t="n">
        <f aca="false">+'CCs # Master'!AW25</f>
        <v>3036</v>
      </c>
      <c r="O86" s="39" t="n">
        <v>0</v>
      </c>
      <c r="P86" s="39" t="n">
        <f aca="false">+'CCs # Master'!N25</f>
        <v>0</v>
      </c>
      <c r="Q86" s="39" t="n">
        <f aca="false">+'CCs # Master'!O25</f>
        <v>0</v>
      </c>
      <c r="R86" s="39" t="n">
        <f aca="false">+'CCs # Master'!P25</f>
        <v>0</v>
      </c>
      <c r="S86" s="39" t="n">
        <f aca="false">+'CCs # Master'!Q25</f>
        <v>0</v>
      </c>
      <c r="T86" s="39" t="n">
        <f aca="false">+'CCs # Master'!R25</f>
        <v>0</v>
      </c>
      <c r="U86" s="39" t="n">
        <f aca="false">+'CCs # Master'!S25</f>
        <v>50</v>
      </c>
      <c r="V86" s="39" t="n">
        <f aca="false">+'CCs # Master'!T25</f>
        <v>0</v>
      </c>
      <c r="W86" s="39" t="n">
        <f aca="false">+'CCs # Master'!U25</f>
        <v>0</v>
      </c>
      <c r="X86" s="39" t="n">
        <f aca="false">+'CCs # Master'!V25</f>
        <v>0</v>
      </c>
      <c r="Y86" s="39" t="n">
        <f aca="false">+'CCs # Master'!W25</f>
        <v>0</v>
      </c>
      <c r="Z86" s="39" t="n">
        <f aca="false">+'CCs # Master'!X25</f>
        <v>0</v>
      </c>
      <c r="AA86" s="39" t="n">
        <f aca="false">+'CCs # Master'!Y25</f>
        <v>0</v>
      </c>
      <c r="AB86" s="39" t="n">
        <f aca="false">+'CCs # Master'!Z25</f>
        <v>0</v>
      </c>
      <c r="AC86" s="39" t="n">
        <f aca="false">+'CCs # Master'!AA25</f>
        <v>0</v>
      </c>
      <c r="AD86" s="39" t="n">
        <f aca="false">+'CCs # Master'!AB25</f>
        <v>0</v>
      </c>
      <c r="AE86" s="39" t="n">
        <f aca="false">+'CCs # Master'!AC25</f>
        <v>0</v>
      </c>
      <c r="AF86" s="39" t="n">
        <f aca="false">+'CCs # Master'!AD25</f>
        <v>0</v>
      </c>
      <c r="AG86" s="39" t="n">
        <f aca="false">+'CCs # Master'!AE25</f>
        <v>0</v>
      </c>
      <c r="AH86" s="39" t="n">
        <f aca="false">+'CCs # Master'!AF25</f>
        <v>0</v>
      </c>
      <c r="AI86" s="39" t="n">
        <f aca="false">+'CCs # Master'!AG25</f>
        <v>0</v>
      </c>
      <c r="AJ86" s="39" t="n">
        <f aca="false">+'CCs # Master'!AH25</f>
        <v>0</v>
      </c>
      <c r="AK86" s="39" t="n">
        <f aca="false">+'CCs # Master'!AI25</f>
        <v>0</v>
      </c>
      <c r="AL86" s="39" t="n">
        <f aca="false">+'CCs # Master'!AJ25</f>
        <v>0</v>
      </c>
      <c r="AM86" s="39" t="n">
        <f aca="false">+'CCs # Master'!AK25</f>
        <v>0</v>
      </c>
      <c r="AN86" s="39" t="n">
        <f aca="false">+'CCs # Master'!AL25</f>
        <v>0</v>
      </c>
      <c r="AO86" s="39" t="n">
        <f aca="false">+'CCs # Master'!AM25</f>
        <v>0</v>
      </c>
      <c r="AP86" s="39" t="n">
        <f aca="false">+'CCs # Master'!AN25</f>
        <v>0</v>
      </c>
      <c r="AQ86" s="39" t="n">
        <f aca="false">+'CCs # Master'!AO25</f>
        <v>0</v>
      </c>
      <c r="AR86" s="39" t="n">
        <f aca="false">+'CCs # Master'!AP25</f>
        <v>0</v>
      </c>
      <c r="AS86" s="39" t="n">
        <f aca="false">+'CCs # Master'!AQ25</f>
        <v>0</v>
      </c>
      <c r="AT86" s="39" t="n">
        <f aca="false">+'CCs # Master'!AR25</f>
        <v>0</v>
      </c>
      <c r="AU86" s="39" t="n">
        <f aca="false">+'CCs # Master'!AS25</f>
        <v>0</v>
      </c>
      <c r="AV86" s="39" t="n">
        <f aca="false">+'CCs # Master'!AT25</f>
        <v>0</v>
      </c>
      <c r="AW86" s="0"/>
      <c r="AX86" s="71" t="n">
        <f aca="false">SUM(N86:AW86)</f>
        <v>3086</v>
      </c>
      <c r="AY86" s="71" t="n">
        <f aca="false">+K86-AX86</f>
        <v>0</v>
      </c>
      <c r="AZ86" s="39"/>
      <c r="BA86" s="39" t="n">
        <f aca="false">+P86+Q86+T86+U86+V86+W86+X86+Y86</f>
        <v>50</v>
      </c>
      <c r="BB86" s="39" t="n">
        <f aca="false">N86</f>
        <v>3036</v>
      </c>
      <c r="BC86" s="39" t="n">
        <f aca="false">SUM(P86:AW86)</f>
        <v>50</v>
      </c>
      <c r="BD86" s="39"/>
      <c r="BE86" s="39" t="n">
        <f aca="false">SUM(BB86:BC86)</f>
        <v>3086</v>
      </c>
      <c r="BF86" s="39"/>
      <c r="BG86" s="48" t="n">
        <f aca="false">SUM(N86:AW86)</f>
        <v>3086</v>
      </c>
      <c r="BH86" s="39" t="n">
        <f aca="false">BE86-BG86</f>
        <v>0</v>
      </c>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39"/>
      <c r="EU86" s="39"/>
      <c r="EV86" s="39"/>
      <c r="EW86" s="39"/>
      <c r="EX86" s="39"/>
      <c r="EY86" s="39"/>
      <c r="EZ86" s="39"/>
      <c r="FA86" s="39"/>
      <c r="FB86" s="39"/>
      <c r="FC86" s="39"/>
      <c r="FD86" s="39"/>
      <c r="FE86" s="39"/>
      <c r="FF86" s="39"/>
      <c r="FG86" s="39"/>
      <c r="FH86" s="39"/>
      <c r="FI86" s="39"/>
      <c r="FJ86" s="39"/>
      <c r="FK86" s="39"/>
      <c r="FL86" s="39"/>
      <c r="FM86" s="39"/>
      <c r="FN86" s="39"/>
      <c r="FO86" s="39"/>
      <c r="FP86" s="39"/>
      <c r="FQ86" s="39"/>
      <c r="FR86" s="39"/>
      <c r="FS86" s="39"/>
      <c r="FT86" s="39"/>
      <c r="FU86" s="39"/>
      <c r="FV86" s="39"/>
      <c r="FW86" s="39"/>
      <c r="FX86" s="39"/>
      <c r="FY86" s="39"/>
      <c r="FZ86" s="39"/>
      <c r="GA86" s="39"/>
      <c r="GB86" s="39"/>
      <c r="GC86" s="39"/>
      <c r="GD86" s="39"/>
      <c r="GE86" s="39"/>
      <c r="GF86" s="39"/>
      <c r="GG86" s="39"/>
      <c r="GH86" s="39"/>
      <c r="GI86" s="39"/>
      <c r="GJ86" s="39"/>
      <c r="GK86" s="39"/>
      <c r="GL86" s="39"/>
      <c r="GM86" s="39"/>
      <c r="GN86" s="39"/>
      <c r="GO86" s="39"/>
      <c r="GP86" s="39"/>
      <c r="GQ86" s="39"/>
      <c r="GR86" s="39"/>
      <c r="GS86" s="39"/>
      <c r="GT86" s="39"/>
      <c r="GU86" s="39"/>
      <c r="GV86" s="39"/>
      <c r="GW86" s="39"/>
      <c r="GX86" s="39"/>
      <c r="GY86" s="39"/>
      <c r="GZ86" s="39"/>
      <c r="HA86" s="39"/>
      <c r="HB86" s="39"/>
      <c r="HC86" s="39"/>
      <c r="HD86" s="39"/>
      <c r="HE86" s="39"/>
      <c r="HF86" s="39"/>
      <c r="HG86" s="39"/>
      <c r="HH86" s="39"/>
      <c r="HI86" s="39"/>
      <c r="HJ86" s="39"/>
      <c r="HK86" s="39"/>
      <c r="HL86" s="39"/>
      <c r="HM86" s="39"/>
      <c r="HN86" s="39"/>
      <c r="HO86" s="39"/>
      <c r="HP86" s="39"/>
      <c r="HQ86" s="39"/>
      <c r="HR86" s="39"/>
      <c r="HS86" s="39"/>
      <c r="HT86" s="39"/>
      <c r="HU86" s="39"/>
      <c r="HV86" s="39"/>
      <c r="HW86" s="39"/>
      <c r="HX86" s="39"/>
      <c r="HY86" s="39"/>
      <c r="HZ86" s="39"/>
      <c r="IA86" s="39"/>
      <c r="IB86" s="39"/>
      <c r="IC86" s="39"/>
      <c r="ID86" s="39"/>
      <c r="IE86" s="39"/>
      <c r="IF86" s="39"/>
      <c r="IG86" s="39"/>
      <c r="IH86" s="39"/>
      <c r="II86" s="39"/>
      <c r="IJ86" s="39"/>
      <c r="IK86" s="39"/>
      <c r="IL86" s="39"/>
      <c r="IM86" s="39"/>
      <c r="IN86" s="39"/>
      <c r="IO86" s="39"/>
      <c r="IP86" s="39"/>
      <c r="IQ86" s="39"/>
      <c r="IR86" s="39"/>
      <c r="IS86" s="39"/>
      <c r="IT86" s="39"/>
      <c r="IU86" s="39"/>
      <c r="IV86" s="39"/>
      <c r="IW86" s="39"/>
    </row>
    <row r="87" customFormat="false" ht="12.95" hidden="false" customHeight="true" outlineLevel="0" collapsed="false">
      <c r="A87" s="37"/>
      <c r="B87" s="39"/>
      <c r="C87" s="39"/>
      <c r="D87" s="96"/>
      <c r="E87" s="39"/>
      <c r="F87" s="39"/>
      <c r="G87" s="39"/>
      <c r="H87" s="39"/>
      <c r="I87" s="39"/>
      <c r="J87" s="39"/>
      <c r="K87" s="71"/>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0"/>
      <c r="AX87" s="71"/>
      <c r="AY87" s="71"/>
      <c r="AZ87" s="39"/>
      <c r="BA87" s="39"/>
      <c r="BB87" s="39"/>
      <c r="BC87" s="39"/>
      <c r="BD87" s="39"/>
      <c r="BE87" s="39"/>
      <c r="BF87" s="39"/>
      <c r="BG87" s="48"/>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9"/>
      <c r="GJ87" s="39"/>
      <c r="GK87" s="39"/>
      <c r="GL87" s="39"/>
      <c r="GM87" s="39"/>
      <c r="GN87" s="39"/>
      <c r="GO87" s="39"/>
      <c r="GP87" s="39"/>
      <c r="GQ87" s="39"/>
      <c r="GR87" s="39"/>
      <c r="GS87" s="39"/>
      <c r="GT87" s="39"/>
      <c r="GU87" s="39"/>
      <c r="GV87" s="39"/>
      <c r="GW87" s="39"/>
      <c r="GX87" s="39"/>
      <c r="GY87" s="39"/>
      <c r="GZ87" s="39"/>
      <c r="HA87" s="39"/>
      <c r="HB87" s="39"/>
      <c r="HC87" s="39"/>
      <c r="HD87" s="39"/>
      <c r="HE87" s="39"/>
      <c r="HF87" s="39"/>
      <c r="HG87" s="39"/>
      <c r="HH87" s="39"/>
      <c r="HI87" s="39"/>
      <c r="HJ87" s="39"/>
      <c r="HK87" s="39"/>
      <c r="HL87" s="39"/>
      <c r="HM87" s="39"/>
      <c r="HN87" s="39"/>
      <c r="HO87" s="39"/>
      <c r="HP87" s="39"/>
      <c r="HQ87" s="39"/>
      <c r="HR87" s="39"/>
      <c r="HS87" s="39"/>
      <c r="HT87" s="39"/>
      <c r="HU87" s="39"/>
      <c r="HV87" s="39"/>
      <c r="HW87" s="39"/>
      <c r="HX87" s="39"/>
      <c r="HY87" s="39"/>
      <c r="HZ87" s="39"/>
      <c r="IA87" s="39"/>
      <c r="IB87" s="39"/>
      <c r="IC87" s="39"/>
      <c r="ID87" s="39"/>
      <c r="IE87" s="39"/>
      <c r="IF87" s="39"/>
      <c r="IG87" s="39"/>
      <c r="IH87" s="39"/>
      <c r="II87" s="39"/>
      <c r="IJ87" s="39"/>
      <c r="IK87" s="39"/>
      <c r="IL87" s="39"/>
      <c r="IM87" s="39"/>
      <c r="IN87" s="39"/>
      <c r="IO87" s="39"/>
      <c r="IP87" s="39"/>
      <c r="IQ87" s="39"/>
      <c r="IR87" s="39"/>
      <c r="IS87" s="39"/>
      <c r="IT87" s="39"/>
      <c r="IU87" s="39"/>
      <c r="IV87" s="39"/>
      <c r="IW87" s="39"/>
    </row>
    <row r="88" customFormat="false" ht="12.95" hidden="false" customHeight="true" outlineLevel="0" collapsed="false">
      <c r="A88" s="95" t="s">
        <v>421</v>
      </c>
      <c r="B88" s="39"/>
      <c r="C88" s="39"/>
      <c r="D88" s="96"/>
      <c r="E88" s="39"/>
      <c r="F88" s="39"/>
      <c r="G88" s="39"/>
      <c r="H88" s="39"/>
      <c r="I88" s="39"/>
      <c r="J88" s="39"/>
      <c r="K88" s="71"/>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0"/>
      <c r="AX88" s="71"/>
      <c r="AY88" s="71"/>
      <c r="AZ88" s="39"/>
      <c r="BA88" s="39"/>
      <c r="BB88" s="39"/>
      <c r="BC88" s="39"/>
      <c r="BD88" s="39"/>
      <c r="BE88" s="39"/>
      <c r="BF88" s="39"/>
      <c r="BG88" s="48"/>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c r="EU88" s="39"/>
      <c r="EV88" s="39"/>
      <c r="EW88" s="39"/>
      <c r="EX88" s="39"/>
      <c r="EY88" s="39"/>
      <c r="EZ88" s="39"/>
      <c r="FA88" s="39"/>
      <c r="FB88" s="39"/>
      <c r="FC88" s="39"/>
      <c r="FD88" s="39"/>
      <c r="FE88" s="39"/>
      <c r="FF88" s="39"/>
      <c r="FG88" s="39"/>
      <c r="FH88" s="39"/>
      <c r="FI88" s="39"/>
      <c r="FJ88" s="39"/>
      <c r="FK88" s="39"/>
      <c r="FL88" s="39"/>
      <c r="FM88" s="39"/>
      <c r="FN88" s="39"/>
      <c r="FO88" s="39"/>
      <c r="FP88" s="39"/>
      <c r="FQ88" s="39"/>
      <c r="FR88" s="39"/>
      <c r="FS88" s="39"/>
      <c r="FT88" s="39"/>
      <c r="FU88" s="39"/>
      <c r="FV88" s="39"/>
      <c r="FW88" s="39"/>
      <c r="FX88" s="39"/>
      <c r="FY88" s="39"/>
      <c r="FZ88" s="39"/>
      <c r="GA88" s="39"/>
      <c r="GB88" s="39"/>
      <c r="GC88" s="39"/>
      <c r="GD88" s="39"/>
      <c r="GE88" s="39"/>
      <c r="GF88" s="39"/>
      <c r="GG88" s="39"/>
      <c r="GH88" s="39"/>
      <c r="GI88" s="39"/>
      <c r="GJ88" s="39"/>
      <c r="GK88" s="39"/>
      <c r="GL88" s="39"/>
      <c r="GM88" s="39"/>
      <c r="GN88" s="39"/>
      <c r="GO88" s="39"/>
      <c r="GP88" s="39"/>
      <c r="GQ88" s="39"/>
      <c r="GR88" s="39"/>
      <c r="GS88" s="39"/>
      <c r="GT88" s="39"/>
      <c r="GU88" s="39"/>
      <c r="GV88" s="39"/>
      <c r="GW88" s="39"/>
      <c r="GX88" s="39"/>
      <c r="GY88" s="39"/>
      <c r="GZ88" s="39"/>
      <c r="HA88" s="39"/>
      <c r="HB88" s="39"/>
      <c r="HC88" s="39"/>
      <c r="HD88" s="39"/>
      <c r="HE88" s="39"/>
      <c r="HF88" s="39"/>
      <c r="HG88" s="39"/>
      <c r="HH88" s="39"/>
      <c r="HI88" s="39"/>
      <c r="HJ88" s="39"/>
      <c r="HK88" s="39"/>
      <c r="HL88" s="39"/>
      <c r="HM88" s="39"/>
      <c r="HN88" s="39"/>
      <c r="HO88" s="39"/>
      <c r="HP88" s="39"/>
      <c r="HQ88" s="39"/>
      <c r="HR88" s="39"/>
      <c r="HS88" s="39"/>
      <c r="HT88" s="39"/>
      <c r="HU88" s="39"/>
      <c r="HV88" s="39"/>
      <c r="HW88" s="39"/>
      <c r="HX88" s="39"/>
      <c r="HY88" s="39"/>
      <c r="HZ88" s="39"/>
      <c r="IA88" s="39"/>
      <c r="IB88" s="39"/>
      <c r="IC88" s="39"/>
      <c r="ID88" s="39"/>
      <c r="IE88" s="39"/>
      <c r="IF88" s="39"/>
      <c r="IG88" s="39"/>
      <c r="IH88" s="39"/>
      <c r="II88" s="39"/>
      <c r="IJ88" s="39"/>
      <c r="IK88" s="39"/>
      <c r="IL88" s="39"/>
      <c r="IM88" s="39"/>
      <c r="IN88" s="39"/>
      <c r="IO88" s="39"/>
      <c r="IP88" s="39"/>
      <c r="IQ88" s="39"/>
      <c r="IR88" s="39"/>
      <c r="IS88" s="39"/>
      <c r="IT88" s="39"/>
      <c r="IU88" s="39"/>
      <c r="IV88" s="39"/>
      <c r="IW88" s="39"/>
    </row>
    <row r="89" customFormat="false" ht="12.95" hidden="false" customHeight="true" outlineLevel="0" collapsed="false">
      <c r="A89" s="37" t="n">
        <f aca="false">+'CCs # Master'!A28</f>
        <v>11</v>
      </c>
      <c r="B89" s="39" t="str">
        <f aca="false">+'CCs # Master'!B28</f>
        <v>Corporate Development</v>
      </c>
      <c r="C89" s="39" t="str">
        <f aca="false">+'CCs # Master'!C28</f>
        <v>Metts, M</v>
      </c>
      <c r="D89" s="96" t="n">
        <f aca="false">+'CCs # Master'!D28</f>
        <v>100028</v>
      </c>
      <c r="E89" s="39" t="n">
        <f aca="false">+'CCs # Master'!E28</f>
        <v>2542</v>
      </c>
      <c r="F89" s="39" t="n">
        <f aca="false">+'CCs # Master'!F28</f>
        <v>102</v>
      </c>
      <c r="G89" s="39" t="n">
        <f aca="false">+'CCs # Master'!G28</f>
        <v>20</v>
      </c>
      <c r="H89" s="39" t="n">
        <f aca="false">+'CCs # Master'!H28</f>
        <v>425</v>
      </c>
      <c r="I89" s="39" t="n">
        <f aca="false">+'CCs # Master'!I28</f>
        <v>309</v>
      </c>
      <c r="J89" s="39" t="n">
        <f aca="false">+'CCs # Master'!J28</f>
        <v>87</v>
      </c>
      <c r="K89" s="71" t="n">
        <f aca="false">SUM(E89:J89)</f>
        <v>3485</v>
      </c>
      <c r="L89" s="39"/>
      <c r="M89" s="39" t="str">
        <f aca="false">+'CCs # Master'!M28</f>
        <v>Retained at Corp</v>
      </c>
      <c r="N89" s="39" t="n">
        <f aca="false">+'CCs # Master'!AW28</f>
        <v>3485</v>
      </c>
      <c r="O89" s="39" t="n">
        <v>0</v>
      </c>
      <c r="P89" s="39" t="n">
        <f aca="false">+'CCs # Master'!N28</f>
        <v>0</v>
      </c>
      <c r="Q89" s="39" t="n">
        <f aca="false">+'CCs # Master'!O28</f>
        <v>0</v>
      </c>
      <c r="R89" s="39" t="n">
        <f aca="false">+'CCs # Master'!P28</f>
        <v>0</v>
      </c>
      <c r="S89" s="39" t="n">
        <f aca="false">+'CCs # Master'!Q28</f>
        <v>0</v>
      </c>
      <c r="T89" s="39" t="n">
        <f aca="false">+'CCs # Master'!R28</f>
        <v>0</v>
      </c>
      <c r="U89" s="39" t="n">
        <f aca="false">+'CCs # Master'!S28</f>
        <v>0</v>
      </c>
      <c r="V89" s="39" t="n">
        <f aca="false">+'CCs # Master'!T28</f>
        <v>0</v>
      </c>
      <c r="W89" s="39" t="n">
        <f aca="false">+'CCs # Master'!U28</f>
        <v>0</v>
      </c>
      <c r="X89" s="39" t="n">
        <f aca="false">+'CCs # Master'!V28</f>
        <v>0</v>
      </c>
      <c r="Y89" s="39" t="n">
        <f aca="false">+'CCs # Master'!W28</f>
        <v>0</v>
      </c>
      <c r="Z89" s="39" t="n">
        <f aca="false">+'CCs # Master'!X28</f>
        <v>0</v>
      </c>
      <c r="AA89" s="39" t="n">
        <f aca="false">+'CCs # Master'!Y28</f>
        <v>0</v>
      </c>
      <c r="AB89" s="39" t="n">
        <f aca="false">+'CCs # Master'!Z28</f>
        <v>0</v>
      </c>
      <c r="AC89" s="39" t="n">
        <f aca="false">+'CCs # Master'!AA28</f>
        <v>0</v>
      </c>
      <c r="AD89" s="39" t="n">
        <f aca="false">+'CCs # Master'!AB28</f>
        <v>0</v>
      </c>
      <c r="AE89" s="39" t="n">
        <f aca="false">+'CCs # Master'!AC28</f>
        <v>0</v>
      </c>
      <c r="AF89" s="39" t="n">
        <f aca="false">+'CCs # Master'!AD28</f>
        <v>0</v>
      </c>
      <c r="AG89" s="39" t="n">
        <f aca="false">+'CCs # Master'!AE28</f>
        <v>0</v>
      </c>
      <c r="AH89" s="39" t="n">
        <f aca="false">+'CCs # Master'!AF28</f>
        <v>0</v>
      </c>
      <c r="AI89" s="39" t="n">
        <f aca="false">+'CCs # Master'!AG28</f>
        <v>0</v>
      </c>
      <c r="AJ89" s="39" t="n">
        <f aca="false">+'CCs # Master'!AH28</f>
        <v>0</v>
      </c>
      <c r="AK89" s="39" t="n">
        <f aca="false">+'CCs # Master'!AI28</f>
        <v>0</v>
      </c>
      <c r="AL89" s="39" t="n">
        <f aca="false">+'CCs # Master'!AJ28</f>
        <v>0</v>
      </c>
      <c r="AM89" s="39" t="n">
        <f aca="false">+'CCs # Master'!AK28</f>
        <v>0</v>
      </c>
      <c r="AN89" s="39" t="n">
        <f aca="false">+'CCs # Master'!AL28</f>
        <v>0</v>
      </c>
      <c r="AO89" s="39" t="n">
        <f aca="false">+'CCs # Master'!AM28</f>
        <v>0</v>
      </c>
      <c r="AP89" s="39" t="n">
        <f aca="false">+'CCs # Master'!AN28</f>
        <v>0</v>
      </c>
      <c r="AQ89" s="39" t="n">
        <f aca="false">+'CCs # Master'!AO28</f>
        <v>0</v>
      </c>
      <c r="AR89" s="39" t="n">
        <f aca="false">+'CCs # Master'!AP28</f>
        <v>0</v>
      </c>
      <c r="AS89" s="39" t="n">
        <f aca="false">+'CCs # Master'!AQ28</f>
        <v>0</v>
      </c>
      <c r="AT89" s="39" t="n">
        <f aca="false">+'CCs # Master'!AR28</f>
        <v>0</v>
      </c>
      <c r="AU89" s="39" t="n">
        <f aca="false">+'CCs # Master'!AS28</f>
        <v>0</v>
      </c>
      <c r="AV89" s="39" t="n">
        <f aca="false">+'CCs # Master'!AT28</f>
        <v>0</v>
      </c>
      <c r="AW89" s="0"/>
      <c r="AX89" s="71" t="n">
        <f aca="false">SUM(N89:AW89)</f>
        <v>3485</v>
      </c>
      <c r="AY89" s="71" t="n">
        <f aca="false">+K89-AX89</f>
        <v>0</v>
      </c>
      <c r="AZ89" s="39"/>
      <c r="BA89" s="39" t="n">
        <f aca="false">+P89+Q89+T89+U89+V89+W89+X89+Y89</f>
        <v>0</v>
      </c>
      <c r="BB89" s="39" t="n">
        <f aca="false">N89</f>
        <v>3485</v>
      </c>
      <c r="BC89" s="39" t="n">
        <f aca="false">SUM(P89:AW89)</f>
        <v>0</v>
      </c>
      <c r="BD89" s="39"/>
      <c r="BE89" s="39" t="n">
        <f aca="false">SUM(BB89:BC89)</f>
        <v>3485</v>
      </c>
      <c r="BF89" s="39"/>
      <c r="BG89" s="48" t="n">
        <f aca="false">SUM(N89:AW89)</f>
        <v>3485</v>
      </c>
      <c r="BH89" s="39" t="n">
        <f aca="false">BE89-BG89</f>
        <v>0</v>
      </c>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9"/>
      <c r="FD89" s="39"/>
      <c r="FE89" s="39"/>
      <c r="FF89" s="39"/>
      <c r="FG89" s="39"/>
      <c r="FH89" s="39"/>
      <c r="FI89" s="39"/>
      <c r="FJ89" s="39"/>
      <c r="FK89" s="39"/>
      <c r="FL89" s="39"/>
      <c r="FM89" s="39"/>
      <c r="FN89" s="39"/>
      <c r="FO89" s="39"/>
      <c r="FP89" s="39"/>
      <c r="FQ89" s="39"/>
      <c r="FR89" s="39"/>
      <c r="FS89" s="39"/>
      <c r="FT89" s="39"/>
      <c r="FU89" s="39"/>
      <c r="FV89" s="39"/>
      <c r="FW89" s="39"/>
      <c r="FX89" s="39"/>
      <c r="FY89" s="39"/>
      <c r="FZ89" s="39"/>
      <c r="GA89" s="39"/>
      <c r="GB89" s="39"/>
      <c r="GC89" s="39"/>
      <c r="GD89" s="39"/>
      <c r="GE89" s="39"/>
      <c r="GF89" s="39"/>
      <c r="GG89" s="39"/>
      <c r="GH89" s="39"/>
      <c r="GI89" s="39"/>
      <c r="GJ89" s="39"/>
      <c r="GK89" s="39"/>
      <c r="GL89" s="39"/>
      <c r="GM89" s="39"/>
      <c r="GN89" s="39"/>
      <c r="GO89" s="39"/>
      <c r="GP89" s="39"/>
      <c r="GQ89" s="39"/>
      <c r="GR89" s="39"/>
      <c r="GS89" s="39"/>
      <c r="GT89" s="39"/>
      <c r="GU89" s="39"/>
      <c r="GV89" s="39"/>
      <c r="GW89" s="39"/>
      <c r="GX89" s="39"/>
      <c r="GY89" s="39"/>
      <c r="GZ89" s="39"/>
      <c r="HA89" s="39"/>
      <c r="HB89" s="39"/>
      <c r="HC89" s="39"/>
      <c r="HD89" s="39"/>
      <c r="HE89" s="39"/>
      <c r="HF89" s="39"/>
      <c r="HG89" s="39"/>
      <c r="HH89" s="39"/>
      <c r="HI89" s="39"/>
      <c r="HJ89" s="39"/>
      <c r="HK89" s="39"/>
      <c r="HL89" s="39"/>
      <c r="HM89" s="39"/>
      <c r="HN89" s="39"/>
      <c r="HO89" s="39"/>
      <c r="HP89" s="39"/>
      <c r="HQ89" s="39"/>
      <c r="HR89" s="39"/>
      <c r="HS89" s="39"/>
      <c r="HT89" s="39"/>
      <c r="HU89" s="39"/>
      <c r="HV89" s="39"/>
      <c r="HW89" s="39"/>
      <c r="HX89" s="39"/>
      <c r="HY89" s="39"/>
      <c r="HZ89" s="39"/>
      <c r="IA89" s="39"/>
      <c r="IB89" s="39"/>
      <c r="IC89" s="39"/>
      <c r="ID89" s="39"/>
      <c r="IE89" s="39"/>
      <c r="IF89" s="39"/>
      <c r="IG89" s="39"/>
      <c r="IH89" s="39"/>
      <c r="II89" s="39"/>
      <c r="IJ89" s="39"/>
      <c r="IK89" s="39"/>
      <c r="IL89" s="39"/>
      <c r="IM89" s="39"/>
      <c r="IN89" s="39"/>
      <c r="IO89" s="39"/>
      <c r="IP89" s="39"/>
      <c r="IQ89" s="39"/>
      <c r="IR89" s="39"/>
      <c r="IS89" s="39"/>
      <c r="IT89" s="39"/>
      <c r="IU89" s="39"/>
      <c r="IV89" s="39"/>
      <c r="IW89" s="39"/>
    </row>
    <row r="90" customFormat="false" ht="12.95" hidden="false" customHeight="true" outlineLevel="0" collapsed="false">
      <c r="A90" s="95"/>
      <c r="B90" s="38"/>
      <c r="C90" s="39"/>
      <c r="D90" s="96"/>
      <c r="E90" s="39"/>
      <c r="F90" s="71"/>
      <c r="G90" s="71"/>
      <c r="H90" s="39"/>
      <c r="I90" s="39"/>
      <c r="J90" s="39"/>
      <c r="K90" s="71"/>
      <c r="L90" s="39"/>
      <c r="M90" s="39"/>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0"/>
      <c r="AX90" s="71"/>
      <c r="AY90" s="71"/>
      <c r="AZ90" s="39"/>
      <c r="BA90" s="71"/>
      <c r="BB90" s="71"/>
      <c r="BC90" s="71"/>
      <c r="BD90" s="39"/>
      <c r="BE90" s="71"/>
      <c r="BF90" s="71"/>
      <c r="BG90" s="48"/>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9"/>
      <c r="GJ90" s="39"/>
      <c r="GK90" s="39"/>
      <c r="GL90" s="39"/>
      <c r="GM90" s="39"/>
      <c r="GN90" s="39"/>
      <c r="GO90" s="39"/>
      <c r="GP90" s="39"/>
      <c r="GQ90" s="39"/>
      <c r="GR90" s="39"/>
      <c r="GS90" s="39"/>
      <c r="GT90" s="39"/>
      <c r="GU90" s="39"/>
      <c r="GV90" s="39"/>
      <c r="GW90" s="39"/>
      <c r="GX90" s="39"/>
      <c r="GY90" s="39"/>
      <c r="GZ90" s="39"/>
      <c r="HA90" s="39"/>
      <c r="HB90" s="39"/>
      <c r="HC90" s="39"/>
      <c r="HD90" s="39"/>
      <c r="HE90" s="39"/>
      <c r="HF90" s="39"/>
      <c r="HG90" s="39"/>
      <c r="HH90" s="39"/>
      <c r="HI90" s="39"/>
      <c r="HJ90" s="39"/>
      <c r="HK90" s="39"/>
      <c r="HL90" s="39"/>
      <c r="HM90" s="39"/>
      <c r="HN90" s="39"/>
      <c r="HO90" s="39"/>
      <c r="HP90" s="39"/>
      <c r="HQ90" s="39"/>
      <c r="HR90" s="39"/>
      <c r="HS90" s="39"/>
      <c r="HT90" s="39"/>
      <c r="HU90" s="39"/>
      <c r="HV90" s="39"/>
      <c r="HW90" s="39"/>
      <c r="HX90" s="39"/>
      <c r="HY90" s="39"/>
      <c r="HZ90" s="39"/>
      <c r="IA90" s="39"/>
      <c r="IB90" s="39"/>
      <c r="IC90" s="39"/>
      <c r="ID90" s="39"/>
      <c r="IE90" s="39"/>
      <c r="IF90" s="39"/>
      <c r="IG90" s="39"/>
      <c r="IH90" s="39"/>
      <c r="II90" s="39"/>
      <c r="IJ90" s="39"/>
      <c r="IK90" s="39"/>
      <c r="IL90" s="39"/>
      <c r="IM90" s="39"/>
      <c r="IN90" s="39"/>
      <c r="IO90" s="39"/>
      <c r="IP90" s="39"/>
      <c r="IQ90" s="39"/>
      <c r="IR90" s="39"/>
      <c r="IS90" s="39"/>
      <c r="IT90" s="39"/>
      <c r="IU90" s="39"/>
      <c r="IV90" s="39"/>
      <c r="IW90" s="39"/>
    </row>
    <row r="91" customFormat="false" ht="12.95" hidden="false" customHeight="true" outlineLevel="0" collapsed="false">
      <c r="A91" s="95" t="s">
        <v>422</v>
      </c>
      <c r="B91" s="38"/>
      <c r="C91" s="39"/>
      <c r="D91" s="96"/>
      <c r="E91" s="39"/>
      <c r="F91" s="71"/>
      <c r="G91" s="71"/>
      <c r="H91" s="39"/>
      <c r="I91" s="39"/>
      <c r="J91" s="39"/>
      <c r="K91" s="71"/>
      <c r="L91" s="39"/>
      <c r="M91" s="39"/>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0"/>
      <c r="AX91" s="71"/>
      <c r="AY91" s="71"/>
      <c r="AZ91" s="39"/>
      <c r="BA91" s="71"/>
      <c r="BB91" s="71"/>
      <c r="BC91" s="71"/>
      <c r="BD91" s="39"/>
      <c r="BE91" s="71"/>
      <c r="BF91" s="71"/>
      <c r="BG91" s="48"/>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c r="FI91" s="39"/>
      <c r="FJ91" s="39"/>
      <c r="FK91" s="39"/>
      <c r="FL91" s="39"/>
      <c r="FM91" s="39"/>
      <c r="FN91" s="39"/>
      <c r="FO91" s="39"/>
      <c r="FP91" s="39"/>
      <c r="FQ91" s="39"/>
      <c r="FR91" s="39"/>
      <c r="FS91" s="39"/>
      <c r="FT91" s="39"/>
      <c r="FU91" s="39"/>
      <c r="FV91" s="39"/>
      <c r="FW91" s="39"/>
      <c r="FX91" s="39"/>
      <c r="FY91" s="39"/>
      <c r="FZ91" s="39"/>
      <c r="GA91" s="39"/>
      <c r="GB91" s="39"/>
      <c r="GC91" s="39"/>
      <c r="GD91" s="39"/>
      <c r="GE91" s="39"/>
      <c r="GF91" s="39"/>
      <c r="GG91" s="39"/>
      <c r="GH91" s="39"/>
      <c r="GI91" s="39"/>
      <c r="GJ91" s="39"/>
      <c r="GK91" s="39"/>
      <c r="GL91" s="39"/>
      <c r="GM91" s="39"/>
      <c r="GN91" s="39"/>
      <c r="GO91" s="39"/>
      <c r="GP91" s="39"/>
      <c r="GQ91" s="39"/>
      <c r="GR91" s="39"/>
      <c r="GS91" s="39"/>
      <c r="GT91" s="39"/>
      <c r="GU91" s="39"/>
      <c r="GV91" s="39"/>
      <c r="GW91" s="39"/>
      <c r="GX91" s="39"/>
      <c r="GY91" s="39"/>
      <c r="GZ91" s="39"/>
      <c r="HA91" s="39"/>
      <c r="HB91" s="39"/>
      <c r="HC91" s="39"/>
      <c r="HD91" s="39"/>
      <c r="HE91" s="39"/>
      <c r="HF91" s="39"/>
      <c r="HG91" s="39"/>
      <c r="HH91" s="39"/>
      <c r="HI91" s="39"/>
      <c r="HJ91" s="39"/>
      <c r="HK91" s="39"/>
      <c r="HL91" s="39"/>
      <c r="HM91" s="39"/>
      <c r="HN91" s="39"/>
      <c r="HO91" s="39"/>
      <c r="HP91" s="39"/>
      <c r="HQ91" s="39"/>
      <c r="HR91" s="39"/>
      <c r="HS91" s="39"/>
      <c r="HT91" s="39"/>
      <c r="HU91" s="39"/>
      <c r="HV91" s="39"/>
      <c r="HW91" s="39"/>
      <c r="HX91" s="39"/>
      <c r="HY91" s="39"/>
      <c r="HZ91" s="39"/>
      <c r="IA91" s="39"/>
      <c r="IB91" s="39"/>
      <c r="IC91" s="39"/>
      <c r="ID91" s="39"/>
      <c r="IE91" s="39"/>
      <c r="IF91" s="39"/>
      <c r="IG91" s="39"/>
      <c r="IH91" s="39"/>
      <c r="II91" s="39"/>
      <c r="IJ91" s="39"/>
      <c r="IK91" s="39"/>
      <c r="IL91" s="39"/>
      <c r="IM91" s="39"/>
      <c r="IN91" s="39"/>
      <c r="IO91" s="39"/>
      <c r="IP91" s="39"/>
      <c r="IQ91" s="39"/>
      <c r="IR91" s="39"/>
      <c r="IS91" s="39"/>
      <c r="IT91" s="39"/>
      <c r="IU91" s="39"/>
      <c r="IV91" s="39"/>
      <c r="IW91" s="39"/>
    </row>
    <row r="92" customFormat="false" ht="12.95" hidden="false" customHeight="true" outlineLevel="0" collapsed="false">
      <c r="A92" s="37" t="n">
        <f aca="false">+'CCs # Master'!A23</f>
        <v>11</v>
      </c>
      <c r="B92" s="39" t="str">
        <f aca="false">+'CCs # Master'!B23</f>
        <v>Political Action Committee</v>
      </c>
      <c r="C92" s="39" t="str">
        <f aca="false">+'CCs # Master'!C23</f>
        <v>Butts, Bob</v>
      </c>
      <c r="D92" s="96" t="n">
        <f aca="false">+'CCs # Master'!D23</f>
        <v>100021</v>
      </c>
      <c r="E92" s="39" t="n">
        <f aca="false">+'CCs # Master'!E23</f>
        <v>0</v>
      </c>
      <c r="F92" s="39" t="n">
        <f aca="false">+'CCs # Master'!F23</f>
        <v>3</v>
      </c>
      <c r="G92" s="39" t="n">
        <f aca="false">+'CCs # Master'!G23</f>
        <v>2</v>
      </c>
      <c r="H92" s="39" t="n">
        <f aca="false">+'CCs # Master'!H23</f>
        <v>128</v>
      </c>
      <c r="I92" s="39" t="n">
        <f aca="false">+'CCs # Master'!I23</f>
        <v>80</v>
      </c>
      <c r="J92" s="39" t="n">
        <f aca="false">+'CCs # Master'!J23</f>
        <v>0</v>
      </c>
      <c r="K92" s="71" t="n">
        <f aca="false">SUM(E92:J92)</f>
        <v>213</v>
      </c>
      <c r="L92" s="39"/>
      <c r="M92" s="39" t="str">
        <f aca="false">+'CCs # Master'!M23</f>
        <v>MMF</v>
      </c>
      <c r="N92" s="39" t="n">
        <f aca="false">+'CCs # Master'!AW23</f>
        <v>213</v>
      </c>
      <c r="O92" s="39" t="n">
        <v>0</v>
      </c>
      <c r="P92" s="39" t="n">
        <f aca="false">+'CCs # Master'!N23</f>
        <v>0</v>
      </c>
      <c r="Q92" s="39" t="n">
        <f aca="false">+'CCs # Master'!O23</f>
        <v>0</v>
      </c>
      <c r="R92" s="39" t="n">
        <f aca="false">+'CCs # Master'!P23</f>
        <v>0</v>
      </c>
      <c r="S92" s="39" t="n">
        <f aca="false">+'CCs # Master'!Q23</f>
        <v>0</v>
      </c>
      <c r="T92" s="39" t="n">
        <f aca="false">+'CCs # Master'!R23</f>
        <v>0</v>
      </c>
      <c r="U92" s="39" t="n">
        <f aca="false">+'CCs # Master'!S23</f>
        <v>0</v>
      </c>
      <c r="V92" s="39" t="n">
        <f aca="false">+'CCs # Master'!T23</f>
        <v>0</v>
      </c>
      <c r="W92" s="39" t="n">
        <f aca="false">+'CCs # Master'!U23</f>
        <v>0</v>
      </c>
      <c r="X92" s="39" t="n">
        <f aca="false">+'CCs # Master'!V23</f>
        <v>0</v>
      </c>
      <c r="Y92" s="39" t="n">
        <f aca="false">+'CCs # Master'!W23</f>
        <v>0</v>
      </c>
      <c r="Z92" s="39" t="n">
        <f aca="false">+'CCs # Master'!X23</f>
        <v>0</v>
      </c>
      <c r="AA92" s="39" t="n">
        <f aca="false">+'CCs # Master'!Y23</f>
        <v>0</v>
      </c>
      <c r="AB92" s="39" t="n">
        <f aca="false">+'CCs # Master'!Z23</f>
        <v>0</v>
      </c>
      <c r="AC92" s="39" t="n">
        <f aca="false">+'CCs # Master'!AA23</f>
        <v>0</v>
      </c>
      <c r="AD92" s="39" t="n">
        <f aca="false">+'CCs # Master'!AB23</f>
        <v>0</v>
      </c>
      <c r="AE92" s="39" t="n">
        <f aca="false">+'CCs # Master'!AC23</f>
        <v>0</v>
      </c>
      <c r="AF92" s="39" t="n">
        <f aca="false">+'CCs # Master'!AD23</f>
        <v>0</v>
      </c>
      <c r="AG92" s="39" t="n">
        <f aca="false">+'CCs # Master'!AE23</f>
        <v>0</v>
      </c>
      <c r="AH92" s="39" t="n">
        <f aca="false">+'CCs # Master'!AF23</f>
        <v>0</v>
      </c>
      <c r="AI92" s="39" t="n">
        <f aca="false">+'CCs # Master'!AG23</f>
        <v>0</v>
      </c>
      <c r="AJ92" s="39" t="n">
        <f aca="false">+'CCs # Master'!AH23</f>
        <v>0</v>
      </c>
      <c r="AK92" s="39" t="n">
        <f aca="false">+'CCs # Master'!AI23</f>
        <v>0</v>
      </c>
      <c r="AL92" s="39" t="n">
        <f aca="false">+'CCs # Master'!AJ23</f>
        <v>0</v>
      </c>
      <c r="AM92" s="39" t="n">
        <f aca="false">+'CCs # Master'!AK23</f>
        <v>0</v>
      </c>
      <c r="AN92" s="39" t="n">
        <f aca="false">+'CCs # Master'!AL23</f>
        <v>0</v>
      </c>
      <c r="AO92" s="39" t="n">
        <f aca="false">+'CCs # Master'!AM23</f>
        <v>0</v>
      </c>
      <c r="AP92" s="39" t="n">
        <f aca="false">+'CCs # Master'!AN23</f>
        <v>0</v>
      </c>
      <c r="AQ92" s="39" t="n">
        <f aca="false">+'CCs # Master'!AO23</f>
        <v>0</v>
      </c>
      <c r="AR92" s="39" t="n">
        <f aca="false">+'CCs # Master'!AP23</f>
        <v>0</v>
      </c>
      <c r="AS92" s="39" t="n">
        <f aca="false">+'CCs # Master'!AQ23</f>
        <v>0</v>
      </c>
      <c r="AT92" s="39" t="n">
        <f aca="false">+'CCs # Master'!AR23</f>
        <v>0</v>
      </c>
      <c r="AU92" s="39" t="n">
        <f aca="false">+'CCs # Master'!AS23</f>
        <v>0</v>
      </c>
      <c r="AV92" s="39" t="n">
        <f aca="false">+'CCs # Master'!AT23</f>
        <v>0</v>
      </c>
      <c r="AW92" s="0"/>
      <c r="AX92" s="71" t="n">
        <f aca="false">SUM(N92:AW92)</f>
        <v>213</v>
      </c>
      <c r="AY92" s="71" t="n">
        <f aca="false">+K92-AX92</f>
        <v>0</v>
      </c>
      <c r="AZ92" s="39"/>
      <c r="BA92" s="39" t="n">
        <f aca="false">+P92+Q92+T92+U92+V92+W92+X92+Y92</f>
        <v>0</v>
      </c>
      <c r="BB92" s="39" t="n">
        <f aca="false">N92</f>
        <v>213</v>
      </c>
      <c r="BC92" s="39" t="n">
        <f aca="false">SUM(P92:AW92)</f>
        <v>0</v>
      </c>
      <c r="BD92" s="39"/>
      <c r="BE92" s="39" t="n">
        <f aca="false">SUM(BB92:BC92)</f>
        <v>213</v>
      </c>
      <c r="BF92" s="39"/>
      <c r="BG92" s="48" t="n">
        <f aca="false">SUM(N92:AW92)</f>
        <v>213</v>
      </c>
      <c r="BH92" s="39" t="n">
        <f aca="false">BE92-BG92</f>
        <v>0</v>
      </c>
      <c r="BI92" s="39"/>
      <c r="BJ92" s="39"/>
      <c r="BK92" s="39"/>
      <c r="BL92" s="39"/>
      <c r="BM92" s="39"/>
      <c r="BN92" s="39"/>
      <c r="BO92" s="39"/>
      <c r="BP92" s="39"/>
      <c r="BQ92" s="39"/>
      <c r="BR92" s="39"/>
      <c r="BS92" s="39"/>
      <c r="BT92" s="39"/>
      <c r="BU92" s="39"/>
      <c r="BV92" s="39"/>
      <c r="BW92" s="39"/>
      <c r="BX92" s="39"/>
      <c r="BY92" s="39"/>
      <c r="BZ92" s="39"/>
      <c r="CA92" s="39"/>
      <c r="CB92" s="39"/>
      <c r="CC92" s="39"/>
      <c r="CD92" s="39"/>
      <c r="CE92" s="39"/>
      <c r="CF92" s="39"/>
      <c r="CG92" s="39"/>
      <c r="CH92" s="39"/>
      <c r="CI92" s="39"/>
      <c r="CJ92" s="39"/>
      <c r="CK92" s="39"/>
      <c r="CL92" s="39"/>
      <c r="CM92" s="39"/>
      <c r="CN92" s="39"/>
      <c r="CO92" s="39"/>
      <c r="CP92" s="39"/>
      <c r="CQ92" s="39"/>
      <c r="CR92" s="39"/>
      <c r="CS92" s="39"/>
      <c r="CT92" s="39"/>
      <c r="CU92" s="39"/>
      <c r="CV92" s="39"/>
      <c r="CW92" s="39"/>
      <c r="CX92" s="39"/>
      <c r="CY92" s="39"/>
      <c r="CZ92" s="39"/>
      <c r="DA92" s="39"/>
      <c r="DB92" s="39"/>
      <c r="DC92" s="39"/>
      <c r="DD92" s="39"/>
      <c r="DE92" s="39"/>
      <c r="DF92" s="39"/>
      <c r="DG92" s="39"/>
      <c r="DH92" s="39"/>
      <c r="DI92" s="39"/>
      <c r="DJ92" s="39"/>
      <c r="DK92" s="39"/>
      <c r="DL92" s="39"/>
      <c r="DM92" s="39"/>
      <c r="DN92" s="39"/>
      <c r="DO92" s="39"/>
      <c r="DP92" s="39"/>
      <c r="DQ92" s="39"/>
      <c r="DR92" s="39"/>
      <c r="DS92" s="39"/>
      <c r="DT92" s="39"/>
      <c r="DU92" s="39"/>
      <c r="DV92" s="39"/>
      <c r="DW92" s="39"/>
      <c r="DX92" s="39"/>
      <c r="DY92" s="39"/>
      <c r="DZ92" s="39"/>
      <c r="EA92" s="39"/>
      <c r="EB92" s="39"/>
      <c r="EC92" s="39"/>
      <c r="ED92" s="39"/>
      <c r="EE92" s="39"/>
      <c r="EF92" s="39"/>
      <c r="EG92" s="39"/>
      <c r="EH92" s="39"/>
      <c r="EI92" s="39"/>
      <c r="EJ92" s="39"/>
      <c r="EK92" s="39"/>
      <c r="EL92" s="39"/>
      <c r="EM92" s="39"/>
      <c r="EN92" s="39"/>
      <c r="EO92" s="39"/>
      <c r="EP92" s="39"/>
      <c r="EQ92" s="39"/>
      <c r="ER92" s="39"/>
      <c r="ES92" s="39"/>
      <c r="ET92" s="39"/>
      <c r="EU92" s="39"/>
      <c r="EV92" s="39"/>
      <c r="EW92" s="39"/>
      <c r="EX92" s="39"/>
      <c r="EY92" s="39"/>
      <c r="EZ92" s="39"/>
      <c r="FA92" s="39"/>
      <c r="FB92" s="39"/>
      <c r="FC92" s="39"/>
      <c r="FD92" s="39"/>
      <c r="FE92" s="39"/>
      <c r="FF92" s="39"/>
      <c r="FG92" s="39"/>
      <c r="FH92" s="39"/>
      <c r="FI92" s="39"/>
      <c r="FJ92" s="39"/>
      <c r="FK92" s="39"/>
      <c r="FL92" s="39"/>
      <c r="FM92" s="39"/>
      <c r="FN92" s="39"/>
      <c r="FO92" s="39"/>
      <c r="FP92" s="39"/>
      <c r="FQ92" s="39"/>
      <c r="FR92" s="39"/>
      <c r="FS92" s="39"/>
      <c r="FT92" s="39"/>
      <c r="FU92" s="39"/>
      <c r="FV92" s="39"/>
      <c r="FW92" s="39"/>
      <c r="FX92" s="39"/>
      <c r="FY92" s="39"/>
      <c r="FZ92" s="39"/>
      <c r="GA92" s="39"/>
      <c r="GB92" s="39"/>
      <c r="GC92" s="39"/>
      <c r="GD92" s="39"/>
      <c r="GE92" s="39"/>
      <c r="GF92" s="39"/>
      <c r="GG92" s="39"/>
      <c r="GH92" s="39"/>
      <c r="GI92" s="39"/>
      <c r="GJ92" s="39"/>
      <c r="GK92" s="39"/>
      <c r="GL92" s="39"/>
      <c r="GM92" s="39"/>
      <c r="GN92" s="39"/>
      <c r="GO92" s="39"/>
      <c r="GP92" s="39"/>
      <c r="GQ92" s="39"/>
      <c r="GR92" s="39"/>
      <c r="GS92" s="39"/>
      <c r="GT92" s="39"/>
      <c r="GU92" s="39"/>
      <c r="GV92" s="39"/>
      <c r="GW92" s="39"/>
      <c r="GX92" s="39"/>
      <c r="GY92" s="39"/>
      <c r="GZ92" s="39"/>
      <c r="HA92" s="39"/>
      <c r="HB92" s="39"/>
      <c r="HC92" s="39"/>
      <c r="HD92" s="39"/>
      <c r="HE92" s="39"/>
      <c r="HF92" s="39"/>
      <c r="HG92" s="39"/>
      <c r="HH92" s="39"/>
      <c r="HI92" s="39"/>
      <c r="HJ92" s="39"/>
      <c r="HK92" s="39"/>
      <c r="HL92" s="39"/>
      <c r="HM92" s="39"/>
      <c r="HN92" s="39"/>
      <c r="HO92" s="39"/>
      <c r="HP92" s="39"/>
      <c r="HQ92" s="39"/>
      <c r="HR92" s="39"/>
      <c r="HS92" s="39"/>
      <c r="HT92" s="39"/>
      <c r="HU92" s="39"/>
      <c r="HV92" s="39"/>
      <c r="HW92" s="39"/>
      <c r="HX92" s="39"/>
      <c r="HY92" s="39"/>
      <c r="HZ92" s="39"/>
      <c r="IA92" s="39"/>
      <c r="IB92" s="39"/>
      <c r="IC92" s="39"/>
      <c r="ID92" s="39"/>
      <c r="IE92" s="39"/>
      <c r="IF92" s="39"/>
      <c r="IG92" s="39"/>
      <c r="IH92" s="39"/>
      <c r="II92" s="39"/>
      <c r="IJ92" s="39"/>
      <c r="IK92" s="39"/>
      <c r="IL92" s="39"/>
      <c r="IM92" s="39"/>
      <c r="IN92" s="39"/>
      <c r="IO92" s="39"/>
      <c r="IP92" s="39"/>
      <c r="IQ92" s="39"/>
      <c r="IR92" s="39"/>
      <c r="IS92" s="39"/>
      <c r="IT92" s="39"/>
      <c r="IU92" s="39"/>
      <c r="IV92" s="39"/>
      <c r="IW92" s="39"/>
    </row>
    <row r="93" customFormat="false" ht="12.95" hidden="false" customHeight="true" outlineLevel="0" collapsed="false">
      <c r="A93" s="37" t="str">
        <f aca="false">+'CCs # Master'!A39</f>
        <v>0011</v>
      </c>
      <c r="B93" s="39" t="str">
        <f aca="false">+'CCs # Master'!B39</f>
        <v>Federal Government Affairs</v>
      </c>
      <c r="C93" s="39" t="str">
        <f aca="false">+'CCs # Master'!C39</f>
        <v>Hillings, Joe </v>
      </c>
      <c r="D93" s="96" t="n">
        <f aca="false">+'CCs # Master'!D39</f>
        <v>100042</v>
      </c>
      <c r="E93" s="39" t="n">
        <f aca="false">+'CCs # Master'!E39</f>
        <v>0</v>
      </c>
      <c r="F93" s="39" t="n">
        <f aca="false">+'CCs # Master'!F39</f>
        <v>1009</v>
      </c>
      <c r="G93" s="39" t="n">
        <f aca="false">+'CCs # Master'!G39</f>
        <v>139</v>
      </c>
      <c r="H93" s="39" t="n">
        <f aca="false">+'CCs # Master'!H39</f>
        <v>694</v>
      </c>
      <c r="I93" s="39" t="n">
        <f aca="false">+'CCs # Master'!I39</f>
        <v>100</v>
      </c>
      <c r="J93" s="39" t="n">
        <f aca="false">+'CCs # Master'!J39</f>
        <v>1</v>
      </c>
      <c r="K93" s="71" t="n">
        <f aca="false">SUM(E93:J93)</f>
        <v>1943</v>
      </c>
      <c r="L93" s="39"/>
      <c r="M93" s="39" t="str">
        <f aca="false">+'CCs # Master'!M39</f>
        <v>Anticipated Resources</v>
      </c>
      <c r="N93" s="39" t="n">
        <f aca="false">+'CCs # Master'!AW39</f>
        <v>1</v>
      </c>
      <c r="O93" s="39" t="n">
        <v>0</v>
      </c>
      <c r="P93" s="39" t="n">
        <f aca="false">+'CCs # Master'!N39</f>
        <v>0</v>
      </c>
      <c r="Q93" s="39" t="n">
        <f aca="false">+'CCs # Master'!O39</f>
        <v>0</v>
      </c>
      <c r="R93" s="39" t="n">
        <f aca="false">+'CCs # Master'!P39</f>
        <v>0</v>
      </c>
      <c r="S93" s="39" t="n">
        <f aca="false">+'CCs # Master'!Q39</f>
        <v>0</v>
      </c>
      <c r="T93" s="39" t="n">
        <f aca="false">+'CCs # Master'!R39</f>
        <v>0</v>
      </c>
      <c r="U93" s="39" t="n">
        <f aca="false">+'CCs # Master'!S39</f>
        <v>0</v>
      </c>
      <c r="V93" s="39" t="n">
        <f aca="false">+'CCs # Master'!T39</f>
        <v>0</v>
      </c>
      <c r="W93" s="39" t="n">
        <f aca="false">+'CCs # Master'!U39</f>
        <v>0</v>
      </c>
      <c r="X93" s="39" t="n">
        <f aca="false">+'CCs # Master'!V39</f>
        <v>0</v>
      </c>
      <c r="Y93" s="39" t="n">
        <f aca="false">+'CCs # Master'!W39</f>
        <v>0</v>
      </c>
      <c r="Z93" s="39" t="n">
        <f aca="false">+'CCs # Master'!X39</f>
        <v>1450</v>
      </c>
      <c r="AA93" s="39" t="n">
        <f aca="false">+'CCs # Master'!Y39</f>
        <v>0</v>
      </c>
      <c r="AB93" s="39" t="n">
        <f aca="false">+'CCs # Master'!Z39</f>
        <v>0</v>
      </c>
      <c r="AC93" s="39" t="n">
        <f aca="false">+'CCs # Master'!AA39</f>
        <v>0</v>
      </c>
      <c r="AD93" s="39" t="n">
        <f aca="false">+'CCs # Master'!AB39</f>
        <v>0</v>
      </c>
      <c r="AE93" s="39" t="n">
        <f aca="false">+'CCs # Master'!AC39</f>
        <v>0</v>
      </c>
      <c r="AF93" s="39" t="n">
        <f aca="false">+'CCs # Master'!AD39</f>
        <v>358</v>
      </c>
      <c r="AG93" s="39" t="n">
        <f aca="false">+'CCs # Master'!AE39</f>
        <v>134</v>
      </c>
      <c r="AH93" s="39" t="n">
        <f aca="false">+'CCs # Master'!AF39</f>
        <v>0</v>
      </c>
      <c r="AI93" s="39" t="n">
        <f aca="false">+'CCs # Master'!AG39</f>
        <v>0</v>
      </c>
      <c r="AJ93" s="39" t="n">
        <f aca="false">+'CCs # Master'!AH39</f>
        <v>0</v>
      </c>
      <c r="AK93" s="39" t="n">
        <f aca="false">+'CCs # Master'!AI39</f>
        <v>0</v>
      </c>
      <c r="AL93" s="39" t="n">
        <f aca="false">+'CCs # Master'!AJ39</f>
        <v>0</v>
      </c>
      <c r="AM93" s="39" t="n">
        <f aca="false">+'CCs # Master'!AK39</f>
        <v>0</v>
      </c>
      <c r="AN93" s="39" t="n">
        <f aca="false">+'CCs # Master'!AL39</f>
        <v>0</v>
      </c>
      <c r="AO93" s="39" t="n">
        <f aca="false">+'CCs # Master'!AM39</f>
        <v>0</v>
      </c>
      <c r="AP93" s="39" t="n">
        <f aca="false">+'CCs # Master'!AN39</f>
        <v>0</v>
      </c>
      <c r="AQ93" s="39" t="n">
        <f aca="false">+'CCs # Master'!AO39</f>
        <v>0</v>
      </c>
      <c r="AR93" s="39" t="n">
        <f aca="false">+'CCs # Master'!AP39</f>
        <v>0</v>
      </c>
      <c r="AS93" s="39" t="n">
        <f aca="false">+'CCs # Master'!AQ39</f>
        <v>0</v>
      </c>
      <c r="AT93" s="39" t="n">
        <f aca="false">+'CCs # Master'!AR39</f>
        <v>0</v>
      </c>
      <c r="AU93" s="39" t="n">
        <f aca="false">+'CCs # Master'!AS39</f>
        <v>0</v>
      </c>
      <c r="AV93" s="39" t="n">
        <f aca="false">+'CCs # Master'!AT39</f>
        <v>0</v>
      </c>
      <c r="AW93" s="0"/>
      <c r="AX93" s="71" t="n">
        <f aca="false">SUM(N93:AW93)</f>
        <v>1943</v>
      </c>
      <c r="AY93" s="71" t="n">
        <f aca="false">+K93-AX93</f>
        <v>0</v>
      </c>
      <c r="AZ93" s="39"/>
      <c r="BA93" s="39" t="n">
        <f aca="false">+P93+Q93+T93+U93+V93+W93+X93+Y93</f>
        <v>0</v>
      </c>
      <c r="BB93" s="39" t="n">
        <f aca="false">N93</f>
        <v>1</v>
      </c>
      <c r="BC93" s="39" t="n">
        <f aca="false">SUM(P93:AW93)</f>
        <v>1942</v>
      </c>
      <c r="BD93" s="39"/>
      <c r="BE93" s="39" t="n">
        <f aca="false">SUM(BB93:BC93)</f>
        <v>1943</v>
      </c>
      <c r="BF93" s="39"/>
      <c r="BG93" s="48" t="n">
        <f aca="false">SUM(N93:AW93)</f>
        <v>1943</v>
      </c>
      <c r="BH93" s="39" t="n">
        <f aca="false">BE93-BG93</f>
        <v>0</v>
      </c>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c r="GI93" s="39"/>
      <c r="GJ93" s="39"/>
      <c r="GK93" s="39"/>
      <c r="GL93" s="39"/>
      <c r="GM93" s="39"/>
      <c r="GN93" s="39"/>
      <c r="GO93" s="39"/>
      <c r="GP93" s="39"/>
      <c r="GQ93" s="39"/>
      <c r="GR93" s="39"/>
      <c r="GS93" s="39"/>
      <c r="GT93" s="39"/>
      <c r="GU93" s="39"/>
      <c r="GV93" s="39"/>
      <c r="GW93" s="39"/>
      <c r="GX93" s="39"/>
      <c r="GY93" s="39"/>
      <c r="GZ93" s="39"/>
      <c r="HA93" s="39"/>
      <c r="HB93" s="39"/>
      <c r="HC93" s="39"/>
      <c r="HD93" s="39"/>
      <c r="HE93" s="39"/>
      <c r="HF93" s="39"/>
      <c r="HG93" s="39"/>
      <c r="HH93" s="39"/>
      <c r="HI93" s="39"/>
      <c r="HJ93" s="39"/>
      <c r="HK93" s="39"/>
      <c r="HL93" s="39"/>
      <c r="HM93" s="39"/>
      <c r="HN93" s="39"/>
      <c r="HO93" s="39"/>
      <c r="HP93" s="39"/>
      <c r="HQ93" s="39"/>
      <c r="HR93" s="39"/>
      <c r="HS93" s="39"/>
      <c r="HT93" s="39"/>
      <c r="HU93" s="39"/>
      <c r="HV93" s="39"/>
      <c r="HW93" s="39"/>
      <c r="HX93" s="39"/>
      <c r="HY93" s="39"/>
      <c r="HZ93" s="39"/>
      <c r="IA93" s="39"/>
      <c r="IB93" s="39"/>
      <c r="IC93" s="39"/>
      <c r="ID93" s="39"/>
      <c r="IE93" s="39"/>
      <c r="IF93" s="39"/>
      <c r="IG93" s="39"/>
      <c r="IH93" s="39"/>
      <c r="II93" s="39"/>
      <c r="IJ93" s="39"/>
      <c r="IK93" s="39"/>
      <c r="IL93" s="39"/>
      <c r="IM93" s="39"/>
      <c r="IN93" s="39"/>
      <c r="IO93" s="39"/>
      <c r="IP93" s="39"/>
      <c r="IQ93" s="39"/>
      <c r="IR93" s="39"/>
      <c r="IS93" s="39"/>
      <c r="IT93" s="39"/>
      <c r="IU93" s="39"/>
      <c r="IV93" s="39"/>
      <c r="IW93" s="39"/>
    </row>
    <row r="94" customFormat="false" ht="12.95" hidden="false" customHeight="true" outlineLevel="0" collapsed="false">
      <c r="A94" s="37" t="str">
        <f aca="false">+'CCs # Master'!A49</f>
        <v>0011</v>
      </c>
      <c r="B94" s="39" t="str">
        <f aca="false">+'CCs # Master'!B49</f>
        <v>Federal Regulatory Affairs</v>
      </c>
      <c r="C94" s="39" t="str">
        <f aca="false">+'CCs # Master'!C49</f>
        <v>Hartsoe, Joe </v>
      </c>
      <c r="D94" s="96" t="n">
        <f aca="false">+'CCs # Master'!D49</f>
        <v>100059</v>
      </c>
      <c r="E94" s="39" t="n">
        <f aca="false">+'CCs # Master'!E49</f>
        <v>0</v>
      </c>
      <c r="F94" s="39" t="n">
        <f aca="false">+'CCs # Master'!F49</f>
        <v>0</v>
      </c>
      <c r="G94" s="39" t="n">
        <f aca="false">+'CCs # Master'!G49</f>
        <v>0</v>
      </c>
      <c r="H94" s="39" t="n">
        <f aca="false">+'CCs # Master'!H49</f>
        <v>0</v>
      </c>
      <c r="I94" s="39" t="n">
        <f aca="false">+'CCs # Master'!I49</f>
        <v>0</v>
      </c>
      <c r="J94" s="39" t="n">
        <f aca="false">+'CCs # Master'!J49</f>
        <v>0</v>
      </c>
      <c r="K94" s="71" t="n">
        <f aca="false">SUM(E94:J94)</f>
        <v>0</v>
      </c>
      <c r="L94" s="39"/>
      <c r="M94" s="39" t="str">
        <f aca="false">+'CCs # Master'!M49</f>
        <v>Anticipated Resources</v>
      </c>
      <c r="N94" s="39" t="n">
        <f aca="false">+'CCs # Master'!AW49</f>
        <v>0</v>
      </c>
      <c r="O94" s="39" t="n">
        <v>0</v>
      </c>
      <c r="P94" s="39" t="n">
        <f aca="false">+'CCs # Master'!N49</f>
        <v>0</v>
      </c>
      <c r="Q94" s="39" t="n">
        <f aca="false">+'CCs # Master'!O49</f>
        <v>0</v>
      </c>
      <c r="R94" s="39" t="n">
        <f aca="false">+'CCs # Master'!P49</f>
        <v>0</v>
      </c>
      <c r="S94" s="39" t="n">
        <f aca="false">+'CCs # Master'!Q49</f>
        <v>0</v>
      </c>
      <c r="T94" s="39" t="n">
        <f aca="false">+'CCs # Master'!R49</f>
        <v>0</v>
      </c>
      <c r="U94" s="39" t="n">
        <f aca="false">+'CCs # Master'!S49</f>
        <v>0</v>
      </c>
      <c r="V94" s="39" t="n">
        <f aca="false">+'CCs # Master'!T49</f>
        <v>0</v>
      </c>
      <c r="W94" s="39" t="n">
        <f aca="false">+'CCs # Master'!U49</f>
        <v>0</v>
      </c>
      <c r="X94" s="39" t="n">
        <f aca="false">+'CCs # Master'!V49</f>
        <v>0</v>
      </c>
      <c r="Y94" s="39" t="n">
        <f aca="false">+'CCs # Master'!W49</f>
        <v>0</v>
      </c>
      <c r="Z94" s="39" t="n">
        <f aca="false">+'CCs # Master'!X49</f>
        <v>0</v>
      </c>
      <c r="AA94" s="39" t="n">
        <f aca="false">+'CCs # Master'!Y49</f>
        <v>0</v>
      </c>
      <c r="AB94" s="39" t="n">
        <f aca="false">+'CCs # Master'!Z49</f>
        <v>0</v>
      </c>
      <c r="AC94" s="39" t="n">
        <f aca="false">+'CCs # Master'!AA49</f>
        <v>0</v>
      </c>
      <c r="AD94" s="39" t="n">
        <f aca="false">+'CCs # Master'!AB49</f>
        <v>0</v>
      </c>
      <c r="AE94" s="39" t="n">
        <f aca="false">+'CCs # Master'!AC49</f>
        <v>0</v>
      </c>
      <c r="AF94" s="39" t="n">
        <f aca="false">+'CCs # Master'!AD49</f>
        <v>0</v>
      </c>
      <c r="AG94" s="39" t="n">
        <f aca="false">+'CCs # Master'!AE49</f>
        <v>0</v>
      </c>
      <c r="AH94" s="39" t="n">
        <f aca="false">+'CCs # Master'!AF49</f>
        <v>0</v>
      </c>
      <c r="AI94" s="39" t="n">
        <f aca="false">+'CCs # Master'!AG49</f>
        <v>0</v>
      </c>
      <c r="AJ94" s="39" t="n">
        <f aca="false">+'CCs # Master'!AH49</f>
        <v>0</v>
      </c>
      <c r="AK94" s="39" t="n">
        <f aca="false">+'CCs # Master'!AI49</f>
        <v>0</v>
      </c>
      <c r="AL94" s="39" t="n">
        <f aca="false">+'CCs # Master'!AJ49</f>
        <v>0</v>
      </c>
      <c r="AM94" s="39" t="n">
        <f aca="false">+'CCs # Master'!AK49</f>
        <v>0</v>
      </c>
      <c r="AN94" s="39" t="n">
        <f aca="false">+'CCs # Master'!AL49</f>
        <v>0</v>
      </c>
      <c r="AO94" s="39" t="n">
        <f aca="false">+'CCs # Master'!AM49</f>
        <v>0</v>
      </c>
      <c r="AP94" s="39" t="n">
        <f aca="false">+'CCs # Master'!AN49</f>
        <v>0</v>
      </c>
      <c r="AQ94" s="39" t="n">
        <f aca="false">+'CCs # Master'!AO49</f>
        <v>0</v>
      </c>
      <c r="AR94" s="39" t="n">
        <f aca="false">+'CCs # Master'!AP49</f>
        <v>0</v>
      </c>
      <c r="AS94" s="39" t="n">
        <f aca="false">+'CCs # Master'!AQ49</f>
        <v>0</v>
      </c>
      <c r="AT94" s="39" t="n">
        <f aca="false">+'CCs # Master'!AR49</f>
        <v>0</v>
      </c>
      <c r="AU94" s="39" t="n">
        <f aca="false">+'CCs # Master'!AS49</f>
        <v>0</v>
      </c>
      <c r="AV94" s="39" t="n">
        <f aca="false">+'CCs # Master'!AT49</f>
        <v>0</v>
      </c>
      <c r="AW94" s="0"/>
      <c r="AX94" s="71" t="n">
        <f aca="false">SUM(N94:AW94)</f>
        <v>0</v>
      </c>
      <c r="AY94" s="71" t="n">
        <f aca="false">+K94-AX94</f>
        <v>0</v>
      </c>
      <c r="AZ94" s="39"/>
      <c r="BA94" s="39" t="n">
        <f aca="false">+P94+Q94+T94+U94+V94+W94+X94+Y94</f>
        <v>0</v>
      </c>
      <c r="BB94" s="39" t="n">
        <f aca="false">N94</f>
        <v>0</v>
      </c>
      <c r="BC94" s="39" t="n">
        <f aca="false">SUM(P94:AW94)</f>
        <v>0</v>
      </c>
      <c r="BD94" s="39"/>
      <c r="BE94" s="39" t="n">
        <f aca="false">SUM(BB94:BC94)</f>
        <v>0</v>
      </c>
      <c r="BF94" s="39"/>
      <c r="BG94" s="48" t="n">
        <f aca="false">SUM(N94:AW94)</f>
        <v>0</v>
      </c>
      <c r="BH94" s="39" t="n">
        <f aca="false">BE94-BG94</f>
        <v>0</v>
      </c>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c r="EU94" s="39"/>
      <c r="EV94" s="39"/>
      <c r="EW94" s="39"/>
      <c r="EX94" s="39"/>
      <c r="EY94" s="39"/>
      <c r="EZ94" s="39"/>
      <c r="FA94" s="39"/>
      <c r="FB94" s="39"/>
      <c r="FC94" s="39"/>
      <c r="FD94" s="39"/>
      <c r="FE94" s="39"/>
      <c r="FF94" s="39"/>
      <c r="FG94" s="39"/>
      <c r="FH94" s="39"/>
      <c r="FI94" s="39"/>
      <c r="FJ94" s="39"/>
      <c r="FK94" s="39"/>
      <c r="FL94" s="39"/>
      <c r="FM94" s="39"/>
      <c r="FN94" s="39"/>
      <c r="FO94" s="39"/>
      <c r="FP94" s="39"/>
      <c r="FQ94" s="39"/>
      <c r="FR94" s="39"/>
      <c r="FS94" s="39"/>
      <c r="FT94" s="39"/>
      <c r="FU94" s="39"/>
      <c r="FV94" s="39"/>
      <c r="FW94" s="39"/>
      <c r="FX94" s="39"/>
      <c r="FY94" s="39"/>
      <c r="FZ94" s="39"/>
      <c r="GA94" s="39"/>
      <c r="GB94" s="39"/>
      <c r="GC94" s="39"/>
      <c r="GD94" s="39"/>
      <c r="GE94" s="39"/>
      <c r="GF94" s="39"/>
      <c r="GG94" s="39"/>
      <c r="GH94" s="39"/>
      <c r="GI94" s="39"/>
      <c r="GJ94" s="39"/>
      <c r="GK94" s="39"/>
      <c r="GL94" s="39"/>
      <c r="GM94" s="39"/>
      <c r="GN94" s="39"/>
      <c r="GO94" s="39"/>
      <c r="GP94" s="39"/>
      <c r="GQ94" s="39"/>
      <c r="GR94" s="39"/>
      <c r="GS94" s="39"/>
      <c r="GT94" s="39"/>
      <c r="GU94" s="39"/>
      <c r="GV94" s="39"/>
      <c r="GW94" s="39"/>
      <c r="GX94" s="39"/>
      <c r="GY94" s="39"/>
      <c r="GZ94" s="39"/>
      <c r="HA94" s="39"/>
      <c r="HB94" s="39"/>
      <c r="HC94" s="39"/>
      <c r="HD94" s="39"/>
      <c r="HE94" s="39"/>
      <c r="HF94" s="39"/>
      <c r="HG94" s="39"/>
      <c r="HH94" s="39"/>
      <c r="HI94" s="39"/>
      <c r="HJ94" s="39"/>
      <c r="HK94" s="39"/>
      <c r="HL94" s="39"/>
      <c r="HM94" s="39"/>
      <c r="HN94" s="39"/>
      <c r="HO94" s="39"/>
      <c r="HP94" s="39"/>
      <c r="HQ94" s="39"/>
      <c r="HR94" s="39"/>
      <c r="HS94" s="39"/>
      <c r="HT94" s="39"/>
      <c r="HU94" s="39"/>
      <c r="HV94" s="39"/>
      <c r="HW94" s="39"/>
      <c r="HX94" s="39"/>
      <c r="HY94" s="39"/>
      <c r="HZ94" s="39"/>
      <c r="IA94" s="39"/>
      <c r="IB94" s="39"/>
      <c r="IC94" s="39"/>
      <c r="ID94" s="39"/>
      <c r="IE94" s="39"/>
      <c r="IF94" s="39"/>
      <c r="IG94" s="39"/>
      <c r="IH94" s="39"/>
      <c r="II94" s="39"/>
      <c r="IJ94" s="39"/>
      <c r="IK94" s="39"/>
      <c r="IL94" s="39"/>
      <c r="IM94" s="39"/>
      <c r="IN94" s="39"/>
      <c r="IO94" s="39"/>
      <c r="IP94" s="39"/>
      <c r="IQ94" s="39"/>
      <c r="IR94" s="39"/>
      <c r="IS94" s="39"/>
      <c r="IT94" s="39"/>
      <c r="IU94" s="39"/>
      <c r="IV94" s="39"/>
      <c r="IW94" s="39"/>
    </row>
    <row r="95" customFormat="false" ht="12.95" hidden="false" customHeight="true" outlineLevel="0" collapsed="false">
      <c r="A95" s="37" t="n">
        <f aca="false">+'CCs # Master'!A50</f>
        <v>11</v>
      </c>
      <c r="B95" s="39" t="str">
        <f aca="false">+'CCs # Master'!B50</f>
        <v>Sr. VP - Governmental Affairs</v>
      </c>
      <c r="C95" s="39" t="str">
        <f aca="false">+'CCs # Master'!C50</f>
        <v>Kean, Steve</v>
      </c>
      <c r="D95" s="96" t="n">
        <f aca="false">+'CCs # Master'!D50</f>
        <v>100061</v>
      </c>
      <c r="E95" s="39" t="n">
        <f aca="false">+'CCs # Master'!E50</f>
        <v>1371</v>
      </c>
      <c r="F95" s="39" t="n">
        <f aca="false">+'CCs # Master'!F50</f>
        <v>216</v>
      </c>
      <c r="G95" s="39" t="n">
        <f aca="false">+'CCs # Master'!G50</f>
        <v>36</v>
      </c>
      <c r="H95" s="39" t="n">
        <f aca="false">+'CCs # Master'!H50</f>
        <v>283</v>
      </c>
      <c r="I95" s="39" t="n">
        <f aca="false">+'CCs # Master'!I50</f>
        <v>298</v>
      </c>
      <c r="J95" s="39" t="n">
        <f aca="false">+'CCs # Master'!J50</f>
        <v>127</v>
      </c>
      <c r="K95" s="71" t="n">
        <f aca="false">SUM(E95:J95)</f>
        <v>2331</v>
      </c>
      <c r="L95" s="39"/>
      <c r="M95" s="39" t="str">
        <f aca="false">+'CCs # Master'!M50</f>
        <v>Retained At Corp</v>
      </c>
      <c r="N95" s="39" t="n">
        <f aca="false">+'CCs # Master'!AW50</f>
        <v>2331</v>
      </c>
      <c r="O95" s="39" t="n">
        <v>0</v>
      </c>
      <c r="P95" s="39" t="n">
        <f aca="false">+'CCs # Master'!N50</f>
        <v>0</v>
      </c>
      <c r="Q95" s="39" t="n">
        <f aca="false">+'CCs # Master'!O50</f>
        <v>0</v>
      </c>
      <c r="R95" s="39" t="n">
        <f aca="false">+'CCs # Master'!P50</f>
        <v>0</v>
      </c>
      <c r="S95" s="39" t="n">
        <f aca="false">+'CCs # Master'!Q50</f>
        <v>0</v>
      </c>
      <c r="T95" s="39" t="n">
        <f aca="false">+'CCs # Master'!R50</f>
        <v>0</v>
      </c>
      <c r="U95" s="39" t="n">
        <f aca="false">+'CCs # Master'!S50</f>
        <v>0</v>
      </c>
      <c r="V95" s="39" t="n">
        <f aca="false">+'CCs # Master'!T50</f>
        <v>0</v>
      </c>
      <c r="W95" s="39" t="n">
        <f aca="false">+'CCs # Master'!U50</f>
        <v>0</v>
      </c>
      <c r="X95" s="39" t="n">
        <f aca="false">+'CCs # Master'!V50</f>
        <v>0</v>
      </c>
      <c r="Y95" s="39" t="n">
        <f aca="false">+'CCs # Master'!W50</f>
        <v>0</v>
      </c>
      <c r="Z95" s="39" t="n">
        <f aca="false">+'CCs # Master'!X50</f>
        <v>0</v>
      </c>
      <c r="AA95" s="39" t="n">
        <f aca="false">+'CCs # Master'!Y50</f>
        <v>0</v>
      </c>
      <c r="AB95" s="39" t="n">
        <f aca="false">+'CCs # Master'!Z50</f>
        <v>0</v>
      </c>
      <c r="AC95" s="39" t="n">
        <f aca="false">+'CCs # Master'!AA50</f>
        <v>0</v>
      </c>
      <c r="AD95" s="39" t="n">
        <f aca="false">+'CCs # Master'!AB50</f>
        <v>0</v>
      </c>
      <c r="AE95" s="39" t="n">
        <f aca="false">+'CCs # Master'!AC50</f>
        <v>0</v>
      </c>
      <c r="AF95" s="39" t="n">
        <f aca="false">+'CCs # Master'!AD50</f>
        <v>0</v>
      </c>
      <c r="AG95" s="39" t="n">
        <f aca="false">+'CCs # Master'!AE50</f>
        <v>0</v>
      </c>
      <c r="AH95" s="39" t="n">
        <f aca="false">+'CCs # Master'!AF50</f>
        <v>0</v>
      </c>
      <c r="AI95" s="39" t="n">
        <f aca="false">+'CCs # Master'!AG50</f>
        <v>0</v>
      </c>
      <c r="AJ95" s="39" t="n">
        <f aca="false">+'CCs # Master'!AH50</f>
        <v>0</v>
      </c>
      <c r="AK95" s="39" t="n">
        <f aca="false">+'CCs # Master'!AI50</f>
        <v>0</v>
      </c>
      <c r="AL95" s="39" t="n">
        <f aca="false">+'CCs # Master'!AJ50</f>
        <v>0</v>
      </c>
      <c r="AM95" s="39" t="n">
        <f aca="false">+'CCs # Master'!AK50</f>
        <v>0</v>
      </c>
      <c r="AN95" s="39" t="n">
        <f aca="false">+'CCs # Master'!AL50</f>
        <v>0</v>
      </c>
      <c r="AO95" s="39" t="n">
        <f aca="false">+'CCs # Master'!AM50</f>
        <v>0</v>
      </c>
      <c r="AP95" s="39" t="n">
        <f aca="false">+'CCs # Master'!AN50</f>
        <v>0</v>
      </c>
      <c r="AQ95" s="39" t="n">
        <f aca="false">+'CCs # Master'!AO50</f>
        <v>0</v>
      </c>
      <c r="AR95" s="39" t="n">
        <f aca="false">+'CCs # Master'!AP50</f>
        <v>0</v>
      </c>
      <c r="AS95" s="39" t="n">
        <f aca="false">+'CCs # Master'!AQ50</f>
        <v>0</v>
      </c>
      <c r="AT95" s="39" t="n">
        <f aca="false">+'CCs # Master'!AR50</f>
        <v>0</v>
      </c>
      <c r="AU95" s="39" t="n">
        <f aca="false">+'CCs # Master'!AS50</f>
        <v>0</v>
      </c>
      <c r="AV95" s="39" t="n">
        <f aca="false">+'CCs # Master'!AT50</f>
        <v>0</v>
      </c>
      <c r="AW95" s="0"/>
      <c r="AX95" s="71" t="n">
        <f aca="false">SUM(N95:AW95)</f>
        <v>2331</v>
      </c>
      <c r="AY95" s="71" t="n">
        <f aca="false">+K95-AX95</f>
        <v>0</v>
      </c>
      <c r="AZ95" s="39"/>
      <c r="BA95" s="39" t="n">
        <f aca="false">+P95+Q95+T95+U95+V95+W95+X95+Y95</f>
        <v>0</v>
      </c>
      <c r="BB95" s="39" t="n">
        <f aca="false">N95</f>
        <v>2331</v>
      </c>
      <c r="BC95" s="39" t="n">
        <f aca="false">SUM(P95:AW95)</f>
        <v>0</v>
      </c>
      <c r="BD95" s="39"/>
      <c r="BE95" s="39" t="n">
        <f aca="false">SUM(BB95:BC95)</f>
        <v>2331</v>
      </c>
      <c r="BF95" s="39"/>
      <c r="BG95" s="48" t="n">
        <f aca="false">SUM(N95:AW95)</f>
        <v>2331</v>
      </c>
      <c r="BH95" s="39" t="n">
        <f aca="false">BE95-BG95</f>
        <v>0</v>
      </c>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c r="EU95" s="39"/>
      <c r="EV95" s="39"/>
      <c r="EW95" s="39"/>
      <c r="EX95" s="39"/>
      <c r="EY95" s="39"/>
      <c r="EZ95" s="39"/>
      <c r="FA95" s="39"/>
      <c r="FB95" s="39"/>
      <c r="FC95" s="39"/>
      <c r="FD95" s="39"/>
      <c r="FE95" s="39"/>
      <c r="FF95" s="39"/>
      <c r="FG95" s="39"/>
      <c r="FH95" s="39"/>
      <c r="FI95" s="39"/>
      <c r="FJ95" s="39"/>
      <c r="FK95" s="39"/>
      <c r="FL95" s="39"/>
      <c r="FM95" s="39"/>
      <c r="FN95" s="39"/>
      <c r="FO95" s="39"/>
      <c r="FP95" s="39"/>
      <c r="FQ95" s="39"/>
      <c r="FR95" s="39"/>
      <c r="FS95" s="39"/>
      <c r="FT95" s="39"/>
      <c r="FU95" s="39"/>
      <c r="FV95" s="39"/>
      <c r="FW95" s="39"/>
      <c r="FX95" s="39"/>
      <c r="FY95" s="39"/>
      <c r="FZ95" s="39"/>
      <c r="GA95" s="39"/>
      <c r="GB95" s="39"/>
      <c r="GC95" s="39"/>
      <c r="GD95" s="39"/>
      <c r="GE95" s="39"/>
      <c r="GF95" s="39"/>
      <c r="GG95" s="39"/>
      <c r="GH95" s="39"/>
      <c r="GI95" s="39"/>
      <c r="GJ95" s="39"/>
      <c r="GK95" s="39"/>
      <c r="GL95" s="39"/>
      <c r="GM95" s="39"/>
      <c r="GN95" s="39"/>
      <c r="GO95" s="39"/>
      <c r="GP95" s="39"/>
      <c r="GQ95" s="39"/>
      <c r="GR95" s="39"/>
      <c r="GS95" s="39"/>
      <c r="GT95" s="39"/>
      <c r="GU95" s="39"/>
      <c r="GV95" s="39"/>
      <c r="GW95" s="39"/>
      <c r="GX95" s="39"/>
      <c r="GY95" s="39"/>
      <c r="GZ95" s="39"/>
      <c r="HA95" s="39"/>
      <c r="HB95" s="39"/>
      <c r="HC95" s="39"/>
      <c r="HD95" s="39"/>
      <c r="HE95" s="39"/>
      <c r="HF95" s="39"/>
      <c r="HG95" s="39"/>
      <c r="HH95" s="39"/>
      <c r="HI95" s="39"/>
      <c r="HJ95" s="39"/>
      <c r="HK95" s="39"/>
      <c r="HL95" s="39"/>
      <c r="HM95" s="39"/>
      <c r="HN95" s="39"/>
      <c r="HO95" s="39"/>
      <c r="HP95" s="39"/>
      <c r="HQ95" s="39"/>
      <c r="HR95" s="39"/>
      <c r="HS95" s="39"/>
      <c r="HT95" s="39"/>
      <c r="HU95" s="39"/>
      <c r="HV95" s="39"/>
      <c r="HW95" s="39"/>
      <c r="HX95" s="39"/>
      <c r="HY95" s="39"/>
      <c r="HZ95" s="39"/>
      <c r="IA95" s="39"/>
      <c r="IB95" s="39"/>
      <c r="IC95" s="39"/>
      <c r="ID95" s="39"/>
      <c r="IE95" s="39"/>
      <c r="IF95" s="39"/>
      <c r="IG95" s="39"/>
      <c r="IH95" s="39"/>
      <c r="II95" s="39"/>
      <c r="IJ95" s="39"/>
      <c r="IK95" s="39"/>
      <c r="IL95" s="39"/>
      <c r="IM95" s="39"/>
      <c r="IN95" s="39"/>
      <c r="IO95" s="39"/>
      <c r="IP95" s="39"/>
      <c r="IQ95" s="39"/>
      <c r="IR95" s="39"/>
      <c r="IS95" s="39"/>
      <c r="IT95" s="39"/>
      <c r="IU95" s="39"/>
      <c r="IV95" s="39"/>
      <c r="IW95" s="39"/>
    </row>
    <row r="96" customFormat="false" ht="12.95" hidden="false" customHeight="true" outlineLevel="0" collapsed="false">
      <c r="A96" s="37" t="str">
        <f aca="false">+'CCs # Master'!A51</f>
        <v>0011</v>
      </c>
      <c r="B96" s="39" t="str">
        <f aca="false">+'CCs # Master'!B51</f>
        <v>Electricity Regulatory Affairs</v>
      </c>
      <c r="C96" s="39" t="str">
        <f aca="false">+'CCs # Master'!C51</f>
        <v>Shapiro, Rick</v>
      </c>
      <c r="D96" s="96" t="n">
        <f aca="false">+'CCs # Master'!D51</f>
        <v>100062</v>
      </c>
      <c r="E96" s="39" t="n">
        <f aca="false">+'CCs # Master'!E51</f>
        <v>10607</v>
      </c>
      <c r="F96" s="39" t="n">
        <f aca="false">+'CCs # Master'!F51</f>
        <v>1173</v>
      </c>
      <c r="G96" s="39" t="n">
        <f aca="false">+'CCs # Master'!G51</f>
        <v>45</v>
      </c>
      <c r="H96" s="39" t="n">
        <f aca="false">+'CCs # Master'!H51</f>
        <v>8835</v>
      </c>
      <c r="I96" s="39" t="n">
        <f aca="false">+'CCs # Master'!I51</f>
        <v>550</v>
      </c>
      <c r="J96" s="39" t="n">
        <f aca="false">+'CCs # Master'!J51</f>
        <v>1148</v>
      </c>
      <c r="K96" s="71" t="n">
        <f aca="false">SUM(E96:J96)</f>
        <v>22358</v>
      </c>
      <c r="L96" s="39"/>
      <c r="M96" s="39" t="str">
        <f aca="false">+'CCs # Master'!M51</f>
        <v>Anticipated Resources</v>
      </c>
      <c r="N96" s="39" t="n">
        <f aca="false">+'CCs # Master'!AW51</f>
        <v>2896</v>
      </c>
      <c r="O96" s="39" t="n">
        <v>0</v>
      </c>
      <c r="P96" s="39" t="n">
        <f aca="false">+'CCs # Master'!N51</f>
        <v>0</v>
      </c>
      <c r="Q96" s="39" t="n">
        <f aca="false">+'CCs # Master'!O51</f>
        <v>0</v>
      </c>
      <c r="R96" s="39" t="n">
        <f aca="false">+'CCs # Master'!P51</f>
        <v>0</v>
      </c>
      <c r="S96" s="39" t="n">
        <f aca="false">+'CCs # Master'!Q51</f>
        <v>0</v>
      </c>
      <c r="T96" s="39" t="n">
        <f aca="false">+'CCs # Master'!R51</f>
        <v>0</v>
      </c>
      <c r="U96" s="39" t="n">
        <f aca="false">+'CCs # Master'!S51</f>
        <v>0</v>
      </c>
      <c r="V96" s="39" t="n">
        <f aca="false">+'CCs # Master'!T51</f>
        <v>0</v>
      </c>
      <c r="W96" s="39" t="n">
        <f aca="false">+'CCs # Master'!U51</f>
        <v>0</v>
      </c>
      <c r="X96" s="39" t="n">
        <f aca="false">+'CCs # Master'!V51</f>
        <v>0</v>
      </c>
      <c r="Y96" s="39" t="n">
        <f aca="false">+'CCs # Master'!W51</f>
        <v>0</v>
      </c>
      <c r="Z96" s="39" t="n">
        <f aca="false">+'CCs # Master'!X51</f>
        <v>8118</v>
      </c>
      <c r="AA96" s="39" t="n">
        <f aca="false">+'CCs # Master'!Y51</f>
        <v>0</v>
      </c>
      <c r="AB96" s="39" t="n">
        <f aca="false">+'CCs # Master'!Z51</f>
        <v>0</v>
      </c>
      <c r="AC96" s="39" t="n">
        <f aca="false">+'CCs # Master'!AA51</f>
        <v>0</v>
      </c>
      <c r="AD96" s="39" t="n">
        <f aca="false">+'CCs # Master'!AB51</f>
        <v>0</v>
      </c>
      <c r="AE96" s="39" t="n">
        <f aca="false">+'CCs # Master'!AC51</f>
        <v>0</v>
      </c>
      <c r="AF96" s="39" t="n">
        <f aca="false">+'CCs # Master'!AD51</f>
        <v>6623</v>
      </c>
      <c r="AG96" s="39" t="n">
        <f aca="false">+'CCs # Master'!AE51</f>
        <v>2421</v>
      </c>
      <c r="AH96" s="39" t="n">
        <f aca="false">+'CCs # Master'!AF51</f>
        <v>0</v>
      </c>
      <c r="AI96" s="39" t="n">
        <f aca="false">+'CCs # Master'!AG51</f>
        <v>0</v>
      </c>
      <c r="AJ96" s="39" t="n">
        <f aca="false">+'CCs # Master'!AH51</f>
        <v>0</v>
      </c>
      <c r="AK96" s="39" t="n">
        <f aca="false">+'CCs # Master'!AI51</f>
        <v>400</v>
      </c>
      <c r="AL96" s="39" t="n">
        <f aca="false">+'CCs # Master'!AJ51</f>
        <v>0</v>
      </c>
      <c r="AM96" s="39" t="n">
        <f aca="false">+'CCs # Master'!AK51</f>
        <v>0</v>
      </c>
      <c r="AN96" s="39" t="n">
        <f aca="false">+'CCs # Master'!AL51</f>
        <v>0</v>
      </c>
      <c r="AO96" s="39" t="n">
        <f aca="false">+'CCs # Master'!AM51</f>
        <v>500</v>
      </c>
      <c r="AP96" s="39" t="n">
        <f aca="false">+'CCs # Master'!AN51</f>
        <v>0</v>
      </c>
      <c r="AQ96" s="39" t="n">
        <f aca="false">+'CCs # Master'!AO51</f>
        <v>900</v>
      </c>
      <c r="AR96" s="39" t="n">
        <f aca="false">+'CCs # Master'!AP51</f>
        <v>500</v>
      </c>
      <c r="AS96" s="39" t="n">
        <f aca="false">+'CCs # Master'!AQ51</f>
        <v>0</v>
      </c>
      <c r="AT96" s="39" t="n">
        <f aca="false">+'CCs # Master'!AR51</f>
        <v>0</v>
      </c>
      <c r="AU96" s="39" t="n">
        <f aca="false">+'CCs # Master'!AS51</f>
        <v>0</v>
      </c>
      <c r="AV96" s="39" t="n">
        <f aca="false">+'CCs # Master'!AT51</f>
        <v>0</v>
      </c>
      <c r="AW96" s="0"/>
      <c r="AX96" s="71" t="n">
        <f aca="false">SUM(N96:AW96)</f>
        <v>22358</v>
      </c>
      <c r="AY96" s="71" t="n">
        <f aca="false">+K96-AX96</f>
        <v>0</v>
      </c>
      <c r="AZ96" s="39"/>
      <c r="BA96" s="39" t="n">
        <f aca="false">+P96+Q96+T96+U96+V96+W96+X96+Y96</f>
        <v>0</v>
      </c>
      <c r="BB96" s="39" t="n">
        <f aca="false">N96</f>
        <v>2896</v>
      </c>
      <c r="BC96" s="39" t="n">
        <f aca="false">SUM(P96:AW96)</f>
        <v>19462</v>
      </c>
      <c r="BD96" s="39"/>
      <c r="BE96" s="39" t="n">
        <f aca="false">SUM(BB96:BC96)</f>
        <v>22358</v>
      </c>
      <c r="BF96" s="39"/>
      <c r="BG96" s="48" t="n">
        <f aca="false">SUM(N96:AW96)</f>
        <v>22358</v>
      </c>
      <c r="BH96" s="39" t="n">
        <f aca="false">BE96-BG96</f>
        <v>0</v>
      </c>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c r="CX96" s="39"/>
      <c r="CY96" s="39"/>
      <c r="CZ96" s="39"/>
      <c r="DA96" s="39"/>
      <c r="DB96" s="39"/>
      <c r="DC96" s="39"/>
      <c r="DD96" s="39"/>
      <c r="DE96" s="39"/>
      <c r="DF96" s="39"/>
      <c r="DG96" s="39"/>
      <c r="DH96" s="39"/>
      <c r="DI96" s="39"/>
      <c r="DJ96" s="39"/>
      <c r="DK96" s="39"/>
      <c r="DL96" s="39"/>
      <c r="DM96" s="39"/>
      <c r="DN96" s="39"/>
      <c r="DO96" s="39"/>
      <c r="DP96" s="39"/>
      <c r="DQ96" s="39"/>
      <c r="DR96" s="39"/>
      <c r="DS96" s="39"/>
      <c r="DT96" s="39"/>
      <c r="DU96" s="39"/>
      <c r="DV96" s="39"/>
      <c r="DW96" s="39"/>
      <c r="DX96" s="39"/>
      <c r="DY96" s="39"/>
      <c r="DZ96" s="39"/>
      <c r="EA96" s="39"/>
      <c r="EB96" s="39"/>
      <c r="EC96" s="39"/>
      <c r="ED96" s="39"/>
      <c r="EE96" s="39"/>
      <c r="EF96" s="39"/>
      <c r="EG96" s="39"/>
      <c r="EH96" s="39"/>
      <c r="EI96" s="39"/>
      <c r="EJ96" s="39"/>
      <c r="EK96" s="39"/>
      <c r="EL96" s="39"/>
      <c r="EM96" s="39"/>
      <c r="EN96" s="39"/>
      <c r="EO96" s="39"/>
      <c r="EP96" s="39"/>
      <c r="EQ96" s="39"/>
      <c r="ER96" s="39"/>
      <c r="ES96" s="39"/>
      <c r="ET96" s="39"/>
      <c r="EU96" s="39"/>
      <c r="EV96" s="39"/>
      <c r="EW96" s="39"/>
      <c r="EX96" s="39"/>
      <c r="EY96" s="39"/>
      <c r="EZ96" s="39"/>
      <c r="FA96" s="39"/>
      <c r="FB96" s="39"/>
      <c r="FC96" s="39"/>
      <c r="FD96" s="39"/>
      <c r="FE96" s="39"/>
      <c r="FF96" s="39"/>
      <c r="FG96" s="39"/>
      <c r="FH96" s="39"/>
      <c r="FI96" s="39"/>
      <c r="FJ96" s="39"/>
      <c r="FK96" s="39"/>
      <c r="FL96" s="39"/>
      <c r="FM96" s="39"/>
      <c r="FN96" s="39"/>
      <c r="FO96" s="39"/>
      <c r="FP96" s="39"/>
      <c r="FQ96" s="39"/>
      <c r="FR96" s="39"/>
      <c r="FS96" s="39"/>
      <c r="FT96" s="39"/>
      <c r="FU96" s="39"/>
      <c r="FV96" s="39"/>
      <c r="FW96" s="39"/>
      <c r="FX96" s="39"/>
      <c r="FY96" s="39"/>
      <c r="FZ96" s="39"/>
      <c r="GA96" s="39"/>
      <c r="GB96" s="39"/>
      <c r="GC96" s="39"/>
      <c r="GD96" s="39"/>
      <c r="GE96" s="39"/>
      <c r="GF96" s="39"/>
      <c r="GG96" s="39"/>
      <c r="GH96" s="39"/>
      <c r="GI96" s="39"/>
      <c r="GJ96" s="39"/>
      <c r="GK96" s="39"/>
      <c r="GL96" s="39"/>
      <c r="GM96" s="39"/>
      <c r="GN96" s="39"/>
      <c r="GO96" s="39"/>
      <c r="GP96" s="39"/>
      <c r="GQ96" s="39"/>
      <c r="GR96" s="39"/>
      <c r="GS96" s="39"/>
      <c r="GT96" s="39"/>
      <c r="GU96" s="39"/>
      <c r="GV96" s="39"/>
      <c r="GW96" s="39"/>
      <c r="GX96" s="39"/>
      <c r="GY96" s="39"/>
      <c r="GZ96" s="39"/>
      <c r="HA96" s="39"/>
      <c r="HB96" s="39"/>
      <c r="HC96" s="39"/>
      <c r="HD96" s="39"/>
      <c r="HE96" s="39"/>
      <c r="HF96" s="39"/>
      <c r="HG96" s="39"/>
      <c r="HH96" s="39"/>
      <c r="HI96" s="39"/>
      <c r="HJ96" s="39"/>
      <c r="HK96" s="39"/>
      <c r="HL96" s="39"/>
      <c r="HM96" s="39"/>
      <c r="HN96" s="39"/>
      <c r="HO96" s="39"/>
      <c r="HP96" s="39"/>
      <c r="HQ96" s="39"/>
      <c r="HR96" s="39"/>
      <c r="HS96" s="39"/>
      <c r="HT96" s="39"/>
      <c r="HU96" s="39"/>
      <c r="HV96" s="39"/>
      <c r="HW96" s="39"/>
      <c r="HX96" s="39"/>
      <c r="HY96" s="39"/>
      <c r="HZ96" s="39"/>
      <c r="IA96" s="39"/>
      <c r="IB96" s="39"/>
      <c r="IC96" s="39"/>
      <c r="ID96" s="39"/>
      <c r="IE96" s="39"/>
      <c r="IF96" s="39"/>
      <c r="IG96" s="39"/>
      <c r="IH96" s="39"/>
      <c r="II96" s="39"/>
      <c r="IJ96" s="39"/>
      <c r="IK96" s="39"/>
      <c r="IL96" s="39"/>
      <c r="IM96" s="39"/>
      <c r="IN96" s="39"/>
      <c r="IO96" s="39"/>
      <c r="IP96" s="39"/>
      <c r="IQ96" s="39"/>
      <c r="IR96" s="39"/>
      <c r="IS96" s="39"/>
      <c r="IT96" s="39"/>
      <c r="IU96" s="39"/>
      <c r="IV96" s="39"/>
      <c r="IW96" s="39"/>
    </row>
    <row r="97" customFormat="false" ht="12.95" hidden="false" customHeight="true" outlineLevel="0" collapsed="false">
      <c r="A97" s="37" t="str">
        <f aca="false">+'CCs # Master'!A58</f>
        <v>0011</v>
      </c>
      <c r="B97" s="39" t="str">
        <f aca="false">+'CCs # Master'!B58</f>
        <v>State Govt Affairs - TX,OK,AR,LA</v>
      </c>
      <c r="C97" s="39" t="str">
        <f aca="false">+'CCs # Master'!C58</f>
        <v>Shapiro, Rick</v>
      </c>
      <c r="D97" s="96" t="n">
        <f aca="false">+'CCs # Master'!D58</f>
        <v>100072</v>
      </c>
      <c r="E97" s="39" t="n">
        <f aca="false">+'CCs # Master'!E58</f>
        <v>0</v>
      </c>
      <c r="F97" s="39" t="n">
        <f aca="false">+'CCs # Master'!F58</f>
        <v>300</v>
      </c>
      <c r="G97" s="39" t="n">
        <f aca="false">+'CCs # Master'!G58</f>
        <v>46</v>
      </c>
      <c r="H97" s="39" t="n">
        <f aca="false">+'CCs # Master'!H58</f>
        <v>37</v>
      </c>
      <c r="I97" s="39" t="n">
        <f aca="false">+'CCs # Master'!I58</f>
        <v>0</v>
      </c>
      <c r="J97" s="39" t="n">
        <f aca="false">+'CCs # Master'!J58</f>
        <v>0</v>
      </c>
      <c r="K97" s="71" t="n">
        <f aca="false">SUM(E97:J97)</f>
        <v>383</v>
      </c>
      <c r="L97" s="39"/>
      <c r="M97" s="39" t="str">
        <f aca="false">+'CCs # Master'!M58</f>
        <v>Anticipated Resources</v>
      </c>
      <c r="N97" s="39" t="n">
        <f aca="false">+'CCs # Master'!AW58</f>
        <v>0</v>
      </c>
      <c r="O97" s="39" t="n">
        <v>0</v>
      </c>
      <c r="P97" s="39" t="n">
        <f aca="false">+'CCs # Master'!N58</f>
        <v>0</v>
      </c>
      <c r="Q97" s="39" t="n">
        <f aca="false">+'CCs # Master'!O58</f>
        <v>0</v>
      </c>
      <c r="R97" s="39" t="n">
        <f aca="false">+'CCs # Master'!P58</f>
        <v>0</v>
      </c>
      <c r="S97" s="39" t="n">
        <f aca="false">+'CCs # Master'!Q58</f>
        <v>0</v>
      </c>
      <c r="T97" s="39" t="n">
        <f aca="false">+'CCs # Master'!R58</f>
        <v>0</v>
      </c>
      <c r="U97" s="39" t="n">
        <f aca="false">+'CCs # Master'!S58</f>
        <v>0</v>
      </c>
      <c r="V97" s="39" t="n">
        <f aca="false">+'CCs # Master'!T58</f>
        <v>0</v>
      </c>
      <c r="W97" s="39" t="n">
        <f aca="false">+'CCs # Master'!U58</f>
        <v>0</v>
      </c>
      <c r="X97" s="39" t="n">
        <f aca="false">+'CCs # Master'!V58</f>
        <v>0</v>
      </c>
      <c r="Y97" s="39" t="n">
        <f aca="false">+'CCs # Master'!W58</f>
        <v>0</v>
      </c>
      <c r="Z97" s="39" t="n">
        <f aca="false">+'CCs # Master'!X58</f>
        <v>215</v>
      </c>
      <c r="AA97" s="39" t="n">
        <f aca="false">+'CCs # Master'!Y58</f>
        <v>0</v>
      </c>
      <c r="AB97" s="39" t="n">
        <f aca="false">+'CCs # Master'!Z58</f>
        <v>0</v>
      </c>
      <c r="AC97" s="39" t="n">
        <f aca="false">+'CCs # Master'!AA58</f>
        <v>0</v>
      </c>
      <c r="AD97" s="39" t="n">
        <f aca="false">+'CCs # Master'!AB58</f>
        <v>0</v>
      </c>
      <c r="AE97" s="39" t="n">
        <f aca="false">+'CCs # Master'!AC58</f>
        <v>0</v>
      </c>
      <c r="AF97" s="39" t="n">
        <f aca="false">+'CCs # Master'!AD58</f>
        <v>122</v>
      </c>
      <c r="AG97" s="39" t="n">
        <f aca="false">+'CCs # Master'!AE58</f>
        <v>46</v>
      </c>
      <c r="AH97" s="39" t="n">
        <f aca="false">+'CCs # Master'!AF58</f>
        <v>0</v>
      </c>
      <c r="AI97" s="39" t="n">
        <f aca="false">+'CCs # Master'!AG58</f>
        <v>0</v>
      </c>
      <c r="AJ97" s="39" t="n">
        <f aca="false">+'CCs # Master'!AH58</f>
        <v>0</v>
      </c>
      <c r="AK97" s="39" t="n">
        <f aca="false">+'CCs # Master'!AI58</f>
        <v>0</v>
      </c>
      <c r="AL97" s="39" t="n">
        <f aca="false">+'CCs # Master'!AJ58</f>
        <v>0</v>
      </c>
      <c r="AM97" s="39" t="n">
        <f aca="false">+'CCs # Master'!AK58</f>
        <v>0</v>
      </c>
      <c r="AN97" s="39" t="n">
        <f aca="false">+'CCs # Master'!AL58</f>
        <v>0</v>
      </c>
      <c r="AO97" s="39" t="n">
        <f aca="false">+'CCs # Master'!AM58</f>
        <v>0</v>
      </c>
      <c r="AP97" s="39" t="n">
        <f aca="false">+'CCs # Master'!AN58</f>
        <v>0</v>
      </c>
      <c r="AQ97" s="39" t="n">
        <f aca="false">+'CCs # Master'!AO58</f>
        <v>0</v>
      </c>
      <c r="AR97" s="39" t="n">
        <f aca="false">+'CCs # Master'!AP58</f>
        <v>0</v>
      </c>
      <c r="AS97" s="39" t="n">
        <f aca="false">+'CCs # Master'!AQ58</f>
        <v>0</v>
      </c>
      <c r="AT97" s="39" t="n">
        <f aca="false">+'CCs # Master'!AR58</f>
        <v>0</v>
      </c>
      <c r="AU97" s="39" t="n">
        <f aca="false">+'CCs # Master'!AS58</f>
        <v>0</v>
      </c>
      <c r="AV97" s="39" t="n">
        <f aca="false">+'CCs # Master'!AT58</f>
        <v>0</v>
      </c>
      <c r="AW97" s="0"/>
      <c r="AX97" s="71" t="n">
        <f aca="false">SUM(N97:AW97)</f>
        <v>383</v>
      </c>
      <c r="AY97" s="71" t="n">
        <f aca="false">+K97-AX97</f>
        <v>0</v>
      </c>
      <c r="AZ97" s="39"/>
      <c r="BA97" s="39" t="n">
        <f aca="false">+P97+Q97+T97+U97+V97+W97+X97+Y97</f>
        <v>0</v>
      </c>
      <c r="BB97" s="39" t="n">
        <f aca="false">N97</f>
        <v>0</v>
      </c>
      <c r="BC97" s="39" t="n">
        <f aca="false">SUM(P97:AW97)</f>
        <v>383</v>
      </c>
      <c r="BD97" s="39"/>
      <c r="BE97" s="39" t="n">
        <f aca="false">SUM(BB97:BC97)</f>
        <v>383</v>
      </c>
      <c r="BF97" s="39"/>
      <c r="BG97" s="48" t="n">
        <f aca="false">SUM(N97:AW97)</f>
        <v>383</v>
      </c>
      <c r="BH97" s="39" t="n">
        <f aca="false">BE97-BG97</f>
        <v>0</v>
      </c>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c r="HB97" s="39"/>
      <c r="HC97" s="39"/>
      <c r="HD97" s="39"/>
      <c r="HE97" s="39"/>
      <c r="HF97" s="39"/>
      <c r="HG97" s="39"/>
      <c r="HH97" s="39"/>
      <c r="HI97" s="39"/>
      <c r="HJ97" s="39"/>
      <c r="HK97" s="39"/>
      <c r="HL97" s="39"/>
      <c r="HM97" s="39"/>
      <c r="HN97" s="39"/>
      <c r="HO97" s="39"/>
      <c r="HP97" s="39"/>
      <c r="HQ97" s="39"/>
      <c r="HR97" s="39"/>
      <c r="HS97" s="39"/>
      <c r="HT97" s="39"/>
      <c r="HU97" s="39"/>
      <c r="HV97" s="39"/>
      <c r="HW97" s="39"/>
      <c r="HX97" s="39"/>
      <c r="HY97" s="39"/>
      <c r="HZ97" s="39"/>
      <c r="IA97" s="39"/>
      <c r="IB97" s="39"/>
      <c r="IC97" s="39"/>
      <c r="ID97" s="39"/>
      <c r="IE97" s="39"/>
      <c r="IF97" s="39"/>
      <c r="IG97" s="39"/>
      <c r="IH97" s="39"/>
      <c r="II97" s="39"/>
      <c r="IJ97" s="39"/>
      <c r="IK97" s="39"/>
      <c r="IL97" s="39"/>
      <c r="IM97" s="39"/>
      <c r="IN97" s="39"/>
      <c r="IO97" s="39"/>
      <c r="IP97" s="39"/>
      <c r="IQ97" s="39"/>
      <c r="IR97" s="39"/>
      <c r="IS97" s="39"/>
      <c r="IT97" s="39"/>
      <c r="IU97" s="39"/>
      <c r="IV97" s="39"/>
      <c r="IW97" s="39"/>
    </row>
    <row r="98" customFormat="false" ht="12.95" hidden="false" customHeight="true" outlineLevel="0" collapsed="false">
      <c r="A98" s="37" t="str">
        <f aca="false">+'CCs # Master'!A63</f>
        <v>0011</v>
      </c>
      <c r="B98" s="39" t="str">
        <f aca="false">+'CCs # Master'!B63</f>
        <v>State Govt Affairs - California/West</v>
      </c>
      <c r="C98" s="39" t="str">
        <f aca="false">+'CCs # Master'!C63</f>
        <v>Shapiro, Rick</v>
      </c>
      <c r="D98" s="96" t="n">
        <f aca="false">+'CCs # Master'!D63</f>
        <v>100085</v>
      </c>
      <c r="E98" s="39" t="n">
        <f aca="false">+'CCs # Master'!E63</f>
        <v>0</v>
      </c>
      <c r="F98" s="39" t="n">
        <f aca="false">+'CCs # Master'!F63</f>
        <v>395</v>
      </c>
      <c r="G98" s="39" t="n">
        <f aca="false">+'CCs # Master'!G63</f>
        <v>95</v>
      </c>
      <c r="H98" s="39" t="n">
        <f aca="false">+'CCs # Master'!H63</f>
        <v>277</v>
      </c>
      <c r="I98" s="39" t="n">
        <f aca="false">+'CCs # Master'!I63</f>
        <v>0</v>
      </c>
      <c r="J98" s="39" t="n">
        <f aca="false">+'CCs # Master'!J63</f>
        <v>0</v>
      </c>
      <c r="K98" s="71" t="n">
        <f aca="false">SUM(E98:J98)</f>
        <v>767</v>
      </c>
      <c r="L98" s="39"/>
      <c r="M98" s="39" t="str">
        <f aca="false">+'CCs # Master'!M63</f>
        <v>Anticipated Resources</v>
      </c>
      <c r="N98" s="39" t="n">
        <f aca="false">+'CCs # Master'!AW63</f>
        <v>0</v>
      </c>
      <c r="O98" s="39" t="n">
        <v>0</v>
      </c>
      <c r="P98" s="39" t="n">
        <f aca="false">+'CCs # Master'!N63</f>
        <v>0</v>
      </c>
      <c r="Q98" s="39" t="n">
        <f aca="false">+'CCs # Master'!O63</f>
        <v>0</v>
      </c>
      <c r="R98" s="39" t="n">
        <f aca="false">+'CCs # Master'!P63</f>
        <v>0</v>
      </c>
      <c r="S98" s="39" t="n">
        <f aca="false">+'CCs # Master'!Q63</f>
        <v>0</v>
      </c>
      <c r="T98" s="39" t="n">
        <f aca="false">+'CCs # Master'!R63</f>
        <v>0</v>
      </c>
      <c r="U98" s="39" t="n">
        <f aca="false">+'CCs # Master'!S63</f>
        <v>0</v>
      </c>
      <c r="V98" s="39" t="n">
        <f aca="false">+'CCs # Master'!T63</f>
        <v>0</v>
      </c>
      <c r="W98" s="39" t="n">
        <f aca="false">+'CCs # Master'!U63</f>
        <v>0</v>
      </c>
      <c r="X98" s="39" t="n">
        <f aca="false">+'CCs # Master'!V63</f>
        <v>0</v>
      </c>
      <c r="Y98" s="39" t="n">
        <f aca="false">+'CCs # Master'!W63</f>
        <v>0</v>
      </c>
      <c r="Z98" s="39" t="n">
        <f aca="false">+'CCs # Master'!X63</f>
        <v>430</v>
      </c>
      <c r="AA98" s="39" t="n">
        <f aca="false">+'CCs # Master'!Y63</f>
        <v>0</v>
      </c>
      <c r="AB98" s="39" t="n">
        <f aca="false">+'CCs # Master'!Z63</f>
        <v>0</v>
      </c>
      <c r="AC98" s="39" t="n">
        <f aca="false">+'CCs # Master'!AA63</f>
        <v>0</v>
      </c>
      <c r="AD98" s="39" t="n">
        <f aca="false">+'CCs # Master'!AB63</f>
        <v>0</v>
      </c>
      <c r="AE98" s="39" t="n">
        <f aca="false">+'CCs # Master'!AC63</f>
        <v>0</v>
      </c>
      <c r="AF98" s="39" t="n">
        <f aca="false">+'CCs # Master'!AD63</f>
        <v>245</v>
      </c>
      <c r="AG98" s="39" t="n">
        <f aca="false">+'CCs # Master'!AE63</f>
        <v>92</v>
      </c>
      <c r="AH98" s="39" t="n">
        <f aca="false">+'CCs # Master'!AF63</f>
        <v>0</v>
      </c>
      <c r="AI98" s="39" t="n">
        <f aca="false">+'CCs # Master'!AG63</f>
        <v>0</v>
      </c>
      <c r="AJ98" s="39" t="n">
        <f aca="false">+'CCs # Master'!AH63</f>
        <v>0</v>
      </c>
      <c r="AK98" s="39" t="n">
        <f aca="false">+'CCs # Master'!AI63</f>
        <v>0</v>
      </c>
      <c r="AL98" s="39" t="n">
        <f aca="false">+'CCs # Master'!AJ63</f>
        <v>0</v>
      </c>
      <c r="AM98" s="39" t="n">
        <f aca="false">+'CCs # Master'!AK63</f>
        <v>0</v>
      </c>
      <c r="AN98" s="39" t="n">
        <f aca="false">+'CCs # Master'!AL63</f>
        <v>0</v>
      </c>
      <c r="AO98" s="39" t="n">
        <f aca="false">+'CCs # Master'!AM63</f>
        <v>0</v>
      </c>
      <c r="AP98" s="39" t="n">
        <f aca="false">+'CCs # Master'!AN63</f>
        <v>0</v>
      </c>
      <c r="AQ98" s="39" t="n">
        <f aca="false">+'CCs # Master'!AO63</f>
        <v>0</v>
      </c>
      <c r="AR98" s="39" t="n">
        <f aca="false">+'CCs # Master'!AP63</f>
        <v>0</v>
      </c>
      <c r="AS98" s="39" t="n">
        <f aca="false">+'CCs # Master'!AQ63</f>
        <v>0</v>
      </c>
      <c r="AT98" s="39" t="n">
        <f aca="false">+'CCs # Master'!AR63</f>
        <v>0</v>
      </c>
      <c r="AU98" s="39" t="n">
        <f aca="false">+'CCs # Master'!AS63</f>
        <v>0</v>
      </c>
      <c r="AV98" s="39" t="n">
        <f aca="false">+'CCs # Master'!AT63</f>
        <v>0</v>
      </c>
      <c r="AW98" s="0"/>
      <c r="AX98" s="71" t="n">
        <f aca="false">SUM(N98:AW98)</f>
        <v>767</v>
      </c>
      <c r="AY98" s="71" t="n">
        <f aca="false">+K98-AX98</f>
        <v>0</v>
      </c>
      <c r="AZ98" s="39"/>
      <c r="BA98" s="39" t="n">
        <f aca="false">+P98+Q98+T98+U98+V98+W98+X98+Y98</f>
        <v>0</v>
      </c>
      <c r="BB98" s="39" t="n">
        <f aca="false">N98</f>
        <v>0</v>
      </c>
      <c r="BC98" s="39" t="n">
        <f aca="false">SUM(P98:AW98)</f>
        <v>767</v>
      </c>
      <c r="BD98" s="39"/>
      <c r="BE98" s="39" t="n">
        <f aca="false">SUM(BB98:BC98)</f>
        <v>767</v>
      </c>
      <c r="BF98" s="39"/>
      <c r="BG98" s="48" t="n">
        <f aca="false">SUM(N98:AW98)</f>
        <v>767</v>
      </c>
      <c r="BH98" s="39" t="n">
        <f aca="false">BE98-BG98</f>
        <v>0</v>
      </c>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c r="DD98" s="39"/>
      <c r="DE98" s="39"/>
      <c r="DF98" s="39"/>
      <c r="DG98" s="39"/>
      <c r="DH98" s="39"/>
      <c r="DI98" s="39"/>
      <c r="DJ98" s="39"/>
      <c r="DK98" s="39"/>
      <c r="DL98" s="39"/>
      <c r="DM98" s="39"/>
      <c r="DN98" s="39"/>
      <c r="DO98" s="39"/>
      <c r="DP98" s="39"/>
      <c r="DQ98" s="39"/>
      <c r="DR98" s="39"/>
      <c r="DS98" s="39"/>
      <c r="DT98" s="39"/>
      <c r="DU98" s="39"/>
      <c r="DV98" s="39"/>
      <c r="DW98" s="39"/>
      <c r="DX98" s="39"/>
      <c r="DY98" s="39"/>
      <c r="DZ98" s="39"/>
      <c r="EA98" s="39"/>
      <c r="EB98" s="39"/>
      <c r="EC98" s="39"/>
      <c r="ED98" s="39"/>
      <c r="EE98" s="39"/>
      <c r="EF98" s="39"/>
      <c r="EG98" s="39"/>
      <c r="EH98" s="39"/>
      <c r="EI98" s="39"/>
      <c r="EJ98" s="39"/>
      <c r="EK98" s="39"/>
      <c r="EL98" s="39"/>
      <c r="EM98" s="39"/>
      <c r="EN98" s="39"/>
      <c r="EO98" s="39"/>
      <c r="EP98" s="39"/>
      <c r="EQ98" s="39"/>
      <c r="ER98" s="39"/>
      <c r="ES98" s="39"/>
      <c r="ET98" s="39"/>
      <c r="EU98" s="39"/>
      <c r="EV98" s="39"/>
      <c r="EW98" s="39"/>
      <c r="EX98" s="39"/>
      <c r="EY98" s="39"/>
      <c r="EZ98" s="39"/>
      <c r="FA98" s="39"/>
      <c r="FB98" s="39"/>
      <c r="FC98" s="39"/>
      <c r="FD98" s="39"/>
      <c r="FE98" s="39"/>
      <c r="FF98" s="39"/>
      <c r="FG98" s="39"/>
      <c r="FH98" s="39"/>
      <c r="FI98" s="39"/>
      <c r="FJ98" s="39"/>
      <c r="FK98" s="39"/>
      <c r="FL98" s="39"/>
      <c r="FM98" s="39"/>
      <c r="FN98" s="39"/>
      <c r="FO98" s="39"/>
      <c r="FP98" s="39"/>
      <c r="FQ98" s="39"/>
      <c r="FR98" s="39"/>
      <c r="FS98" s="39"/>
      <c r="FT98" s="39"/>
      <c r="FU98" s="39"/>
      <c r="FV98" s="39"/>
      <c r="FW98" s="39"/>
      <c r="FX98" s="39"/>
      <c r="FY98" s="39"/>
      <c r="FZ98" s="39"/>
      <c r="GA98" s="39"/>
      <c r="GB98" s="39"/>
      <c r="GC98" s="39"/>
      <c r="GD98" s="39"/>
      <c r="GE98" s="39"/>
      <c r="GF98" s="39"/>
      <c r="GG98" s="39"/>
      <c r="GH98" s="39"/>
      <c r="GI98" s="39"/>
      <c r="GJ98" s="39"/>
      <c r="GK98" s="39"/>
      <c r="GL98" s="39"/>
      <c r="GM98" s="39"/>
      <c r="GN98" s="39"/>
      <c r="GO98" s="39"/>
      <c r="GP98" s="39"/>
      <c r="GQ98" s="39"/>
      <c r="GR98" s="39"/>
      <c r="GS98" s="39"/>
      <c r="GT98" s="39"/>
      <c r="GU98" s="39"/>
      <c r="GV98" s="39"/>
      <c r="GW98" s="39"/>
      <c r="GX98" s="39"/>
      <c r="GY98" s="39"/>
      <c r="GZ98" s="39"/>
      <c r="HA98" s="39"/>
      <c r="HB98" s="39"/>
      <c r="HC98" s="39"/>
      <c r="HD98" s="39"/>
      <c r="HE98" s="39"/>
      <c r="HF98" s="39"/>
      <c r="HG98" s="39"/>
      <c r="HH98" s="39"/>
      <c r="HI98" s="39"/>
      <c r="HJ98" s="39"/>
      <c r="HK98" s="39"/>
      <c r="HL98" s="39"/>
      <c r="HM98" s="39"/>
      <c r="HN98" s="39"/>
      <c r="HO98" s="39"/>
      <c r="HP98" s="39"/>
      <c r="HQ98" s="39"/>
      <c r="HR98" s="39"/>
      <c r="HS98" s="39"/>
      <c r="HT98" s="39"/>
      <c r="HU98" s="39"/>
      <c r="HV98" s="39"/>
      <c r="HW98" s="39"/>
      <c r="HX98" s="39"/>
      <c r="HY98" s="39"/>
      <c r="HZ98" s="39"/>
      <c r="IA98" s="39"/>
      <c r="IB98" s="39"/>
      <c r="IC98" s="39"/>
      <c r="ID98" s="39"/>
      <c r="IE98" s="39"/>
      <c r="IF98" s="39"/>
      <c r="IG98" s="39"/>
      <c r="IH98" s="39"/>
      <c r="II98" s="39"/>
      <c r="IJ98" s="39"/>
      <c r="IK98" s="39"/>
      <c r="IL98" s="39"/>
      <c r="IM98" s="39"/>
      <c r="IN98" s="39"/>
      <c r="IO98" s="39"/>
      <c r="IP98" s="39"/>
      <c r="IQ98" s="39"/>
      <c r="IR98" s="39"/>
      <c r="IS98" s="39"/>
      <c r="IT98" s="39"/>
      <c r="IU98" s="39"/>
      <c r="IV98" s="39"/>
      <c r="IW98" s="39"/>
    </row>
    <row r="99" customFormat="false" ht="12.95" hidden="false" customHeight="true" outlineLevel="0" collapsed="false">
      <c r="A99" s="37" t="str">
        <f aca="false">+'CCs # Master'!A64</f>
        <v>0011</v>
      </c>
      <c r="B99" s="39" t="str">
        <f aca="false">+'CCs # Master'!B64</f>
        <v>State Govt Affairs - Canada</v>
      </c>
      <c r="C99" s="39" t="str">
        <f aca="false">+'CCs # Master'!C64</f>
        <v>Shapiro, Rick</v>
      </c>
      <c r="D99" s="96" t="n">
        <f aca="false">+'CCs # Master'!D64</f>
        <v>100086</v>
      </c>
      <c r="E99" s="39" t="n">
        <f aca="false">+'CCs # Master'!E64</f>
        <v>422</v>
      </c>
      <c r="F99" s="39" t="n">
        <f aca="false">+'CCs # Master'!F64</f>
        <v>86</v>
      </c>
      <c r="G99" s="39" t="n">
        <f aca="false">+'CCs # Master'!G64</f>
        <v>34</v>
      </c>
      <c r="H99" s="39" t="n">
        <f aca="false">+'CCs # Master'!H64</f>
        <v>248</v>
      </c>
      <c r="I99" s="39" t="n">
        <f aca="false">+'CCs # Master'!I64</f>
        <v>0</v>
      </c>
      <c r="J99" s="39" t="n">
        <f aca="false">+'CCs # Master'!J64</f>
        <v>27</v>
      </c>
      <c r="K99" s="71" t="n">
        <f aca="false">SUM(E99:J99)</f>
        <v>817</v>
      </c>
      <c r="L99" s="39"/>
      <c r="M99" s="39" t="str">
        <f aca="false">+'CCs # Master'!M64</f>
        <v>Anticipated Resources</v>
      </c>
      <c r="N99" s="39" t="n">
        <f aca="false">+'CCs # Master'!AW64</f>
        <v>0</v>
      </c>
      <c r="O99" s="39" t="n">
        <v>0</v>
      </c>
      <c r="P99" s="39" t="n">
        <f aca="false">+'CCs # Master'!N64</f>
        <v>0</v>
      </c>
      <c r="Q99" s="39" t="n">
        <f aca="false">+'CCs # Master'!O64</f>
        <v>0</v>
      </c>
      <c r="R99" s="39" t="n">
        <f aca="false">+'CCs # Master'!P64</f>
        <v>0</v>
      </c>
      <c r="S99" s="39" t="n">
        <f aca="false">+'CCs # Master'!Q64</f>
        <v>0</v>
      </c>
      <c r="T99" s="39" t="n">
        <f aca="false">+'CCs # Master'!R64</f>
        <v>0</v>
      </c>
      <c r="U99" s="39" t="n">
        <f aca="false">+'CCs # Master'!S64</f>
        <v>0</v>
      </c>
      <c r="V99" s="39" t="n">
        <f aca="false">+'CCs # Master'!T64</f>
        <v>0</v>
      </c>
      <c r="W99" s="39" t="n">
        <f aca="false">+'CCs # Master'!U64</f>
        <v>0</v>
      </c>
      <c r="X99" s="39" t="n">
        <f aca="false">+'CCs # Master'!V64</f>
        <v>0</v>
      </c>
      <c r="Y99" s="39" t="n">
        <f aca="false">+'CCs # Master'!W64</f>
        <v>0</v>
      </c>
      <c r="Z99" s="39" t="n">
        <f aca="false">+'CCs # Master'!X64</f>
        <v>817</v>
      </c>
      <c r="AA99" s="39" t="n">
        <f aca="false">+'CCs # Master'!Y64</f>
        <v>0</v>
      </c>
      <c r="AB99" s="39" t="n">
        <f aca="false">+'CCs # Master'!Z64</f>
        <v>0</v>
      </c>
      <c r="AC99" s="39" t="n">
        <f aca="false">+'CCs # Master'!AA64</f>
        <v>0</v>
      </c>
      <c r="AD99" s="39" t="n">
        <f aca="false">+'CCs # Master'!AB64</f>
        <v>0</v>
      </c>
      <c r="AE99" s="39" t="n">
        <f aca="false">+'CCs # Master'!AC64</f>
        <v>0</v>
      </c>
      <c r="AF99" s="39" t="n">
        <f aca="false">+'CCs # Master'!AD64</f>
        <v>0</v>
      </c>
      <c r="AG99" s="39" t="n">
        <f aca="false">+'CCs # Master'!AE64</f>
        <v>0</v>
      </c>
      <c r="AH99" s="39" t="n">
        <f aca="false">+'CCs # Master'!AF64</f>
        <v>0</v>
      </c>
      <c r="AI99" s="39" t="n">
        <f aca="false">+'CCs # Master'!AG64</f>
        <v>0</v>
      </c>
      <c r="AJ99" s="39" t="n">
        <f aca="false">+'CCs # Master'!AH64</f>
        <v>0</v>
      </c>
      <c r="AK99" s="39" t="n">
        <f aca="false">+'CCs # Master'!AI64</f>
        <v>0</v>
      </c>
      <c r="AL99" s="39" t="n">
        <f aca="false">+'CCs # Master'!AJ64</f>
        <v>0</v>
      </c>
      <c r="AM99" s="39" t="n">
        <f aca="false">+'CCs # Master'!AK64</f>
        <v>0</v>
      </c>
      <c r="AN99" s="39" t="n">
        <f aca="false">+'CCs # Master'!AL64</f>
        <v>0</v>
      </c>
      <c r="AO99" s="39" t="n">
        <f aca="false">+'CCs # Master'!AM64</f>
        <v>0</v>
      </c>
      <c r="AP99" s="39" t="n">
        <f aca="false">+'CCs # Master'!AN64</f>
        <v>0</v>
      </c>
      <c r="AQ99" s="39" t="n">
        <f aca="false">+'CCs # Master'!AO64</f>
        <v>0</v>
      </c>
      <c r="AR99" s="39" t="n">
        <f aca="false">+'CCs # Master'!AP64</f>
        <v>0</v>
      </c>
      <c r="AS99" s="39" t="n">
        <f aca="false">+'CCs # Master'!AQ64</f>
        <v>0</v>
      </c>
      <c r="AT99" s="39" t="n">
        <f aca="false">+'CCs # Master'!AR64</f>
        <v>0</v>
      </c>
      <c r="AU99" s="39" t="n">
        <f aca="false">+'CCs # Master'!AS64</f>
        <v>0</v>
      </c>
      <c r="AV99" s="39" t="n">
        <f aca="false">+'CCs # Master'!AT64</f>
        <v>0</v>
      </c>
      <c r="AW99" s="0"/>
      <c r="AX99" s="71" t="n">
        <f aca="false">SUM(N99:AW99)</f>
        <v>817</v>
      </c>
      <c r="AY99" s="71" t="n">
        <f aca="false">+K99-AX99</f>
        <v>0</v>
      </c>
      <c r="AZ99" s="39"/>
      <c r="BA99" s="39" t="n">
        <f aca="false">+P99+Q99+T99+U99+V99+W99+X99+Y99</f>
        <v>0</v>
      </c>
      <c r="BB99" s="39" t="n">
        <f aca="false">N99</f>
        <v>0</v>
      </c>
      <c r="BC99" s="39" t="n">
        <f aca="false">SUM(P99:AW99)</f>
        <v>817</v>
      </c>
      <c r="BD99" s="39"/>
      <c r="BE99" s="39" t="n">
        <f aca="false">SUM(BB99:BC99)</f>
        <v>817</v>
      </c>
      <c r="BF99" s="39"/>
      <c r="BG99" s="48" t="n">
        <f aca="false">SUM(N99:AW99)</f>
        <v>817</v>
      </c>
      <c r="BH99" s="39" t="n">
        <f aca="false">BE99-BG99</f>
        <v>0</v>
      </c>
      <c r="BI99" s="39"/>
      <c r="BJ99" s="39"/>
      <c r="BK99" s="39"/>
      <c r="BL99" s="39"/>
      <c r="BM99" s="39"/>
      <c r="BN99" s="39"/>
      <c r="BO99" s="39"/>
      <c r="BP99" s="39"/>
      <c r="BQ99" s="39"/>
      <c r="BR99" s="39"/>
      <c r="BS99" s="39"/>
      <c r="BT99" s="39"/>
      <c r="BU99" s="39"/>
      <c r="BV99" s="39"/>
      <c r="BW99" s="39"/>
      <c r="BX99" s="39"/>
      <c r="BY99" s="39"/>
      <c r="BZ99" s="39"/>
      <c r="CA99" s="39"/>
      <c r="CB99" s="39"/>
      <c r="CC99" s="39"/>
      <c r="CD99" s="39"/>
      <c r="CE99" s="39"/>
      <c r="CF99" s="39"/>
      <c r="CG99" s="39"/>
      <c r="CH99" s="39"/>
      <c r="CI99" s="39"/>
      <c r="CJ99" s="39"/>
      <c r="CK99" s="39"/>
      <c r="CL99" s="39"/>
      <c r="CM99" s="39"/>
      <c r="CN99" s="39"/>
      <c r="CO99" s="39"/>
      <c r="CP99" s="39"/>
      <c r="CQ99" s="39"/>
      <c r="CR99" s="39"/>
      <c r="CS99" s="39"/>
      <c r="CT99" s="39"/>
      <c r="CU99" s="39"/>
      <c r="CV99" s="39"/>
      <c r="CW99" s="39"/>
      <c r="CX99" s="39"/>
      <c r="CY99" s="39"/>
      <c r="CZ99" s="39"/>
      <c r="DA99" s="39"/>
      <c r="DB99" s="39"/>
      <c r="DC99" s="39"/>
      <c r="DD99" s="39"/>
      <c r="DE99" s="39"/>
      <c r="DF99" s="39"/>
      <c r="DG99" s="39"/>
      <c r="DH99" s="39"/>
      <c r="DI99" s="39"/>
      <c r="DJ99" s="39"/>
      <c r="DK99" s="39"/>
      <c r="DL99" s="39"/>
      <c r="DM99" s="39"/>
      <c r="DN99" s="39"/>
      <c r="DO99" s="39"/>
      <c r="DP99" s="39"/>
      <c r="DQ99" s="39"/>
      <c r="DR99" s="39"/>
      <c r="DS99" s="39"/>
      <c r="DT99" s="39"/>
      <c r="DU99" s="39"/>
      <c r="DV99" s="39"/>
      <c r="DW99" s="39"/>
      <c r="DX99" s="39"/>
      <c r="DY99" s="39"/>
      <c r="DZ99" s="39"/>
      <c r="EA99" s="39"/>
      <c r="EB99" s="39"/>
      <c r="EC99" s="39"/>
      <c r="ED99" s="39"/>
      <c r="EE99" s="39"/>
      <c r="EF99" s="39"/>
      <c r="EG99" s="39"/>
      <c r="EH99" s="39"/>
      <c r="EI99" s="39"/>
      <c r="EJ99" s="39"/>
      <c r="EK99" s="39"/>
      <c r="EL99" s="39"/>
      <c r="EM99" s="39"/>
      <c r="EN99" s="39"/>
      <c r="EO99" s="39"/>
      <c r="EP99" s="39"/>
      <c r="EQ99" s="39"/>
      <c r="ER99" s="39"/>
      <c r="ES99" s="39"/>
      <c r="ET99" s="39"/>
      <c r="EU99" s="39"/>
      <c r="EV99" s="39"/>
      <c r="EW99" s="39"/>
      <c r="EX99" s="39"/>
      <c r="EY99" s="39"/>
      <c r="EZ99" s="39"/>
      <c r="FA99" s="39"/>
      <c r="FB99" s="39"/>
      <c r="FC99" s="39"/>
      <c r="FD99" s="39"/>
      <c r="FE99" s="39"/>
      <c r="FF99" s="39"/>
      <c r="FG99" s="39"/>
      <c r="FH99" s="39"/>
      <c r="FI99" s="39"/>
      <c r="FJ99" s="39"/>
      <c r="FK99" s="39"/>
      <c r="FL99" s="39"/>
      <c r="FM99" s="39"/>
      <c r="FN99" s="39"/>
      <c r="FO99" s="39"/>
      <c r="FP99" s="39"/>
      <c r="FQ99" s="39"/>
      <c r="FR99" s="39"/>
      <c r="FS99" s="39"/>
      <c r="FT99" s="39"/>
      <c r="FU99" s="39"/>
      <c r="FV99" s="39"/>
      <c r="FW99" s="39"/>
      <c r="FX99" s="39"/>
      <c r="FY99" s="39"/>
      <c r="FZ99" s="39"/>
      <c r="GA99" s="39"/>
      <c r="GB99" s="39"/>
      <c r="GC99" s="39"/>
      <c r="GD99" s="39"/>
      <c r="GE99" s="39"/>
      <c r="GF99" s="39"/>
      <c r="GG99" s="39"/>
      <c r="GH99" s="39"/>
      <c r="GI99" s="39"/>
      <c r="GJ99" s="39"/>
      <c r="GK99" s="39"/>
      <c r="GL99" s="39"/>
      <c r="GM99" s="39"/>
      <c r="GN99" s="39"/>
      <c r="GO99" s="39"/>
      <c r="GP99" s="39"/>
      <c r="GQ99" s="39"/>
      <c r="GR99" s="39"/>
      <c r="GS99" s="39"/>
      <c r="GT99" s="39"/>
      <c r="GU99" s="39"/>
      <c r="GV99" s="39"/>
      <c r="GW99" s="39"/>
      <c r="GX99" s="39"/>
      <c r="GY99" s="39"/>
      <c r="GZ99" s="39"/>
      <c r="HA99" s="39"/>
      <c r="HB99" s="39"/>
      <c r="HC99" s="39"/>
      <c r="HD99" s="39"/>
      <c r="HE99" s="39"/>
      <c r="HF99" s="39"/>
      <c r="HG99" s="39"/>
      <c r="HH99" s="39"/>
      <c r="HI99" s="39"/>
      <c r="HJ99" s="39"/>
      <c r="HK99" s="39"/>
      <c r="HL99" s="39"/>
      <c r="HM99" s="39"/>
      <c r="HN99" s="39"/>
      <c r="HO99" s="39"/>
      <c r="HP99" s="39"/>
      <c r="HQ99" s="39"/>
      <c r="HR99" s="39"/>
      <c r="HS99" s="39"/>
      <c r="HT99" s="39"/>
      <c r="HU99" s="39"/>
      <c r="HV99" s="39"/>
      <c r="HW99" s="39"/>
      <c r="HX99" s="39"/>
      <c r="HY99" s="39"/>
      <c r="HZ99" s="39"/>
      <c r="IA99" s="39"/>
      <c r="IB99" s="39"/>
      <c r="IC99" s="39"/>
      <c r="ID99" s="39"/>
      <c r="IE99" s="39"/>
      <c r="IF99" s="39"/>
      <c r="IG99" s="39"/>
      <c r="IH99" s="39"/>
      <c r="II99" s="39"/>
      <c r="IJ99" s="39"/>
      <c r="IK99" s="39"/>
      <c r="IL99" s="39"/>
      <c r="IM99" s="39"/>
      <c r="IN99" s="39"/>
      <c r="IO99" s="39"/>
      <c r="IP99" s="39"/>
      <c r="IQ99" s="39"/>
      <c r="IR99" s="39"/>
      <c r="IS99" s="39"/>
      <c r="IT99" s="39"/>
      <c r="IU99" s="39"/>
      <c r="IV99" s="39"/>
      <c r="IW99" s="39"/>
    </row>
    <row r="100" customFormat="false" ht="12.95" hidden="false" customHeight="true" outlineLevel="0" collapsed="false">
      <c r="A100" s="37" t="str">
        <f aca="false">+'CCs # Master'!A65</f>
        <v>0011</v>
      </c>
      <c r="B100" s="39" t="str">
        <f aca="false">+'CCs # Master'!B65</f>
        <v>State Govt Affairs - Mid Atl/NY/NE</v>
      </c>
      <c r="C100" s="39" t="str">
        <f aca="false">+'CCs # Master'!C65</f>
        <v>Shapiro, Rick</v>
      </c>
      <c r="D100" s="96" t="n">
        <f aca="false">+'CCs # Master'!D65</f>
        <v>100087</v>
      </c>
      <c r="E100" s="39" t="n">
        <f aca="false">+'CCs # Master'!E65</f>
        <v>0</v>
      </c>
      <c r="F100" s="39" t="n">
        <f aca="false">+'CCs # Master'!F65</f>
        <v>400</v>
      </c>
      <c r="G100" s="39" t="n">
        <f aca="false">+'CCs # Master'!G65</f>
        <v>250</v>
      </c>
      <c r="H100" s="39" t="n">
        <f aca="false">+'CCs # Master'!H65</f>
        <v>110</v>
      </c>
      <c r="I100" s="39" t="n">
        <f aca="false">+'CCs # Master'!I65</f>
        <v>0</v>
      </c>
      <c r="J100" s="39" t="n">
        <f aca="false">+'CCs # Master'!J65</f>
        <v>0</v>
      </c>
      <c r="K100" s="71" t="n">
        <f aca="false">SUM(E100:J100)</f>
        <v>760</v>
      </c>
      <c r="L100" s="39"/>
      <c r="M100" s="39" t="str">
        <f aca="false">+'CCs # Master'!M65</f>
        <v>Anticipated Resources</v>
      </c>
      <c r="N100" s="39" t="n">
        <f aca="false">+'CCs # Master'!AW65</f>
        <v>0</v>
      </c>
      <c r="O100" s="39" t="n">
        <v>0</v>
      </c>
      <c r="P100" s="39" t="n">
        <f aca="false">+'CCs # Master'!N65</f>
        <v>0</v>
      </c>
      <c r="Q100" s="39" t="n">
        <f aca="false">+'CCs # Master'!O65</f>
        <v>0</v>
      </c>
      <c r="R100" s="39" t="n">
        <f aca="false">+'CCs # Master'!P65</f>
        <v>0</v>
      </c>
      <c r="S100" s="39" t="n">
        <f aca="false">+'CCs # Master'!Q65</f>
        <v>0</v>
      </c>
      <c r="T100" s="39" t="n">
        <f aca="false">+'CCs # Master'!R65</f>
        <v>0</v>
      </c>
      <c r="U100" s="39" t="n">
        <f aca="false">+'CCs # Master'!S65</f>
        <v>0</v>
      </c>
      <c r="V100" s="39" t="n">
        <f aca="false">+'CCs # Master'!T65</f>
        <v>0</v>
      </c>
      <c r="W100" s="39" t="n">
        <f aca="false">+'CCs # Master'!U65</f>
        <v>0</v>
      </c>
      <c r="X100" s="39" t="n">
        <f aca="false">+'CCs # Master'!V65</f>
        <v>0</v>
      </c>
      <c r="Y100" s="39" t="n">
        <f aca="false">+'CCs # Master'!W65</f>
        <v>0</v>
      </c>
      <c r="Z100" s="39" t="n">
        <f aca="false">+'CCs # Master'!X65</f>
        <v>426</v>
      </c>
      <c r="AA100" s="39" t="n">
        <f aca="false">+'CCs # Master'!Y65</f>
        <v>0</v>
      </c>
      <c r="AB100" s="39" t="n">
        <f aca="false">+'CCs # Master'!Z65</f>
        <v>0</v>
      </c>
      <c r="AC100" s="39" t="n">
        <f aca="false">+'CCs # Master'!AA65</f>
        <v>0</v>
      </c>
      <c r="AD100" s="39" t="n">
        <f aca="false">+'CCs # Master'!AB65</f>
        <v>0</v>
      </c>
      <c r="AE100" s="39" t="n">
        <f aca="false">+'CCs # Master'!AC65</f>
        <v>0</v>
      </c>
      <c r="AF100" s="39" t="n">
        <f aca="false">+'CCs # Master'!AD65</f>
        <v>243</v>
      </c>
      <c r="AG100" s="39" t="n">
        <f aca="false">+'CCs # Master'!AE65</f>
        <v>91</v>
      </c>
      <c r="AH100" s="39" t="n">
        <f aca="false">+'CCs # Master'!AF65</f>
        <v>0</v>
      </c>
      <c r="AI100" s="39" t="n">
        <f aca="false">+'CCs # Master'!AG65</f>
        <v>0</v>
      </c>
      <c r="AJ100" s="39" t="n">
        <f aca="false">+'CCs # Master'!AH65</f>
        <v>0</v>
      </c>
      <c r="AK100" s="39" t="n">
        <f aca="false">+'CCs # Master'!AI65</f>
        <v>0</v>
      </c>
      <c r="AL100" s="39" t="n">
        <f aca="false">+'CCs # Master'!AJ65</f>
        <v>0</v>
      </c>
      <c r="AM100" s="39" t="n">
        <f aca="false">+'CCs # Master'!AK65</f>
        <v>0</v>
      </c>
      <c r="AN100" s="39" t="n">
        <f aca="false">+'CCs # Master'!AL65</f>
        <v>0</v>
      </c>
      <c r="AO100" s="39" t="n">
        <f aca="false">+'CCs # Master'!AM65</f>
        <v>0</v>
      </c>
      <c r="AP100" s="39" t="n">
        <f aca="false">+'CCs # Master'!AN65</f>
        <v>0</v>
      </c>
      <c r="AQ100" s="39" t="n">
        <f aca="false">+'CCs # Master'!AO65</f>
        <v>0</v>
      </c>
      <c r="AR100" s="39" t="n">
        <f aca="false">+'CCs # Master'!AP65</f>
        <v>0</v>
      </c>
      <c r="AS100" s="39" t="n">
        <f aca="false">+'CCs # Master'!AQ65</f>
        <v>0</v>
      </c>
      <c r="AT100" s="39" t="n">
        <f aca="false">+'CCs # Master'!AR65</f>
        <v>0</v>
      </c>
      <c r="AU100" s="39" t="n">
        <f aca="false">+'CCs # Master'!AS65</f>
        <v>0</v>
      </c>
      <c r="AV100" s="39" t="n">
        <f aca="false">+'CCs # Master'!AT65</f>
        <v>0</v>
      </c>
      <c r="AW100" s="0"/>
      <c r="AX100" s="71" t="n">
        <f aca="false">SUM(N100:AW100)</f>
        <v>760</v>
      </c>
      <c r="AY100" s="71" t="n">
        <f aca="false">+K100-AX100</f>
        <v>0</v>
      </c>
      <c r="AZ100" s="39"/>
      <c r="BA100" s="39" t="n">
        <f aca="false">+P100+Q100+T100+U100+V100+W100+X100+Y100</f>
        <v>0</v>
      </c>
      <c r="BB100" s="39" t="n">
        <f aca="false">N100</f>
        <v>0</v>
      </c>
      <c r="BC100" s="39" t="n">
        <f aca="false">SUM(P100:AW100)</f>
        <v>760</v>
      </c>
      <c r="BD100" s="39"/>
      <c r="BE100" s="39" t="n">
        <f aca="false">SUM(BB100:BC100)</f>
        <v>760</v>
      </c>
      <c r="BF100" s="39"/>
      <c r="BG100" s="48" t="n">
        <f aca="false">SUM(N100:AW100)</f>
        <v>760</v>
      </c>
      <c r="BH100" s="39" t="n">
        <f aca="false">BE100-BG100</f>
        <v>0</v>
      </c>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c r="GH100" s="39"/>
      <c r="GI100" s="39"/>
      <c r="GJ100" s="39"/>
      <c r="GK100" s="39"/>
      <c r="GL100" s="39"/>
      <c r="GM100" s="39"/>
      <c r="GN100" s="39"/>
      <c r="GO100" s="39"/>
      <c r="GP100" s="39"/>
      <c r="GQ100" s="39"/>
      <c r="GR100" s="39"/>
      <c r="GS100" s="39"/>
      <c r="GT100" s="39"/>
      <c r="GU100" s="39"/>
      <c r="GV100" s="39"/>
      <c r="GW100" s="39"/>
      <c r="GX100" s="39"/>
      <c r="GY100" s="39"/>
      <c r="GZ100" s="39"/>
      <c r="HA100" s="39"/>
      <c r="HB100" s="39"/>
      <c r="HC100" s="39"/>
      <c r="HD100" s="39"/>
      <c r="HE100" s="39"/>
      <c r="HF100" s="39"/>
      <c r="HG100" s="39"/>
      <c r="HH100" s="39"/>
      <c r="HI100" s="39"/>
      <c r="HJ100" s="39"/>
      <c r="HK100" s="39"/>
      <c r="HL100" s="39"/>
      <c r="HM100" s="39"/>
      <c r="HN100" s="39"/>
      <c r="HO100" s="39"/>
      <c r="HP100" s="39"/>
      <c r="HQ100" s="39"/>
      <c r="HR100" s="39"/>
      <c r="HS100" s="39"/>
      <c r="HT100" s="39"/>
      <c r="HU100" s="39"/>
      <c r="HV100" s="39"/>
      <c r="HW100" s="39"/>
      <c r="HX100" s="39"/>
      <c r="HY100" s="39"/>
      <c r="HZ100" s="39"/>
      <c r="IA100" s="39"/>
      <c r="IB100" s="39"/>
      <c r="IC100" s="39"/>
      <c r="ID100" s="39"/>
      <c r="IE100" s="39"/>
      <c r="IF100" s="39"/>
      <c r="IG100" s="39"/>
      <c r="IH100" s="39"/>
      <c r="II100" s="39"/>
      <c r="IJ100" s="39"/>
      <c r="IK100" s="39"/>
      <c r="IL100" s="39"/>
      <c r="IM100" s="39"/>
      <c r="IN100" s="39"/>
      <c r="IO100" s="39"/>
      <c r="IP100" s="39"/>
      <c r="IQ100" s="39"/>
      <c r="IR100" s="39"/>
      <c r="IS100" s="39"/>
      <c r="IT100" s="39"/>
      <c r="IU100" s="39"/>
      <c r="IV100" s="39"/>
      <c r="IW100" s="39"/>
    </row>
    <row r="101" customFormat="false" ht="12.95" hidden="false" customHeight="true" outlineLevel="0" collapsed="false">
      <c r="A101" s="37" t="str">
        <f aca="false">+'CCs # Master'!A66</f>
        <v>0011</v>
      </c>
      <c r="B101" s="39" t="str">
        <f aca="false">+'CCs # Master'!B66</f>
        <v>State Govt Affairs - Midwest/Great Lakes</v>
      </c>
      <c r="C101" s="39" t="str">
        <f aca="false">+'CCs # Master'!C66</f>
        <v>Shapiro, Rick</v>
      </c>
      <c r="D101" s="96" t="n">
        <f aca="false">+'CCs # Master'!D66</f>
        <v>100088</v>
      </c>
      <c r="E101" s="39" t="n">
        <f aca="false">+'CCs # Master'!E66</f>
        <v>0</v>
      </c>
      <c r="F101" s="39" t="n">
        <f aca="false">+'CCs # Master'!F66</f>
        <v>480</v>
      </c>
      <c r="G101" s="39" t="n">
        <f aca="false">+'CCs # Master'!G66</f>
        <v>15</v>
      </c>
      <c r="H101" s="39" t="n">
        <f aca="false">+'CCs # Master'!H66</f>
        <v>140</v>
      </c>
      <c r="I101" s="39" t="n">
        <f aca="false">+'CCs # Master'!I66</f>
        <v>0</v>
      </c>
      <c r="J101" s="39" t="n">
        <f aca="false">+'CCs # Master'!J66</f>
        <v>0</v>
      </c>
      <c r="K101" s="71" t="n">
        <f aca="false">SUM(E101:J101)</f>
        <v>635</v>
      </c>
      <c r="L101" s="39"/>
      <c r="M101" s="39" t="str">
        <f aca="false">+'CCs # Master'!M66</f>
        <v>Anticipated Resources</v>
      </c>
      <c r="N101" s="39" t="n">
        <f aca="false">+'CCs # Master'!AW66</f>
        <v>0</v>
      </c>
      <c r="O101" s="39" t="n">
        <v>0</v>
      </c>
      <c r="P101" s="39" t="n">
        <f aca="false">+'CCs # Master'!N66</f>
        <v>0</v>
      </c>
      <c r="Q101" s="39" t="n">
        <f aca="false">+'CCs # Master'!O66</f>
        <v>0</v>
      </c>
      <c r="R101" s="39" t="n">
        <f aca="false">+'CCs # Master'!P66</f>
        <v>0</v>
      </c>
      <c r="S101" s="39" t="n">
        <f aca="false">+'CCs # Master'!Q66</f>
        <v>0</v>
      </c>
      <c r="T101" s="39" t="n">
        <f aca="false">+'CCs # Master'!R66</f>
        <v>0</v>
      </c>
      <c r="U101" s="39" t="n">
        <f aca="false">+'CCs # Master'!S66</f>
        <v>0</v>
      </c>
      <c r="V101" s="39" t="n">
        <f aca="false">+'CCs # Master'!T66</f>
        <v>0</v>
      </c>
      <c r="W101" s="39" t="n">
        <f aca="false">+'CCs # Master'!U66</f>
        <v>0</v>
      </c>
      <c r="X101" s="39" t="n">
        <f aca="false">+'CCs # Master'!V66</f>
        <v>0</v>
      </c>
      <c r="Y101" s="39" t="n">
        <f aca="false">+'CCs # Master'!W66</f>
        <v>0</v>
      </c>
      <c r="Z101" s="39" t="n">
        <f aca="false">+'CCs # Master'!X66</f>
        <v>356</v>
      </c>
      <c r="AA101" s="39" t="n">
        <f aca="false">+'CCs # Master'!Y66</f>
        <v>0</v>
      </c>
      <c r="AB101" s="39" t="n">
        <f aca="false">+'CCs # Master'!Z66</f>
        <v>0</v>
      </c>
      <c r="AC101" s="39" t="n">
        <f aca="false">+'CCs # Master'!AA66</f>
        <v>0</v>
      </c>
      <c r="AD101" s="39" t="n">
        <f aca="false">+'CCs # Master'!AB66</f>
        <v>0</v>
      </c>
      <c r="AE101" s="39" t="n">
        <f aca="false">+'CCs # Master'!AC66</f>
        <v>0</v>
      </c>
      <c r="AF101" s="39" t="n">
        <f aca="false">+'CCs # Master'!AD66</f>
        <v>203</v>
      </c>
      <c r="AG101" s="39" t="n">
        <f aca="false">+'CCs # Master'!AE66</f>
        <v>76</v>
      </c>
      <c r="AH101" s="39" t="n">
        <f aca="false">+'CCs # Master'!AF66</f>
        <v>0</v>
      </c>
      <c r="AI101" s="39" t="n">
        <f aca="false">+'CCs # Master'!AG66</f>
        <v>0</v>
      </c>
      <c r="AJ101" s="39" t="n">
        <f aca="false">+'CCs # Master'!AH66</f>
        <v>0</v>
      </c>
      <c r="AK101" s="39" t="n">
        <f aca="false">+'CCs # Master'!AI66</f>
        <v>0</v>
      </c>
      <c r="AL101" s="39" t="n">
        <f aca="false">+'CCs # Master'!AJ66</f>
        <v>0</v>
      </c>
      <c r="AM101" s="39" t="n">
        <f aca="false">+'CCs # Master'!AK66</f>
        <v>0</v>
      </c>
      <c r="AN101" s="39" t="n">
        <f aca="false">+'CCs # Master'!AL66</f>
        <v>0</v>
      </c>
      <c r="AO101" s="39" t="n">
        <f aca="false">+'CCs # Master'!AM66</f>
        <v>0</v>
      </c>
      <c r="AP101" s="39" t="n">
        <f aca="false">+'CCs # Master'!AN66</f>
        <v>0</v>
      </c>
      <c r="AQ101" s="39" t="n">
        <f aca="false">+'CCs # Master'!AO66</f>
        <v>0</v>
      </c>
      <c r="AR101" s="39" t="n">
        <f aca="false">+'CCs # Master'!AP66</f>
        <v>0</v>
      </c>
      <c r="AS101" s="39" t="n">
        <f aca="false">+'CCs # Master'!AQ66</f>
        <v>0</v>
      </c>
      <c r="AT101" s="39" t="n">
        <f aca="false">+'CCs # Master'!AR66</f>
        <v>0</v>
      </c>
      <c r="AU101" s="39" t="n">
        <f aca="false">+'CCs # Master'!AS66</f>
        <v>0</v>
      </c>
      <c r="AV101" s="39" t="n">
        <f aca="false">+'CCs # Master'!AT66</f>
        <v>0</v>
      </c>
      <c r="AW101" s="0"/>
      <c r="AX101" s="71" t="n">
        <f aca="false">SUM(N101:AW101)</f>
        <v>635</v>
      </c>
      <c r="AY101" s="71" t="n">
        <f aca="false">+K101-AX101</f>
        <v>0</v>
      </c>
      <c r="AZ101" s="39"/>
      <c r="BA101" s="39" t="n">
        <f aca="false">+P101+Q101+T101+U101+V101+W101+X101+Y101</f>
        <v>0</v>
      </c>
      <c r="BB101" s="39" t="n">
        <f aca="false">N101</f>
        <v>0</v>
      </c>
      <c r="BC101" s="39" t="n">
        <f aca="false">SUM(P101:AW101)</f>
        <v>635</v>
      </c>
      <c r="BD101" s="39"/>
      <c r="BE101" s="39" t="n">
        <f aca="false">SUM(BB101:BC101)</f>
        <v>635</v>
      </c>
      <c r="BF101" s="39"/>
      <c r="BG101" s="48" t="n">
        <f aca="false">SUM(N101:AW101)</f>
        <v>635</v>
      </c>
      <c r="BH101" s="39" t="n">
        <f aca="false">BE101-BG101</f>
        <v>0</v>
      </c>
      <c r="BI101" s="39"/>
      <c r="BJ101" s="39"/>
      <c r="BK101" s="39"/>
      <c r="BL101" s="39"/>
      <c r="BM101" s="39"/>
      <c r="BN101" s="39"/>
      <c r="BO101" s="39"/>
      <c r="BP101" s="39"/>
      <c r="BQ101" s="39"/>
      <c r="BR101" s="39"/>
      <c r="BS101" s="39"/>
      <c r="BT101" s="39"/>
      <c r="BU101" s="39"/>
      <c r="BV101" s="39"/>
      <c r="BW101" s="39"/>
      <c r="BX101" s="39"/>
      <c r="BY101" s="39"/>
      <c r="BZ101" s="39"/>
      <c r="CA101" s="39"/>
      <c r="CB101" s="39"/>
      <c r="CC101" s="39"/>
      <c r="CD101" s="39"/>
      <c r="CE101" s="39"/>
      <c r="CF101" s="39"/>
      <c r="CG101" s="39"/>
      <c r="CH101" s="39"/>
      <c r="CI101" s="39"/>
      <c r="CJ101" s="39"/>
      <c r="CK101" s="39"/>
      <c r="CL101" s="39"/>
      <c r="CM101" s="39"/>
      <c r="CN101" s="39"/>
      <c r="CO101" s="39"/>
      <c r="CP101" s="39"/>
      <c r="CQ101" s="39"/>
      <c r="CR101" s="39"/>
      <c r="CS101" s="39"/>
      <c r="CT101" s="39"/>
      <c r="CU101" s="39"/>
      <c r="CV101" s="39"/>
      <c r="CW101" s="39"/>
      <c r="CX101" s="39"/>
      <c r="CY101" s="39"/>
      <c r="CZ101" s="39"/>
      <c r="DA101" s="39"/>
      <c r="DB101" s="39"/>
      <c r="DC101" s="39"/>
      <c r="DD101" s="39"/>
      <c r="DE101" s="39"/>
      <c r="DF101" s="39"/>
      <c r="DG101" s="39"/>
      <c r="DH101" s="39"/>
      <c r="DI101" s="39"/>
      <c r="DJ101" s="39"/>
      <c r="DK101" s="39"/>
      <c r="DL101" s="39"/>
      <c r="DM101" s="39"/>
      <c r="DN101" s="39"/>
      <c r="DO101" s="39"/>
      <c r="DP101" s="39"/>
      <c r="DQ101" s="39"/>
      <c r="DR101" s="39"/>
      <c r="DS101" s="39"/>
      <c r="DT101" s="39"/>
      <c r="DU101" s="39"/>
      <c r="DV101" s="39"/>
      <c r="DW101" s="39"/>
      <c r="DX101" s="39"/>
      <c r="DY101" s="39"/>
      <c r="DZ101" s="39"/>
      <c r="EA101" s="39"/>
      <c r="EB101" s="39"/>
      <c r="EC101" s="39"/>
      <c r="ED101" s="39"/>
      <c r="EE101" s="39"/>
      <c r="EF101" s="39"/>
      <c r="EG101" s="39"/>
      <c r="EH101" s="39"/>
      <c r="EI101" s="39"/>
      <c r="EJ101" s="39"/>
      <c r="EK101" s="39"/>
      <c r="EL101" s="39"/>
      <c r="EM101" s="39"/>
      <c r="EN101" s="39"/>
      <c r="EO101" s="39"/>
      <c r="EP101" s="39"/>
      <c r="EQ101" s="39"/>
      <c r="ER101" s="39"/>
      <c r="ES101" s="39"/>
      <c r="ET101" s="39"/>
      <c r="EU101" s="39"/>
      <c r="EV101" s="39"/>
      <c r="EW101" s="39"/>
      <c r="EX101" s="39"/>
      <c r="EY101" s="39"/>
      <c r="EZ101" s="39"/>
      <c r="FA101" s="39"/>
      <c r="FB101" s="39"/>
      <c r="FC101" s="39"/>
      <c r="FD101" s="39"/>
      <c r="FE101" s="39"/>
      <c r="FF101" s="39"/>
      <c r="FG101" s="39"/>
      <c r="FH101" s="39"/>
      <c r="FI101" s="39"/>
      <c r="FJ101" s="39"/>
      <c r="FK101" s="39"/>
      <c r="FL101" s="39"/>
      <c r="FM101" s="39"/>
      <c r="FN101" s="39"/>
      <c r="FO101" s="39"/>
      <c r="FP101" s="39"/>
      <c r="FQ101" s="39"/>
      <c r="FR101" s="39"/>
      <c r="FS101" s="39"/>
      <c r="FT101" s="39"/>
      <c r="FU101" s="39"/>
      <c r="FV101" s="39"/>
      <c r="FW101" s="39"/>
      <c r="FX101" s="39"/>
      <c r="FY101" s="39"/>
      <c r="FZ101" s="39"/>
      <c r="GA101" s="39"/>
      <c r="GB101" s="39"/>
      <c r="GC101" s="39"/>
      <c r="GD101" s="39"/>
      <c r="GE101" s="39"/>
      <c r="GF101" s="39"/>
      <c r="GG101" s="39"/>
      <c r="GH101" s="39"/>
      <c r="GI101" s="39"/>
      <c r="GJ101" s="39"/>
      <c r="GK101" s="39"/>
      <c r="GL101" s="39"/>
      <c r="GM101" s="39"/>
      <c r="GN101" s="39"/>
      <c r="GO101" s="39"/>
      <c r="GP101" s="39"/>
      <c r="GQ101" s="39"/>
      <c r="GR101" s="39"/>
      <c r="GS101" s="39"/>
      <c r="GT101" s="39"/>
      <c r="GU101" s="39"/>
      <c r="GV101" s="39"/>
      <c r="GW101" s="39"/>
      <c r="GX101" s="39"/>
      <c r="GY101" s="39"/>
      <c r="GZ101" s="39"/>
      <c r="HA101" s="39"/>
      <c r="HB101" s="39"/>
      <c r="HC101" s="39"/>
      <c r="HD101" s="39"/>
      <c r="HE101" s="39"/>
      <c r="HF101" s="39"/>
      <c r="HG101" s="39"/>
      <c r="HH101" s="39"/>
      <c r="HI101" s="39"/>
      <c r="HJ101" s="39"/>
      <c r="HK101" s="39"/>
      <c r="HL101" s="39"/>
      <c r="HM101" s="39"/>
      <c r="HN101" s="39"/>
      <c r="HO101" s="39"/>
      <c r="HP101" s="39"/>
      <c r="HQ101" s="39"/>
      <c r="HR101" s="39"/>
      <c r="HS101" s="39"/>
      <c r="HT101" s="39"/>
      <c r="HU101" s="39"/>
      <c r="HV101" s="39"/>
      <c r="HW101" s="39"/>
      <c r="HX101" s="39"/>
      <c r="HY101" s="39"/>
      <c r="HZ101" s="39"/>
      <c r="IA101" s="39"/>
      <c r="IB101" s="39"/>
      <c r="IC101" s="39"/>
      <c r="ID101" s="39"/>
      <c r="IE101" s="39"/>
      <c r="IF101" s="39"/>
      <c r="IG101" s="39"/>
      <c r="IH101" s="39"/>
      <c r="II101" s="39"/>
      <c r="IJ101" s="39"/>
      <c r="IK101" s="39"/>
      <c r="IL101" s="39"/>
      <c r="IM101" s="39"/>
      <c r="IN101" s="39"/>
      <c r="IO101" s="39"/>
      <c r="IP101" s="39"/>
      <c r="IQ101" s="39"/>
      <c r="IR101" s="39"/>
      <c r="IS101" s="39"/>
      <c r="IT101" s="39"/>
      <c r="IU101" s="39"/>
      <c r="IV101" s="39"/>
      <c r="IW101" s="39"/>
    </row>
    <row r="102" customFormat="false" ht="12.95" hidden="false" customHeight="true" outlineLevel="0" collapsed="false">
      <c r="A102" s="37" t="n">
        <f aca="false">+'CCs # Master'!A128</f>
        <v>11</v>
      </c>
      <c r="B102" s="99" t="str">
        <f aca="false">+'CCs # Master'!B128</f>
        <v>Govt Aff Water</v>
      </c>
      <c r="C102" s="99" t="str">
        <f aca="false">+'CCs # Master'!C128</f>
        <v>Kean, Steve</v>
      </c>
      <c r="D102" s="37" t="n">
        <f aca="false">+'CCs # Master'!D128</f>
        <v>100098</v>
      </c>
      <c r="E102" s="39" t="n">
        <f aca="false">+'CCs # Master'!E128</f>
        <v>0</v>
      </c>
      <c r="F102" s="39" t="n">
        <f aca="false">+'CCs # Master'!F128</f>
        <v>0</v>
      </c>
      <c r="G102" s="39" t="n">
        <f aca="false">+'CCs # Master'!G128</f>
        <v>0</v>
      </c>
      <c r="H102" s="39" t="n">
        <f aca="false">+'CCs # Master'!H128</f>
        <v>0</v>
      </c>
      <c r="I102" s="39" t="n">
        <f aca="false">+'CCs # Master'!I128</f>
        <v>0</v>
      </c>
      <c r="J102" s="39" t="n">
        <f aca="false">+'CCs # Master'!J128</f>
        <v>0</v>
      </c>
      <c r="K102" s="71" t="n">
        <f aca="false">SUM(E102:J102)</f>
        <v>0</v>
      </c>
      <c r="L102" s="39"/>
      <c r="M102" s="39" t="str">
        <f aca="false">+'CCs # Master'!M128</f>
        <v>Rerained at Corp</v>
      </c>
      <c r="N102" s="39" t="n">
        <f aca="false">+'CCs # Master'!AW128</f>
        <v>0</v>
      </c>
      <c r="O102" s="39" t="n">
        <v>0</v>
      </c>
      <c r="P102" s="39" t="n">
        <f aca="false">+'CCs # Master'!N128</f>
        <v>0</v>
      </c>
      <c r="Q102" s="39" t="n">
        <f aca="false">+'CCs # Master'!O128</f>
        <v>0</v>
      </c>
      <c r="R102" s="39" t="n">
        <f aca="false">+'CCs # Master'!P128</f>
        <v>0</v>
      </c>
      <c r="S102" s="39" t="n">
        <f aca="false">+'CCs # Master'!Q128</f>
        <v>0</v>
      </c>
      <c r="T102" s="39" t="n">
        <f aca="false">+'CCs # Master'!R128</f>
        <v>0</v>
      </c>
      <c r="U102" s="39" t="n">
        <f aca="false">+'CCs # Master'!S128</f>
        <v>0</v>
      </c>
      <c r="V102" s="39" t="n">
        <f aca="false">+'CCs # Master'!T128</f>
        <v>0</v>
      </c>
      <c r="W102" s="39" t="n">
        <f aca="false">+'CCs # Master'!U128</f>
        <v>0</v>
      </c>
      <c r="X102" s="39" t="n">
        <f aca="false">+'CCs # Master'!V128</f>
        <v>0</v>
      </c>
      <c r="Y102" s="39" t="n">
        <f aca="false">+'CCs # Master'!W128</f>
        <v>0</v>
      </c>
      <c r="Z102" s="39" t="n">
        <f aca="false">+'CCs # Master'!X128</f>
        <v>0</v>
      </c>
      <c r="AA102" s="39" t="n">
        <f aca="false">+'CCs # Master'!Y128</f>
        <v>0</v>
      </c>
      <c r="AB102" s="39" t="n">
        <f aca="false">+'CCs # Master'!Z128</f>
        <v>0</v>
      </c>
      <c r="AC102" s="39" t="n">
        <f aca="false">+'CCs # Master'!AA128</f>
        <v>0</v>
      </c>
      <c r="AD102" s="39" t="n">
        <f aca="false">+'CCs # Master'!AB128</f>
        <v>0</v>
      </c>
      <c r="AE102" s="39" t="n">
        <f aca="false">+'CCs # Master'!AC128</f>
        <v>0</v>
      </c>
      <c r="AF102" s="39" t="n">
        <f aca="false">+'CCs # Master'!AD128</f>
        <v>0</v>
      </c>
      <c r="AG102" s="39" t="n">
        <f aca="false">+'CCs # Master'!AE128</f>
        <v>0</v>
      </c>
      <c r="AH102" s="39" t="n">
        <f aca="false">+'CCs # Master'!AF128</f>
        <v>0</v>
      </c>
      <c r="AI102" s="39" t="n">
        <f aca="false">+'CCs # Master'!AG128</f>
        <v>0</v>
      </c>
      <c r="AJ102" s="39" t="n">
        <f aca="false">+'CCs # Master'!AH128</f>
        <v>0</v>
      </c>
      <c r="AK102" s="39" t="n">
        <f aca="false">+'CCs # Master'!AI128</f>
        <v>0</v>
      </c>
      <c r="AL102" s="39" t="n">
        <f aca="false">+'CCs # Master'!AJ128</f>
        <v>0</v>
      </c>
      <c r="AM102" s="39" t="n">
        <f aca="false">+'CCs # Master'!AK128</f>
        <v>0</v>
      </c>
      <c r="AN102" s="39" t="n">
        <f aca="false">+'CCs # Master'!AL128</f>
        <v>0</v>
      </c>
      <c r="AO102" s="39" t="n">
        <f aca="false">+'CCs # Master'!AM128</f>
        <v>0</v>
      </c>
      <c r="AP102" s="39" t="n">
        <f aca="false">+'CCs # Master'!AN128</f>
        <v>0</v>
      </c>
      <c r="AQ102" s="39" t="n">
        <f aca="false">+'CCs # Master'!AO128</f>
        <v>0</v>
      </c>
      <c r="AR102" s="39" t="n">
        <f aca="false">+'CCs # Master'!AP128</f>
        <v>0</v>
      </c>
      <c r="AS102" s="39" t="n">
        <f aca="false">+'CCs # Master'!AQ128</f>
        <v>0</v>
      </c>
      <c r="AT102" s="39" t="n">
        <f aca="false">+'CCs # Master'!AR128</f>
        <v>0</v>
      </c>
      <c r="AU102" s="39" t="n">
        <f aca="false">+'CCs # Master'!AS128</f>
        <v>0</v>
      </c>
      <c r="AV102" s="39" t="n">
        <f aca="false">+'CCs # Master'!AT128</f>
        <v>0</v>
      </c>
      <c r="AW102" s="0"/>
      <c r="AX102" s="71" t="n">
        <f aca="false">SUM(N102:AW102)</f>
        <v>0</v>
      </c>
      <c r="AY102" s="71" t="n">
        <f aca="false">+K102-AX102</f>
        <v>0</v>
      </c>
      <c r="AZ102" s="39"/>
      <c r="BA102" s="39" t="n">
        <f aca="false">+P102+Q102+T102+U102+V102+W102+X102+Y102</f>
        <v>0</v>
      </c>
      <c r="BB102" s="39" t="n">
        <f aca="false">N102</f>
        <v>0</v>
      </c>
      <c r="BC102" s="39" t="n">
        <f aca="false">SUM(P102:AW102)</f>
        <v>0</v>
      </c>
      <c r="BD102" s="39"/>
      <c r="BE102" s="39" t="n">
        <f aca="false">SUM(BB102:BC102)</f>
        <v>0</v>
      </c>
      <c r="BF102" s="39"/>
      <c r="BG102" s="48" t="n">
        <f aca="false">SUM(N102:AW102)</f>
        <v>0</v>
      </c>
      <c r="BH102" s="39" t="n">
        <f aca="false">BE102-BG102</f>
        <v>0</v>
      </c>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c r="EU102" s="39"/>
      <c r="EV102" s="39"/>
      <c r="EW102" s="39"/>
      <c r="EX102" s="39"/>
      <c r="EY102" s="39"/>
      <c r="EZ102" s="39"/>
      <c r="FA102" s="39"/>
      <c r="FB102" s="39"/>
      <c r="FC102" s="39"/>
      <c r="FD102" s="39"/>
      <c r="FE102" s="39"/>
      <c r="FF102" s="39"/>
      <c r="FG102" s="39"/>
      <c r="FH102" s="39"/>
      <c r="FI102" s="39"/>
      <c r="FJ102" s="39"/>
      <c r="FK102" s="39"/>
      <c r="FL102" s="39"/>
      <c r="FM102" s="39"/>
      <c r="FN102" s="39"/>
      <c r="FO102" s="39"/>
      <c r="FP102" s="39"/>
      <c r="FQ102" s="39"/>
      <c r="FR102" s="39"/>
      <c r="FS102" s="39"/>
      <c r="FT102" s="39"/>
      <c r="FU102" s="39"/>
      <c r="FV102" s="39"/>
      <c r="FW102" s="39"/>
      <c r="FX102" s="39"/>
      <c r="FY102" s="39"/>
      <c r="FZ102" s="39"/>
      <c r="GA102" s="39"/>
      <c r="GB102" s="39"/>
      <c r="GC102" s="39"/>
      <c r="GD102" s="39"/>
      <c r="GE102" s="39"/>
      <c r="GF102" s="39"/>
      <c r="GG102" s="39"/>
      <c r="GH102" s="39"/>
      <c r="GI102" s="39"/>
      <c r="GJ102" s="39"/>
      <c r="GK102" s="39"/>
      <c r="GL102" s="39"/>
      <c r="GM102" s="39"/>
      <c r="GN102" s="39"/>
      <c r="GO102" s="39"/>
      <c r="GP102" s="39"/>
      <c r="GQ102" s="39"/>
      <c r="GR102" s="39"/>
      <c r="GS102" s="39"/>
      <c r="GT102" s="39"/>
      <c r="GU102" s="39"/>
      <c r="GV102" s="39"/>
      <c r="GW102" s="39"/>
      <c r="GX102" s="39"/>
      <c r="GY102" s="39"/>
      <c r="GZ102" s="39"/>
      <c r="HA102" s="39"/>
      <c r="HB102" s="39"/>
      <c r="HC102" s="39"/>
      <c r="HD102" s="39"/>
      <c r="HE102" s="39"/>
      <c r="HF102" s="39"/>
      <c r="HG102" s="39"/>
      <c r="HH102" s="39"/>
      <c r="HI102" s="39"/>
      <c r="HJ102" s="39"/>
      <c r="HK102" s="39"/>
      <c r="HL102" s="39"/>
      <c r="HM102" s="39"/>
      <c r="HN102" s="39"/>
      <c r="HO102" s="39"/>
      <c r="HP102" s="39"/>
      <c r="HQ102" s="39"/>
      <c r="HR102" s="39"/>
      <c r="HS102" s="39"/>
      <c r="HT102" s="39"/>
      <c r="HU102" s="39"/>
      <c r="HV102" s="39"/>
      <c r="HW102" s="39"/>
      <c r="HX102" s="39"/>
      <c r="HY102" s="39"/>
      <c r="HZ102" s="39"/>
      <c r="IA102" s="39"/>
      <c r="IB102" s="39"/>
      <c r="IC102" s="39"/>
      <c r="ID102" s="39"/>
      <c r="IE102" s="39"/>
      <c r="IF102" s="39"/>
      <c r="IG102" s="39"/>
      <c r="IH102" s="39"/>
      <c r="II102" s="39"/>
      <c r="IJ102" s="39"/>
      <c r="IK102" s="39"/>
      <c r="IL102" s="39"/>
      <c r="IM102" s="39"/>
      <c r="IN102" s="39"/>
      <c r="IO102" s="39"/>
      <c r="IP102" s="39"/>
      <c r="IQ102" s="39"/>
      <c r="IR102" s="39"/>
      <c r="IS102" s="39"/>
      <c r="IT102" s="39"/>
      <c r="IU102" s="39"/>
      <c r="IV102" s="39"/>
      <c r="IW102" s="39"/>
    </row>
    <row r="103" customFormat="false" ht="12.95" hidden="false" customHeight="true" outlineLevel="0" collapsed="false">
      <c r="A103" s="37" t="n">
        <f aca="false">+'CCs # Master'!A68</f>
        <v>11</v>
      </c>
      <c r="B103" s="39" t="str">
        <f aca="false">+'CCs # Master'!B68</f>
        <v>Gov't Affairs - Mexico</v>
      </c>
      <c r="C103" s="39" t="str">
        <f aca="false">+'CCs # Master'!C68</f>
        <v>Kean, Steve</v>
      </c>
      <c r="D103" s="96" t="n">
        <f aca="false">+'CCs # Master'!D68</f>
        <v>100100</v>
      </c>
      <c r="E103" s="39" t="n">
        <f aca="false">+'CCs # Master'!E68</f>
        <v>238</v>
      </c>
      <c r="F103" s="39" t="n">
        <f aca="false">+'CCs # Master'!F68</f>
        <v>70</v>
      </c>
      <c r="G103" s="39" t="n">
        <f aca="false">+'CCs # Master'!G68</f>
        <v>6</v>
      </c>
      <c r="H103" s="39" t="n">
        <f aca="false">+'CCs # Master'!H68</f>
        <v>169</v>
      </c>
      <c r="I103" s="39" t="n">
        <f aca="false">+'CCs # Master'!I68</f>
        <v>0</v>
      </c>
      <c r="J103" s="39" t="n">
        <f aca="false">+'CCs # Master'!J68</f>
        <v>24</v>
      </c>
      <c r="K103" s="71" t="n">
        <f aca="false">SUM(E103:J103)</f>
        <v>507</v>
      </c>
      <c r="L103" s="39"/>
      <c r="M103" s="39" t="str">
        <f aca="false">+'CCs # Master'!M68</f>
        <v>Anticipated Resources</v>
      </c>
      <c r="N103" s="39" t="n">
        <f aca="false">+'CCs # Master'!AW68</f>
        <v>0</v>
      </c>
      <c r="O103" s="39" t="n">
        <v>0</v>
      </c>
      <c r="P103" s="39" t="n">
        <f aca="false">+'CCs # Master'!N68</f>
        <v>0</v>
      </c>
      <c r="Q103" s="39" t="n">
        <f aca="false">+'CCs # Master'!O68</f>
        <v>0</v>
      </c>
      <c r="R103" s="39" t="n">
        <f aca="false">+'CCs # Master'!P68</f>
        <v>0</v>
      </c>
      <c r="S103" s="39" t="n">
        <f aca="false">+'CCs # Master'!Q68</f>
        <v>0</v>
      </c>
      <c r="T103" s="39" t="n">
        <f aca="false">+'CCs # Master'!R68</f>
        <v>0</v>
      </c>
      <c r="U103" s="39" t="n">
        <f aca="false">+'CCs # Master'!S68</f>
        <v>0</v>
      </c>
      <c r="V103" s="39" t="n">
        <f aca="false">+'CCs # Master'!T68</f>
        <v>0</v>
      </c>
      <c r="W103" s="39" t="n">
        <f aca="false">+'CCs # Master'!U68</f>
        <v>0</v>
      </c>
      <c r="X103" s="39" t="n">
        <f aca="false">+'CCs # Master'!V68</f>
        <v>0</v>
      </c>
      <c r="Y103" s="39" t="n">
        <f aca="false">+'CCs # Master'!W68</f>
        <v>0</v>
      </c>
      <c r="Z103" s="39" t="n">
        <f aca="false">+'CCs # Master'!X68</f>
        <v>507</v>
      </c>
      <c r="AA103" s="39" t="n">
        <f aca="false">+'CCs # Master'!Y68</f>
        <v>0</v>
      </c>
      <c r="AB103" s="39" t="n">
        <f aca="false">+'CCs # Master'!Z68</f>
        <v>0</v>
      </c>
      <c r="AC103" s="39" t="n">
        <f aca="false">+'CCs # Master'!AA68</f>
        <v>0</v>
      </c>
      <c r="AD103" s="39" t="n">
        <f aca="false">+'CCs # Master'!AB68</f>
        <v>0</v>
      </c>
      <c r="AE103" s="39" t="n">
        <f aca="false">+'CCs # Master'!AC68</f>
        <v>0</v>
      </c>
      <c r="AF103" s="39" t="n">
        <f aca="false">+'CCs # Master'!AD68</f>
        <v>0</v>
      </c>
      <c r="AG103" s="39" t="n">
        <f aca="false">+'CCs # Master'!AE68</f>
        <v>0</v>
      </c>
      <c r="AH103" s="39" t="n">
        <f aca="false">+'CCs # Master'!AF68</f>
        <v>0</v>
      </c>
      <c r="AI103" s="39" t="n">
        <f aca="false">+'CCs # Master'!AG68</f>
        <v>0</v>
      </c>
      <c r="AJ103" s="39" t="n">
        <f aca="false">+'CCs # Master'!AH68</f>
        <v>0</v>
      </c>
      <c r="AK103" s="39" t="n">
        <f aca="false">+'CCs # Master'!AI68</f>
        <v>0</v>
      </c>
      <c r="AL103" s="39" t="n">
        <f aca="false">+'CCs # Master'!AJ68</f>
        <v>0</v>
      </c>
      <c r="AM103" s="39" t="n">
        <f aca="false">+'CCs # Master'!AK68</f>
        <v>0</v>
      </c>
      <c r="AN103" s="39" t="n">
        <f aca="false">+'CCs # Master'!AL68</f>
        <v>0</v>
      </c>
      <c r="AO103" s="39" t="n">
        <f aca="false">+'CCs # Master'!AM68</f>
        <v>0</v>
      </c>
      <c r="AP103" s="39" t="n">
        <f aca="false">+'CCs # Master'!AN68</f>
        <v>0</v>
      </c>
      <c r="AQ103" s="39" t="n">
        <f aca="false">+'CCs # Master'!AO68</f>
        <v>0</v>
      </c>
      <c r="AR103" s="39" t="n">
        <f aca="false">+'CCs # Master'!AP68</f>
        <v>0</v>
      </c>
      <c r="AS103" s="39" t="n">
        <f aca="false">+'CCs # Master'!AQ68</f>
        <v>0</v>
      </c>
      <c r="AT103" s="39" t="n">
        <f aca="false">+'CCs # Master'!AR68</f>
        <v>0</v>
      </c>
      <c r="AU103" s="39" t="n">
        <f aca="false">+'CCs # Master'!AS68</f>
        <v>0</v>
      </c>
      <c r="AV103" s="39" t="n">
        <f aca="false">+'CCs # Master'!AT68</f>
        <v>0</v>
      </c>
      <c r="AW103" s="0"/>
      <c r="AX103" s="71" t="n">
        <f aca="false">SUM(N103:AW103)</f>
        <v>507</v>
      </c>
      <c r="AY103" s="71" t="n">
        <f aca="false">+K103-AX103</f>
        <v>0</v>
      </c>
      <c r="AZ103" s="39"/>
      <c r="BA103" s="39" t="n">
        <f aca="false">+P103+Q103+T103+U103+V103+W103+X103+Y103</f>
        <v>0</v>
      </c>
      <c r="BB103" s="39" t="n">
        <f aca="false">N103</f>
        <v>0</v>
      </c>
      <c r="BC103" s="39" t="n">
        <f aca="false">SUM(P103:AW103)</f>
        <v>507</v>
      </c>
      <c r="BD103" s="39"/>
      <c r="BE103" s="39" t="n">
        <f aca="false">SUM(BB103:BC103)</f>
        <v>507</v>
      </c>
      <c r="BF103" s="39"/>
      <c r="BG103" s="48" t="n">
        <f aca="false">SUM(N103:AW103)</f>
        <v>507</v>
      </c>
      <c r="BH103" s="39" t="n">
        <f aca="false">BE103-BG103</f>
        <v>0</v>
      </c>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c r="GH103" s="39"/>
      <c r="GI103" s="39"/>
      <c r="GJ103" s="39"/>
      <c r="GK103" s="39"/>
      <c r="GL103" s="39"/>
      <c r="GM103" s="39"/>
      <c r="GN103" s="39"/>
      <c r="GO103" s="39"/>
      <c r="GP103" s="39"/>
      <c r="GQ103" s="39"/>
      <c r="GR103" s="39"/>
      <c r="GS103" s="39"/>
      <c r="GT103" s="39"/>
      <c r="GU103" s="39"/>
      <c r="GV103" s="39"/>
      <c r="GW103" s="39"/>
      <c r="GX103" s="39"/>
      <c r="GY103" s="39"/>
      <c r="GZ103" s="39"/>
      <c r="HA103" s="39"/>
      <c r="HB103" s="39"/>
      <c r="HC103" s="39"/>
      <c r="HD103" s="39"/>
      <c r="HE103" s="39"/>
      <c r="HF103" s="39"/>
      <c r="HG103" s="39"/>
      <c r="HH103" s="39"/>
      <c r="HI103" s="39"/>
      <c r="HJ103" s="39"/>
      <c r="HK103" s="39"/>
      <c r="HL103" s="39"/>
      <c r="HM103" s="39"/>
      <c r="HN103" s="39"/>
      <c r="HO103" s="39"/>
      <c r="HP103" s="39"/>
      <c r="HQ103" s="39"/>
      <c r="HR103" s="39"/>
      <c r="HS103" s="39"/>
      <c r="HT103" s="39"/>
      <c r="HU103" s="39"/>
      <c r="HV103" s="39"/>
      <c r="HW103" s="39"/>
      <c r="HX103" s="39"/>
      <c r="HY103" s="39"/>
      <c r="HZ103" s="39"/>
      <c r="IA103" s="39"/>
      <c r="IB103" s="39"/>
      <c r="IC103" s="39"/>
      <c r="ID103" s="39"/>
      <c r="IE103" s="39"/>
      <c r="IF103" s="39"/>
      <c r="IG103" s="39"/>
      <c r="IH103" s="39"/>
      <c r="II103" s="39"/>
      <c r="IJ103" s="39"/>
      <c r="IK103" s="39"/>
      <c r="IL103" s="39"/>
      <c r="IM103" s="39"/>
      <c r="IN103" s="39"/>
      <c r="IO103" s="39"/>
      <c r="IP103" s="39"/>
      <c r="IQ103" s="39"/>
      <c r="IR103" s="39"/>
      <c r="IS103" s="39"/>
      <c r="IT103" s="39"/>
      <c r="IU103" s="39"/>
      <c r="IV103" s="39"/>
      <c r="IW103" s="39"/>
    </row>
    <row r="104" customFormat="false" ht="12.95" hidden="false" customHeight="true" outlineLevel="0" collapsed="false">
      <c r="A104" s="37" t="n">
        <f aca="false">+'CCs # Master'!A70</f>
        <v>11</v>
      </c>
      <c r="B104" s="39" t="str">
        <f aca="false">+'CCs # Master'!B70</f>
        <v>American Indian Affairs - Gov't Affairs</v>
      </c>
      <c r="C104" s="39" t="str">
        <f aca="false">+'CCs # Master'!C70</f>
        <v>Kean, Steve</v>
      </c>
      <c r="D104" s="96" t="n">
        <f aca="false">+'CCs # Master'!D70</f>
        <v>100105</v>
      </c>
      <c r="E104" s="39" t="n">
        <f aca="false">+'CCs # Master'!E70</f>
        <v>0</v>
      </c>
      <c r="F104" s="39" t="n">
        <f aca="false">+'CCs # Master'!F70</f>
        <v>0</v>
      </c>
      <c r="G104" s="39" t="n">
        <f aca="false">+'CCs # Master'!G70</f>
        <v>0</v>
      </c>
      <c r="H104" s="39" t="n">
        <f aca="false">+'CCs # Master'!H70</f>
        <v>0</v>
      </c>
      <c r="I104" s="39" t="n">
        <f aca="false">+'CCs # Master'!I70</f>
        <v>0</v>
      </c>
      <c r="J104" s="39" t="n">
        <f aca="false">+'CCs # Master'!J70</f>
        <v>0</v>
      </c>
      <c r="K104" s="71" t="n">
        <f aca="false">SUM(E104:J104)</f>
        <v>0</v>
      </c>
      <c r="L104" s="39"/>
      <c r="M104" s="39" t="str">
        <f aca="false">+'CCs # Master'!M70</f>
        <v>Retained At Corp</v>
      </c>
      <c r="N104" s="39" t="n">
        <f aca="false">+'CCs # Master'!AW70</f>
        <v>0</v>
      </c>
      <c r="O104" s="39" t="n">
        <v>0</v>
      </c>
      <c r="P104" s="39" t="n">
        <f aca="false">+'CCs # Master'!N70</f>
        <v>0</v>
      </c>
      <c r="Q104" s="39" t="n">
        <f aca="false">+'CCs # Master'!O70</f>
        <v>0</v>
      </c>
      <c r="R104" s="39" t="n">
        <f aca="false">+'CCs # Master'!P70</f>
        <v>0</v>
      </c>
      <c r="S104" s="39" t="n">
        <f aca="false">+'CCs # Master'!Q70</f>
        <v>0</v>
      </c>
      <c r="T104" s="39" t="n">
        <f aca="false">+'CCs # Master'!R70</f>
        <v>0</v>
      </c>
      <c r="U104" s="39" t="n">
        <f aca="false">+'CCs # Master'!S70</f>
        <v>0</v>
      </c>
      <c r="V104" s="39" t="n">
        <f aca="false">+'CCs # Master'!T70</f>
        <v>0</v>
      </c>
      <c r="W104" s="39" t="n">
        <f aca="false">+'CCs # Master'!U70</f>
        <v>0</v>
      </c>
      <c r="X104" s="39" t="n">
        <f aca="false">+'CCs # Master'!V70</f>
        <v>0</v>
      </c>
      <c r="Y104" s="39" t="n">
        <f aca="false">+'CCs # Master'!W70</f>
        <v>0</v>
      </c>
      <c r="Z104" s="39" t="n">
        <f aca="false">+'CCs # Master'!X70</f>
        <v>0</v>
      </c>
      <c r="AA104" s="39" t="n">
        <f aca="false">+'CCs # Master'!Y70</f>
        <v>0</v>
      </c>
      <c r="AB104" s="39" t="n">
        <f aca="false">+'CCs # Master'!Z70</f>
        <v>0</v>
      </c>
      <c r="AC104" s="39" t="n">
        <f aca="false">+'CCs # Master'!AA70</f>
        <v>0</v>
      </c>
      <c r="AD104" s="39" t="n">
        <f aca="false">+'CCs # Master'!AB70</f>
        <v>0</v>
      </c>
      <c r="AE104" s="39" t="n">
        <f aca="false">+'CCs # Master'!AC70</f>
        <v>0</v>
      </c>
      <c r="AF104" s="39" t="n">
        <f aca="false">+'CCs # Master'!AD70</f>
        <v>0</v>
      </c>
      <c r="AG104" s="39" t="n">
        <f aca="false">+'CCs # Master'!AE70</f>
        <v>0</v>
      </c>
      <c r="AH104" s="39" t="n">
        <f aca="false">+'CCs # Master'!AF70</f>
        <v>0</v>
      </c>
      <c r="AI104" s="39" t="n">
        <f aca="false">+'CCs # Master'!AG70</f>
        <v>0</v>
      </c>
      <c r="AJ104" s="39" t="n">
        <f aca="false">+'CCs # Master'!AH70</f>
        <v>0</v>
      </c>
      <c r="AK104" s="39" t="n">
        <f aca="false">+'CCs # Master'!AI70</f>
        <v>0</v>
      </c>
      <c r="AL104" s="39" t="n">
        <f aca="false">+'CCs # Master'!AJ70</f>
        <v>0</v>
      </c>
      <c r="AM104" s="39" t="n">
        <f aca="false">+'CCs # Master'!AK70</f>
        <v>0</v>
      </c>
      <c r="AN104" s="39" t="n">
        <f aca="false">+'CCs # Master'!AL70</f>
        <v>0</v>
      </c>
      <c r="AO104" s="39" t="n">
        <f aca="false">+'CCs # Master'!AM70</f>
        <v>0</v>
      </c>
      <c r="AP104" s="39" t="n">
        <f aca="false">+'CCs # Master'!AN70</f>
        <v>0</v>
      </c>
      <c r="AQ104" s="39" t="n">
        <f aca="false">+'CCs # Master'!AO70</f>
        <v>0</v>
      </c>
      <c r="AR104" s="39" t="n">
        <f aca="false">+'CCs # Master'!AP70</f>
        <v>0</v>
      </c>
      <c r="AS104" s="39" t="n">
        <f aca="false">+'CCs # Master'!AQ70</f>
        <v>0</v>
      </c>
      <c r="AT104" s="39" t="n">
        <f aca="false">+'CCs # Master'!AR70</f>
        <v>0</v>
      </c>
      <c r="AU104" s="39" t="n">
        <f aca="false">+'CCs # Master'!AS70</f>
        <v>0</v>
      </c>
      <c r="AV104" s="39" t="n">
        <f aca="false">+'CCs # Master'!AT70</f>
        <v>0</v>
      </c>
      <c r="AW104" s="0"/>
      <c r="AX104" s="71" t="n">
        <f aca="false">SUM(N104:AW104)</f>
        <v>0</v>
      </c>
      <c r="AY104" s="71" t="n">
        <f aca="false">+K104-AX104</f>
        <v>0</v>
      </c>
      <c r="AZ104" s="39"/>
      <c r="BA104" s="39" t="n">
        <f aca="false">+P104+Q104+T104+U104+V104+W104+X104+Y104</f>
        <v>0</v>
      </c>
      <c r="BB104" s="39" t="n">
        <f aca="false">N104</f>
        <v>0</v>
      </c>
      <c r="BC104" s="39" t="n">
        <f aca="false">SUM(P104:AW104)</f>
        <v>0</v>
      </c>
      <c r="BD104" s="39"/>
      <c r="BE104" s="39" t="n">
        <f aca="false">SUM(BB104:BC104)</f>
        <v>0</v>
      </c>
      <c r="BF104" s="39"/>
      <c r="BG104" s="48" t="n">
        <f aca="false">SUM(N104:AW104)</f>
        <v>0</v>
      </c>
      <c r="BH104" s="39" t="n">
        <f aca="false">BE104-BG104</f>
        <v>0</v>
      </c>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c r="GI104" s="39"/>
      <c r="GJ104" s="39"/>
      <c r="GK104" s="39"/>
      <c r="GL104" s="39"/>
      <c r="GM104" s="39"/>
      <c r="GN104" s="39"/>
      <c r="GO104" s="39"/>
      <c r="GP104" s="39"/>
      <c r="GQ104" s="39"/>
      <c r="GR104" s="39"/>
      <c r="GS104" s="39"/>
      <c r="GT104" s="39"/>
      <c r="GU104" s="39"/>
      <c r="GV104" s="39"/>
      <c r="GW104" s="39"/>
      <c r="GX104" s="39"/>
      <c r="GY104" s="39"/>
      <c r="GZ104" s="39"/>
      <c r="HA104" s="39"/>
      <c r="HB104" s="39"/>
      <c r="HC104" s="39"/>
      <c r="HD104" s="39"/>
      <c r="HE104" s="39"/>
      <c r="HF104" s="39"/>
      <c r="HG104" s="39"/>
      <c r="HH104" s="39"/>
      <c r="HI104" s="39"/>
      <c r="HJ104" s="39"/>
      <c r="HK104" s="39"/>
      <c r="HL104" s="39"/>
      <c r="HM104" s="39"/>
      <c r="HN104" s="39"/>
      <c r="HO104" s="39"/>
      <c r="HP104" s="39"/>
      <c r="HQ104" s="39"/>
      <c r="HR104" s="39"/>
      <c r="HS104" s="39"/>
      <c r="HT104" s="39"/>
      <c r="HU104" s="39"/>
      <c r="HV104" s="39"/>
      <c r="HW104" s="39"/>
      <c r="HX104" s="39"/>
      <c r="HY104" s="39"/>
      <c r="HZ104" s="39"/>
      <c r="IA104" s="39"/>
      <c r="IB104" s="39"/>
      <c r="IC104" s="39"/>
      <c r="ID104" s="39"/>
      <c r="IE104" s="39"/>
      <c r="IF104" s="39"/>
      <c r="IG104" s="39"/>
      <c r="IH104" s="39"/>
      <c r="II104" s="39"/>
      <c r="IJ104" s="39"/>
      <c r="IK104" s="39"/>
      <c r="IL104" s="39"/>
      <c r="IM104" s="39"/>
      <c r="IN104" s="39"/>
      <c r="IO104" s="39"/>
      <c r="IP104" s="39"/>
      <c r="IQ104" s="39"/>
      <c r="IR104" s="39"/>
      <c r="IS104" s="39"/>
      <c r="IT104" s="39"/>
      <c r="IU104" s="39"/>
      <c r="IV104" s="39"/>
      <c r="IW104" s="39"/>
    </row>
    <row r="105" customFormat="false" ht="12.95" hidden="false" customHeight="true" outlineLevel="0" collapsed="false">
      <c r="A105" s="37" t="n">
        <f aca="false">+'CCs # Master'!A71</f>
        <v>11</v>
      </c>
      <c r="B105" s="39" t="str">
        <f aca="false">+'CCs # Master'!B71</f>
        <v>State Gov't / Fed Reg Env / Implementaion</v>
      </c>
      <c r="C105" s="39" t="str">
        <f aca="false">+'CCs # Master'!C71</f>
        <v>Brown, Jeff</v>
      </c>
      <c r="D105" s="96" t="n">
        <f aca="false">+'CCs # Master'!D71</f>
        <v>100108</v>
      </c>
      <c r="E105" s="39" t="n">
        <f aca="false">+'CCs # Master'!E71</f>
        <v>0</v>
      </c>
      <c r="F105" s="39" t="n">
        <f aca="false">+'CCs # Master'!F71</f>
        <v>311</v>
      </c>
      <c r="G105" s="39" t="n">
        <f aca="false">+'CCs # Master'!G71</f>
        <v>5</v>
      </c>
      <c r="H105" s="39" t="n">
        <f aca="false">+'CCs # Master'!H71</f>
        <v>14</v>
      </c>
      <c r="I105" s="39" t="n">
        <f aca="false">+'CCs # Master'!I71</f>
        <v>0</v>
      </c>
      <c r="J105" s="39" t="n">
        <f aca="false">+'CCs # Master'!J71</f>
        <v>0</v>
      </c>
      <c r="K105" s="71" t="n">
        <f aca="false">SUM(E105:J105)</f>
        <v>330</v>
      </c>
      <c r="L105" s="39"/>
      <c r="M105" s="39" t="str">
        <f aca="false">+'CCs # Master'!M71</f>
        <v>Anticipated Resources</v>
      </c>
      <c r="N105" s="39" t="n">
        <f aca="false">+'CCs # Master'!AW71</f>
        <v>0</v>
      </c>
      <c r="O105" s="39" t="n">
        <v>0</v>
      </c>
      <c r="P105" s="39" t="n">
        <f aca="false">+'CCs # Master'!N71</f>
        <v>0</v>
      </c>
      <c r="Q105" s="39" t="n">
        <f aca="false">+'CCs # Master'!O71</f>
        <v>0</v>
      </c>
      <c r="R105" s="39" t="n">
        <f aca="false">+'CCs # Master'!P71</f>
        <v>0</v>
      </c>
      <c r="S105" s="39" t="n">
        <f aca="false">+'CCs # Master'!Q71</f>
        <v>0</v>
      </c>
      <c r="T105" s="39" t="n">
        <f aca="false">+'CCs # Master'!R71</f>
        <v>0</v>
      </c>
      <c r="U105" s="39" t="n">
        <f aca="false">+'CCs # Master'!S71</f>
        <v>0</v>
      </c>
      <c r="V105" s="39" t="n">
        <f aca="false">+'CCs # Master'!T71</f>
        <v>0</v>
      </c>
      <c r="W105" s="39" t="n">
        <f aca="false">+'CCs # Master'!U71</f>
        <v>0</v>
      </c>
      <c r="X105" s="39" t="n">
        <f aca="false">+'CCs # Master'!V71</f>
        <v>0</v>
      </c>
      <c r="Y105" s="39" t="n">
        <f aca="false">+'CCs # Master'!W71</f>
        <v>0</v>
      </c>
      <c r="Z105" s="39" t="n">
        <f aca="false">+'CCs # Master'!X71</f>
        <v>185</v>
      </c>
      <c r="AA105" s="39" t="n">
        <f aca="false">+'CCs # Master'!Y71</f>
        <v>0</v>
      </c>
      <c r="AB105" s="39" t="n">
        <f aca="false">+'CCs # Master'!Z71</f>
        <v>0</v>
      </c>
      <c r="AC105" s="39" t="n">
        <f aca="false">+'CCs # Master'!AA71</f>
        <v>0</v>
      </c>
      <c r="AD105" s="39" t="n">
        <f aca="false">+'CCs # Master'!AB71</f>
        <v>0</v>
      </c>
      <c r="AE105" s="39" t="n">
        <f aca="false">+'CCs # Master'!AC71</f>
        <v>0</v>
      </c>
      <c r="AF105" s="39" t="n">
        <f aca="false">+'CCs # Master'!AD71</f>
        <v>105</v>
      </c>
      <c r="AG105" s="39" t="n">
        <f aca="false">+'CCs # Master'!AE71</f>
        <v>40</v>
      </c>
      <c r="AH105" s="39" t="n">
        <f aca="false">+'CCs # Master'!AF71</f>
        <v>0</v>
      </c>
      <c r="AI105" s="39" t="n">
        <f aca="false">+'CCs # Master'!AG71</f>
        <v>0</v>
      </c>
      <c r="AJ105" s="39" t="n">
        <f aca="false">+'CCs # Master'!AH71</f>
        <v>0</v>
      </c>
      <c r="AK105" s="39" t="n">
        <f aca="false">+'CCs # Master'!AI71</f>
        <v>0</v>
      </c>
      <c r="AL105" s="39" t="n">
        <f aca="false">+'CCs # Master'!AJ71</f>
        <v>0</v>
      </c>
      <c r="AM105" s="39" t="n">
        <f aca="false">+'CCs # Master'!AK71</f>
        <v>0</v>
      </c>
      <c r="AN105" s="39" t="n">
        <f aca="false">+'CCs # Master'!AL71</f>
        <v>0</v>
      </c>
      <c r="AO105" s="39" t="n">
        <f aca="false">+'CCs # Master'!AM71</f>
        <v>0</v>
      </c>
      <c r="AP105" s="39" t="n">
        <f aca="false">+'CCs # Master'!AN71</f>
        <v>0</v>
      </c>
      <c r="AQ105" s="39" t="n">
        <f aca="false">+'CCs # Master'!AO71</f>
        <v>0</v>
      </c>
      <c r="AR105" s="39" t="n">
        <f aca="false">+'CCs # Master'!AP71</f>
        <v>0</v>
      </c>
      <c r="AS105" s="39" t="n">
        <f aca="false">+'CCs # Master'!AQ71</f>
        <v>0</v>
      </c>
      <c r="AT105" s="39" t="n">
        <f aca="false">+'CCs # Master'!AR71</f>
        <v>0</v>
      </c>
      <c r="AU105" s="39" t="n">
        <f aca="false">+'CCs # Master'!AS71</f>
        <v>0</v>
      </c>
      <c r="AV105" s="39" t="n">
        <f aca="false">+'CCs # Master'!AT71</f>
        <v>0</v>
      </c>
      <c r="AW105" s="0"/>
      <c r="AX105" s="71" t="n">
        <f aca="false">SUM(N105:AW105)</f>
        <v>330</v>
      </c>
      <c r="AY105" s="71" t="n">
        <f aca="false">+K105-AX105</f>
        <v>0</v>
      </c>
      <c r="AZ105" s="39"/>
      <c r="BA105" s="39" t="n">
        <f aca="false">+P105+Q105+T105+U105+V105+W105+X105+Y105</f>
        <v>0</v>
      </c>
      <c r="BB105" s="39" t="n">
        <f aca="false">N105</f>
        <v>0</v>
      </c>
      <c r="BC105" s="39" t="n">
        <f aca="false">SUM(P105:AW105)</f>
        <v>330</v>
      </c>
      <c r="BD105" s="39"/>
      <c r="BE105" s="39" t="n">
        <f aca="false">SUM(BB105:BC105)</f>
        <v>330</v>
      </c>
      <c r="BF105" s="39"/>
      <c r="BG105" s="48" t="n">
        <f aca="false">SUM(N105:AW105)</f>
        <v>330</v>
      </c>
      <c r="BH105" s="39" t="n">
        <f aca="false">BE105-BG105</f>
        <v>0</v>
      </c>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c r="CX105" s="39"/>
      <c r="CY105" s="39"/>
      <c r="CZ105" s="39"/>
      <c r="DA105" s="39"/>
      <c r="DB105" s="39"/>
      <c r="DC105" s="39"/>
      <c r="DD105" s="39"/>
      <c r="DE105" s="39"/>
      <c r="DF105" s="39"/>
      <c r="DG105" s="39"/>
      <c r="DH105" s="39"/>
      <c r="DI105" s="39"/>
      <c r="DJ105" s="39"/>
      <c r="DK105" s="39"/>
      <c r="DL105" s="39"/>
      <c r="DM105" s="39"/>
      <c r="DN105" s="39"/>
      <c r="DO105" s="39"/>
      <c r="DP105" s="39"/>
      <c r="DQ105" s="39"/>
      <c r="DR105" s="39"/>
      <c r="DS105" s="39"/>
      <c r="DT105" s="39"/>
      <c r="DU105" s="39"/>
      <c r="DV105" s="39"/>
      <c r="DW105" s="39"/>
      <c r="DX105" s="39"/>
      <c r="DY105" s="39"/>
      <c r="DZ105" s="39"/>
      <c r="EA105" s="39"/>
      <c r="EB105" s="39"/>
      <c r="EC105" s="39"/>
      <c r="ED105" s="39"/>
      <c r="EE105" s="39"/>
      <c r="EF105" s="39"/>
      <c r="EG105" s="39"/>
      <c r="EH105" s="39"/>
      <c r="EI105" s="39"/>
      <c r="EJ105" s="39"/>
      <c r="EK105" s="39"/>
      <c r="EL105" s="39"/>
      <c r="EM105" s="39"/>
      <c r="EN105" s="39"/>
      <c r="EO105" s="39"/>
      <c r="EP105" s="39"/>
      <c r="EQ105" s="39"/>
      <c r="ER105" s="39"/>
      <c r="ES105" s="39"/>
      <c r="ET105" s="39"/>
      <c r="EU105" s="39"/>
      <c r="EV105" s="39"/>
      <c r="EW105" s="39"/>
      <c r="EX105" s="39"/>
      <c r="EY105" s="39"/>
      <c r="EZ105" s="39"/>
      <c r="FA105" s="39"/>
      <c r="FB105" s="39"/>
      <c r="FC105" s="39"/>
      <c r="FD105" s="39"/>
      <c r="FE105" s="39"/>
      <c r="FF105" s="39"/>
      <c r="FG105" s="39"/>
      <c r="FH105" s="39"/>
      <c r="FI105" s="39"/>
      <c r="FJ105" s="39"/>
      <c r="FK105" s="39"/>
      <c r="FL105" s="39"/>
      <c r="FM105" s="39"/>
      <c r="FN105" s="39"/>
      <c r="FO105" s="39"/>
      <c r="FP105" s="39"/>
      <c r="FQ105" s="39"/>
      <c r="FR105" s="39"/>
      <c r="FS105" s="39"/>
      <c r="FT105" s="39"/>
      <c r="FU105" s="39"/>
      <c r="FV105" s="39"/>
      <c r="FW105" s="39"/>
      <c r="FX105" s="39"/>
      <c r="FY105" s="39"/>
      <c r="FZ105" s="39"/>
      <c r="GA105" s="39"/>
      <c r="GB105" s="39"/>
      <c r="GC105" s="39"/>
      <c r="GD105" s="39"/>
      <c r="GE105" s="39"/>
      <c r="GF105" s="39"/>
      <c r="GG105" s="39"/>
      <c r="GH105" s="39"/>
      <c r="GI105" s="39"/>
      <c r="GJ105" s="39"/>
      <c r="GK105" s="39"/>
      <c r="GL105" s="39"/>
      <c r="GM105" s="39"/>
      <c r="GN105" s="39"/>
      <c r="GO105" s="39"/>
      <c r="GP105" s="39"/>
      <c r="GQ105" s="39"/>
      <c r="GR105" s="39"/>
      <c r="GS105" s="39"/>
      <c r="GT105" s="39"/>
      <c r="GU105" s="39"/>
      <c r="GV105" s="39"/>
      <c r="GW105" s="39"/>
      <c r="GX105" s="39"/>
      <c r="GY105" s="39"/>
      <c r="GZ105" s="39"/>
      <c r="HA105" s="39"/>
      <c r="HB105" s="39"/>
      <c r="HC105" s="39"/>
      <c r="HD105" s="39"/>
      <c r="HE105" s="39"/>
      <c r="HF105" s="39"/>
      <c r="HG105" s="39"/>
      <c r="HH105" s="39"/>
      <c r="HI105" s="39"/>
      <c r="HJ105" s="39"/>
      <c r="HK105" s="39"/>
      <c r="HL105" s="39"/>
      <c r="HM105" s="39"/>
      <c r="HN105" s="39"/>
      <c r="HO105" s="39"/>
      <c r="HP105" s="39"/>
      <c r="HQ105" s="39"/>
      <c r="HR105" s="39"/>
      <c r="HS105" s="39"/>
      <c r="HT105" s="39"/>
      <c r="HU105" s="39"/>
      <c r="HV105" s="39"/>
      <c r="HW105" s="39"/>
      <c r="HX105" s="39"/>
      <c r="HY105" s="39"/>
      <c r="HZ105" s="39"/>
      <c r="IA105" s="39"/>
      <c r="IB105" s="39"/>
      <c r="IC105" s="39"/>
      <c r="ID105" s="39"/>
      <c r="IE105" s="39"/>
      <c r="IF105" s="39"/>
      <c r="IG105" s="39"/>
      <c r="IH105" s="39"/>
      <c r="II105" s="39"/>
      <c r="IJ105" s="39"/>
      <c r="IK105" s="39"/>
      <c r="IL105" s="39"/>
      <c r="IM105" s="39"/>
      <c r="IN105" s="39"/>
      <c r="IO105" s="39"/>
      <c r="IP105" s="39"/>
      <c r="IQ105" s="39"/>
      <c r="IR105" s="39"/>
      <c r="IS105" s="39"/>
      <c r="IT105" s="39"/>
      <c r="IU105" s="39"/>
      <c r="IV105" s="39"/>
      <c r="IW105" s="39"/>
    </row>
    <row r="106" customFormat="false" ht="12.95" hidden="false" customHeight="true" outlineLevel="0" collapsed="false">
      <c r="A106" s="37" t="n">
        <f aca="false">+'CCs # Master'!A103</f>
        <v>11</v>
      </c>
      <c r="B106" s="99" t="str">
        <f aca="false">+'CCs # Master'!B103</f>
        <v>Conventions/Inauguration</v>
      </c>
      <c r="C106" s="99" t="str">
        <f aca="false">+'CCs # Master'!C103</f>
        <v>Hillings, Joe</v>
      </c>
      <c r="D106" s="37" t="n">
        <f aca="false">+'CCs # Master'!D103</f>
        <v>100178</v>
      </c>
      <c r="E106" s="39" t="n">
        <f aca="false">+'CCs # Master'!E103</f>
        <v>0</v>
      </c>
      <c r="F106" s="39" t="n">
        <f aca="false">+'CCs # Master'!F103</f>
        <v>595</v>
      </c>
      <c r="G106" s="39" t="n">
        <f aca="false">+'CCs # Master'!G103</f>
        <v>0</v>
      </c>
      <c r="H106" s="39" t="n">
        <f aca="false">+'CCs # Master'!H103</f>
        <v>20</v>
      </c>
      <c r="I106" s="39" t="n">
        <f aca="false">+'CCs # Master'!I103</f>
        <v>0</v>
      </c>
      <c r="J106" s="39" t="n">
        <f aca="false">+'CCs # Master'!J103</f>
        <v>0</v>
      </c>
      <c r="K106" s="71" t="n">
        <f aca="false">SUM(E106:J106)</f>
        <v>615</v>
      </c>
      <c r="L106" s="39"/>
      <c r="M106" s="39" t="str">
        <f aca="false">+'CCs # Master'!M103</f>
        <v>Retained  At Corp</v>
      </c>
      <c r="N106" s="39" t="n">
        <f aca="false">+'CCs # Master'!AW103</f>
        <v>615</v>
      </c>
      <c r="O106" s="39" t="n">
        <v>0</v>
      </c>
      <c r="P106" s="39" t="n">
        <f aca="false">+'CCs # Master'!N103</f>
        <v>0</v>
      </c>
      <c r="Q106" s="39" t="n">
        <f aca="false">+'CCs # Master'!O103</f>
        <v>0</v>
      </c>
      <c r="R106" s="39" t="n">
        <f aca="false">+'CCs # Master'!P103</f>
        <v>0</v>
      </c>
      <c r="S106" s="39" t="n">
        <f aca="false">+'CCs # Master'!Q103</f>
        <v>0</v>
      </c>
      <c r="T106" s="39" t="n">
        <f aca="false">+'CCs # Master'!R103</f>
        <v>0</v>
      </c>
      <c r="U106" s="39" t="n">
        <f aca="false">+'CCs # Master'!S103</f>
        <v>0</v>
      </c>
      <c r="V106" s="39" t="n">
        <f aca="false">+'CCs # Master'!T103</f>
        <v>0</v>
      </c>
      <c r="W106" s="39" t="n">
        <f aca="false">+'CCs # Master'!U103</f>
        <v>0</v>
      </c>
      <c r="X106" s="39" t="n">
        <f aca="false">+'CCs # Master'!V103</f>
        <v>0</v>
      </c>
      <c r="Y106" s="39" t="n">
        <f aca="false">+'CCs # Master'!W103</f>
        <v>0</v>
      </c>
      <c r="Z106" s="39" t="n">
        <f aca="false">+'CCs # Master'!X103</f>
        <v>0</v>
      </c>
      <c r="AA106" s="39" t="n">
        <f aca="false">+'CCs # Master'!Y103</f>
        <v>0</v>
      </c>
      <c r="AB106" s="39" t="n">
        <f aca="false">+'CCs # Master'!Z103</f>
        <v>0</v>
      </c>
      <c r="AC106" s="39" t="n">
        <f aca="false">+'CCs # Master'!AA103</f>
        <v>0</v>
      </c>
      <c r="AD106" s="39" t="n">
        <f aca="false">+'CCs # Master'!AB103</f>
        <v>0</v>
      </c>
      <c r="AE106" s="39" t="n">
        <f aca="false">+'CCs # Master'!AC103</f>
        <v>0</v>
      </c>
      <c r="AF106" s="39" t="n">
        <f aca="false">+'CCs # Master'!AD103</f>
        <v>0</v>
      </c>
      <c r="AG106" s="39" t="n">
        <f aca="false">+'CCs # Master'!AE103</f>
        <v>0</v>
      </c>
      <c r="AH106" s="39" t="n">
        <f aca="false">+'CCs # Master'!AF103</f>
        <v>0</v>
      </c>
      <c r="AI106" s="39" t="n">
        <f aca="false">+'CCs # Master'!AG103</f>
        <v>0</v>
      </c>
      <c r="AJ106" s="39" t="n">
        <f aca="false">+'CCs # Master'!AH103</f>
        <v>0</v>
      </c>
      <c r="AK106" s="39" t="n">
        <f aca="false">+'CCs # Master'!AI103</f>
        <v>0</v>
      </c>
      <c r="AL106" s="39" t="n">
        <f aca="false">+'CCs # Master'!AJ103</f>
        <v>0</v>
      </c>
      <c r="AM106" s="39" t="n">
        <f aca="false">+'CCs # Master'!AK103</f>
        <v>0</v>
      </c>
      <c r="AN106" s="39" t="n">
        <f aca="false">+'CCs # Master'!AL103</f>
        <v>0</v>
      </c>
      <c r="AO106" s="39" t="n">
        <f aca="false">+'CCs # Master'!AM103</f>
        <v>0</v>
      </c>
      <c r="AP106" s="39" t="n">
        <f aca="false">+'CCs # Master'!AN103</f>
        <v>0</v>
      </c>
      <c r="AQ106" s="39" t="n">
        <f aca="false">+'CCs # Master'!AO103</f>
        <v>0</v>
      </c>
      <c r="AR106" s="39" t="n">
        <f aca="false">+'CCs # Master'!AP103</f>
        <v>0</v>
      </c>
      <c r="AS106" s="39" t="n">
        <f aca="false">+'CCs # Master'!AQ103</f>
        <v>0</v>
      </c>
      <c r="AT106" s="39" t="n">
        <f aca="false">+'CCs # Master'!AR103</f>
        <v>0</v>
      </c>
      <c r="AU106" s="39" t="n">
        <f aca="false">+'CCs # Master'!AS103</f>
        <v>0</v>
      </c>
      <c r="AV106" s="39" t="n">
        <f aca="false">+'CCs # Master'!AT103</f>
        <v>0</v>
      </c>
      <c r="AW106" s="0"/>
      <c r="AX106" s="71" t="n">
        <f aca="false">SUM(N106:AW106)</f>
        <v>615</v>
      </c>
      <c r="AY106" s="71" t="n">
        <f aca="false">+K106-AX106</f>
        <v>0</v>
      </c>
      <c r="AZ106" s="39"/>
      <c r="BA106" s="39" t="n">
        <f aca="false">+P106+Q106+T106+U106+V106+W106+X106+Y106</f>
        <v>0</v>
      </c>
      <c r="BB106" s="39" t="n">
        <f aca="false">N106</f>
        <v>615</v>
      </c>
      <c r="BC106" s="39" t="n">
        <f aca="false">SUM(P106:AW106)</f>
        <v>0</v>
      </c>
      <c r="BD106" s="39"/>
      <c r="BE106" s="39" t="n">
        <f aca="false">SUM(BB106:BC106)</f>
        <v>615</v>
      </c>
      <c r="BF106" s="39"/>
      <c r="BG106" s="48" t="n">
        <f aca="false">SUM(N106:AW106)</f>
        <v>615</v>
      </c>
      <c r="BH106" s="39" t="n">
        <f aca="false">BE106-BG106</f>
        <v>0</v>
      </c>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39"/>
      <c r="CV106" s="39"/>
      <c r="CW106" s="39"/>
      <c r="CX106" s="39"/>
      <c r="CY106" s="39"/>
      <c r="CZ106" s="39"/>
      <c r="DA106" s="39"/>
      <c r="DB106" s="39"/>
      <c r="DC106" s="39"/>
      <c r="DD106" s="39"/>
      <c r="DE106" s="39"/>
      <c r="DF106" s="39"/>
      <c r="DG106" s="39"/>
      <c r="DH106" s="39"/>
      <c r="DI106" s="39"/>
      <c r="DJ106" s="39"/>
      <c r="DK106" s="39"/>
      <c r="DL106" s="39"/>
      <c r="DM106" s="39"/>
      <c r="DN106" s="39"/>
      <c r="DO106" s="39"/>
      <c r="DP106" s="39"/>
      <c r="DQ106" s="39"/>
      <c r="DR106" s="39"/>
      <c r="DS106" s="39"/>
      <c r="DT106" s="39"/>
      <c r="DU106" s="39"/>
      <c r="DV106" s="39"/>
      <c r="DW106" s="39"/>
      <c r="DX106" s="39"/>
      <c r="DY106" s="39"/>
      <c r="DZ106" s="39"/>
      <c r="EA106" s="39"/>
      <c r="EB106" s="39"/>
      <c r="EC106" s="39"/>
      <c r="ED106" s="39"/>
      <c r="EE106" s="39"/>
      <c r="EF106" s="39"/>
      <c r="EG106" s="39"/>
      <c r="EH106" s="39"/>
      <c r="EI106" s="39"/>
      <c r="EJ106" s="39"/>
      <c r="EK106" s="39"/>
      <c r="EL106" s="39"/>
      <c r="EM106" s="39"/>
      <c r="EN106" s="39"/>
      <c r="EO106" s="39"/>
      <c r="EP106" s="39"/>
      <c r="EQ106" s="39"/>
      <c r="ER106" s="39"/>
      <c r="ES106" s="39"/>
      <c r="ET106" s="39"/>
      <c r="EU106" s="39"/>
      <c r="EV106" s="39"/>
      <c r="EW106" s="39"/>
      <c r="EX106" s="39"/>
      <c r="EY106" s="39"/>
      <c r="EZ106" s="39"/>
      <c r="FA106" s="39"/>
      <c r="FB106" s="39"/>
      <c r="FC106" s="39"/>
      <c r="FD106" s="39"/>
      <c r="FE106" s="39"/>
      <c r="FF106" s="39"/>
      <c r="FG106" s="39"/>
      <c r="FH106" s="39"/>
      <c r="FI106" s="39"/>
      <c r="FJ106" s="39"/>
      <c r="FK106" s="39"/>
      <c r="FL106" s="39"/>
      <c r="FM106" s="39"/>
      <c r="FN106" s="39"/>
      <c r="FO106" s="39"/>
      <c r="FP106" s="39"/>
      <c r="FQ106" s="39"/>
      <c r="FR106" s="39"/>
      <c r="FS106" s="39"/>
      <c r="FT106" s="39"/>
      <c r="FU106" s="39"/>
      <c r="FV106" s="39"/>
      <c r="FW106" s="39"/>
      <c r="FX106" s="39"/>
      <c r="FY106" s="39"/>
      <c r="FZ106" s="39"/>
      <c r="GA106" s="39"/>
      <c r="GB106" s="39"/>
      <c r="GC106" s="39"/>
      <c r="GD106" s="39"/>
      <c r="GE106" s="39"/>
      <c r="GF106" s="39"/>
      <c r="GG106" s="39"/>
      <c r="GH106" s="39"/>
      <c r="GI106" s="39"/>
      <c r="GJ106" s="39"/>
      <c r="GK106" s="39"/>
      <c r="GL106" s="39"/>
      <c r="GM106" s="39"/>
      <c r="GN106" s="39"/>
      <c r="GO106" s="39"/>
      <c r="GP106" s="39"/>
      <c r="GQ106" s="39"/>
      <c r="GR106" s="39"/>
      <c r="GS106" s="39"/>
      <c r="GT106" s="39"/>
      <c r="GU106" s="39"/>
      <c r="GV106" s="39"/>
      <c r="GW106" s="39"/>
      <c r="GX106" s="39"/>
      <c r="GY106" s="39"/>
      <c r="GZ106" s="39"/>
      <c r="HA106" s="39"/>
      <c r="HB106" s="39"/>
      <c r="HC106" s="39"/>
      <c r="HD106" s="39"/>
      <c r="HE106" s="39"/>
      <c r="HF106" s="39"/>
      <c r="HG106" s="39"/>
      <c r="HH106" s="39"/>
      <c r="HI106" s="39"/>
      <c r="HJ106" s="39"/>
      <c r="HK106" s="39"/>
      <c r="HL106" s="39"/>
      <c r="HM106" s="39"/>
      <c r="HN106" s="39"/>
      <c r="HO106" s="39"/>
      <c r="HP106" s="39"/>
      <c r="HQ106" s="39"/>
      <c r="HR106" s="39"/>
      <c r="HS106" s="39"/>
      <c r="HT106" s="39"/>
      <c r="HU106" s="39"/>
      <c r="HV106" s="39"/>
      <c r="HW106" s="39"/>
      <c r="HX106" s="39"/>
      <c r="HY106" s="39"/>
      <c r="HZ106" s="39"/>
      <c r="IA106" s="39"/>
      <c r="IB106" s="39"/>
      <c r="IC106" s="39"/>
      <c r="ID106" s="39"/>
      <c r="IE106" s="39"/>
      <c r="IF106" s="39"/>
      <c r="IG106" s="39"/>
      <c r="IH106" s="39"/>
      <c r="II106" s="39"/>
      <c r="IJ106" s="39"/>
      <c r="IK106" s="39"/>
      <c r="IL106" s="39"/>
      <c r="IM106" s="39"/>
      <c r="IN106" s="39"/>
      <c r="IO106" s="39"/>
      <c r="IP106" s="39"/>
      <c r="IQ106" s="39"/>
      <c r="IR106" s="39"/>
      <c r="IS106" s="39"/>
      <c r="IT106" s="39"/>
      <c r="IU106" s="39"/>
      <c r="IV106" s="39"/>
      <c r="IW106" s="39"/>
    </row>
    <row r="107" customFormat="false" ht="12.95" hidden="false" customHeight="true" outlineLevel="0" collapsed="false">
      <c r="A107" s="37" t="n">
        <f aca="false">+'CCs # Master'!A106</f>
        <v>11</v>
      </c>
      <c r="B107" s="39" t="str">
        <f aca="false">+'CCs # Master'!B106</f>
        <v>Environment</v>
      </c>
      <c r="C107" s="39" t="str">
        <f aca="false">+'CCs # Master'!C106</f>
        <v>Thorn, Terry</v>
      </c>
      <c r="D107" s="96" t="n">
        <f aca="false">+'CCs # Master'!D106</f>
        <v>100222</v>
      </c>
      <c r="E107" s="39" t="n">
        <f aca="false">+'CCs # Master'!E106</f>
        <v>437</v>
      </c>
      <c r="F107" s="39" t="n">
        <f aca="false">+'CCs # Master'!F106</f>
        <v>101</v>
      </c>
      <c r="G107" s="39" t="n">
        <f aca="false">+'CCs # Master'!G106</f>
        <v>7</v>
      </c>
      <c r="H107" s="39" t="n">
        <f aca="false">+'CCs # Master'!H106</f>
        <v>75</v>
      </c>
      <c r="I107" s="39" t="n">
        <f aca="false">+'CCs # Master'!I106</f>
        <v>62</v>
      </c>
      <c r="J107" s="39" t="n">
        <f aca="false">+'CCs # Master'!J106</f>
        <v>5</v>
      </c>
      <c r="K107" s="71" t="n">
        <f aca="false">SUM(E107:J107)</f>
        <v>687</v>
      </c>
      <c r="L107" s="39"/>
      <c r="M107" s="39" t="str">
        <f aca="false">+'CCs # Master'!M106</f>
        <v>Anticipated Resources</v>
      </c>
      <c r="N107" s="39" t="n">
        <f aca="false">+'CCs # Master'!AW106</f>
        <v>137</v>
      </c>
      <c r="O107" s="39" t="n">
        <v>0</v>
      </c>
      <c r="P107" s="39" t="n">
        <f aca="false">+'CCs # Master'!N106</f>
        <v>0</v>
      </c>
      <c r="Q107" s="39" t="n">
        <f aca="false">+'CCs # Master'!O106</f>
        <v>0</v>
      </c>
      <c r="R107" s="39" t="n">
        <f aca="false">+'CCs # Master'!P106</f>
        <v>0</v>
      </c>
      <c r="S107" s="39" t="n">
        <f aca="false">+'CCs # Master'!Q106</f>
        <v>0</v>
      </c>
      <c r="T107" s="39" t="n">
        <f aca="false">+'CCs # Master'!R106</f>
        <v>0</v>
      </c>
      <c r="U107" s="39" t="n">
        <f aca="false">+'CCs # Master'!S106</f>
        <v>0</v>
      </c>
      <c r="V107" s="39" t="n">
        <f aca="false">+'CCs # Master'!T106</f>
        <v>0</v>
      </c>
      <c r="W107" s="39" t="n">
        <f aca="false">+'CCs # Master'!U106</f>
        <v>0</v>
      </c>
      <c r="X107" s="39" t="n">
        <f aca="false">+'CCs # Master'!V106</f>
        <v>0</v>
      </c>
      <c r="Y107" s="39" t="n">
        <f aca="false">+'CCs # Master'!W106</f>
        <v>0</v>
      </c>
      <c r="Z107" s="39" t="n">
        <f aca="false">+'CCs # Master'!X106</f>
        <v>137</v>
      </c>
      <c r="AA107" s="39" t="n">
        <f aca="false">+'CCs # Master'!Y106</f>
        <v>0</v>
      </c>
      <c r="AB107" s="39" t="n">
        <f aca="false">+'CCs # Master'!Z106</f>
        <v>0</v>
      </c>
      <c r="AC107" s="39" t="n">
        <f aca="false">+'CCs # Master'!AA106</f>
        <v>0</v>
      </c>
      <c r="AD107" s="39" t="n">
        <f aca="false">+'CCs # Master'!AB106</f>
        <v>70</v>
      </c>
      <c r="AE107" s="39" t="n">
        <f aca="false">+'CCs # Master'!AC106</f>
        <v>0</v>
      </c>
      <c r="AF107" s="39" t="n">
        <f aca="false">+'CCs # Master'!AD106</f>
        <v>69</v>
      </c>
      <c r="AG107" s="39" t="n">
        <f aca="false">+'CCs # Master'!AE106</f>
        <v>34</v>
      </c>
      <c r="AH107" s="39" t="n">
        <f aca="false">+'CCs # Master'!AF106</f>
        <v>34</v>
      </c>
      <c r="AI107" s="39" t="n">
        <f aca="false">+'CCs # Master'!AG106</f>
        <v>0</v>
      </c>
      <c r="AJ107" s="39" t="n">
        <f aca="false">+'CCs # Master'!AH106</f>
        <v>34</v>
      </c>
      <c r="AK107" s="39" t="n">
        <f aca="false">+'CCs # Master'!AI106</f>
        <v>34</v>
      </c>
      <c r="AL107" s="39" t="n">
        <f aca="false">+'CCs # Master'!AJ106</f>
        <v>34</v>
      </c>
      <c r="AM107" s="39" t="n">
        <f aca="false">+'CCs # Master'!AK106</f>
        <v>34</v>
      </c>
      <c r="AN107" s="39" t="n">
        <f aca="false">+'CCs # Master'!AL106</f>
        <v>70</v>
      </c>
      <c r="AO107" s="39" t="n">
        <f aca="false">+'CCs # Master'!AM106</f>
        <v>0</v>
      </c>
      <c r="AP107" s="39" t="n">
        <f aca="false">+'CCs # Master'!AN106</f>
        <v>0</v>
      </c>
      <c r="AQ107" s="39" t="n">
        <f aca="false">+'CCs # Master'!AO106</f>
        <v>0</v>
      </c>
      <c r="AR107" s="39" t="n">
        <f aca="false">+'CCs # Master'!AP106</f>
        <v>0</v>
      </c>
      <c r="AS107" s="39" t="n">
        <f aca="false">+'CCs # Master'!AQ106</f>
        <v>0</v>
      </c>
      <c r="AT107" s="39" t="n">
        <f aca="false">+'CCs # Master'!AR106</f>
        <v>0</v>
      </c>
      <c r="AU107" s="39" t="n">
        <f aca="false">+'CCs # Master'!AS106</f>
        <v>0</v>
      </c>
      <c r="AV107" s="39" t="n">
        <f aca="false">+'CCs # Master'!AT106</f>
        <v>0</v>
      </c>
      <c r="AW107" s="0"/>
      <c r="AX107" s="71" t="n">
        <f aca="false">SUM(N107:AW107)</f>
        <v>687</v>
      </c>
      <c r="AY107" s="71" t="n">
        <f aca="false">+K107-AX107</f>
        <v>0</v>
      </c>
      <c r="AZ107" s="39"/>
      <c r="BA107" s="39" t="n">
        <f aca="false">+P107+Q107+T107+U107+V107+W107+X107+Y107</f>
        <v>0</v>
      </c>
      <c r="BB107" s="39" t="n">
        <f aca="false">N107</f>
        <v>137</v>
      </c>
      <c r="BC107" s="39" t="n">
        <f aca="false">SUM(P107:AW107)</f>
        <v>550</v>
      </c>
      <c r="BD107" s="39"/>
      <c r="BE107" s="39" t="n">
        <f aca="false">SUM(BB107:BC107)</f>
        <v>687</v>
      </c>
      <c r="BF107" s="39"/>
      <c r="BG107" s="48" t="n">
        <f aca="false">SUM(N107:AW107)</f>
        <v>687</v>
      </c>
      <c r="BH107" s="39" t="n">
        <f aca="false">BE107-BG107</f>
        <v>0</v>
      </c>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39"/>
      <c r="CV107" s="39"/>
      <c r="CW107" s="39"/>
      <c r="CX107" s="39"/>
      <c r="CY107" s="39"/>
      <c r="CZ107" s="39"/>
      <c r="DA107" s="39"/>
      <c r="DB107" s="39"/>
      <c r="DC107" s="39"/>
      <c r="DD107" s="39"/>
      <c r="DE107" s="39"/>
      <c r="DF107" s="39"/>
      <c r="DG107" s="39"/>
      <c r="DH107" s="39"/>
      <c r="DI107" s="39"/>
      <c r="DJ107" s="39"/>
      <c r="DK107" s="39"/>
      <c r="DL107" s="39"/>
      <c r="DM107" s="39"/>
      <c r="DN107" s="39"/>
      <c r="DO107" s="39"/>
      <c r="DP107" s="39"/>
      <c r="DQ107" s="39"/>
      <c r="DR107" s="39"/>
      <c r="DS107" s="39"/>
      <c r="DT107" s="39"/>
      <c r="DU107" s="39"/>
      <c r="DV107" s="39"/>
      <c r="DW107" s="39"/>
      <c r="DX107" s="39"/>
      <c r="DY107" s="39"/>
      <c r="DZ107" s="39"/>
      <c r="EA107" s="39"/>
      <c r="EB107" s="39"/>
      <c r="EC107" s="39"/>
      <c r="ED107" s="39"/>
      <c r="EE107" s="39"/>
      <c r="EF107" s="39"/>
      <c r="EG107" s="39"/>
      <c r="EH107" s="39"/>
      <c r="EI107" s="39"/>
      <c r="EJ107" s="39"/>
      <c r="EK107" s="39"/>
      <c r="EL107" s="39"/>
      <c r="EM107" s="39"/>
      <c r="EN107" s="39"/>
      <c r="EO107" s="39"/>
      <c r="EP107" s="39"/>
      <c r="EQ107" s="39"/>
      <c r="ER107" s="39"/>
      <c r="ES107" s="39"/>
      <c r="ET107" s="39"/>
      <c r="EU107" s="39"/>
      <c r="EV107" s="39"/>
      <c r="EW107" s="39"/>
      <c r="EX107" s="39"/>
      <c r="EY107" s="39"/>
      <c r="EZ107" s="39"/>
      <c r="FA107" s="39"/>
      <c r="FB107" s="39"/>
      <c r="FC107" s="39"/>
      <c r="FD107" s="39"/>
      <c r="FE107" s="39"/>
      <c r="FF107" s="39"/>
      <c r="FG107" s="39"/>
      <c r="FH107" s="39"/>
      <c r="FI107" s="39"/>
      <c r="FJ107" s="39"/>
      <c r="FK107" s="39"/>
      <c r="FL107" s="39"/>
      <c r="FM107" s="39"/>
      <c r="FN107" s="39"/>
      <c r="FO107" s="39"/>
      <c r="FP107" s="39"/>
      <c r="FQ107" s="39"/>
      <c r="FR107" s="39"/>
      <c r="FS107" s="39"/>
      <c r="FT107" s="39"/>
      <c r="FU107" s="39"/>
      <c r="FV107" s="39"/>
      <c r="FW107" s="39"/>
      <c r="FX107" s="39"/>
      <c r="FY107" s="39"/>
      <c r="FZ107" s="39"/>
      <c r="GA107" s="39"/>
      <c r="GB107" s="39"/>
      <c r="GC107" s="39"/>
      <c r="GD107" s="39"/>
      <c r="GE107" s="39"/>
      <c r="GF107" s="39"/>
      <c r="GG107" s="39"/>
      <c r="GH107" s="39"/>
      <c r="GI107" s="39"/>
      <c r="GJ107" s="39"/>
      <c r="GK107" s="39"/>
      <c r="GL107" s="39"/>
      <c r="GM107" s="39"/>
      <c r="GN107" s="39"/>
      <c r="GO107" s="39"/>
      <c r="GP107" s="39"/>
      <c r="GQ107" s="39"/>
      <c r="GR107" s="39"/>
      <c r="GS107" s="39"/>
      <c r="GT107" s="39"/>
      <c r="GU107" s="39"/>
      <c r="GV107" s="39"/>
      <c r="GW107" s="39"/>
      <c r="GX107" s="39"/>
      <c r="GY107" s="39"/>
      <c r="GZ107" s="39"/>
      <c r="HA107" s="39"/>
      <c r="HB107" s="39"/>
      <c r="HC107" s="39"/>
      <c r="HD107" s="39"/>
      <c r="HE107" s="39"/>
      <c r="HF107" s="39"/>
      <c r="HG107" s="39"/>
      <c r="HH107" s="39"/>
      <c r="HI107" s="39"/>
      <c r="HJ107" s="39"/>
      <c r="HK107" s="39"/>
      <c r="HL107" s="39"/>
      <c r="HM107" s="39"/>
      <c r="HN107" s="39"/>
      <c r="HO107" s="39"/>
      <c r="HP107" s="39"/>
      <c r="HQ107" s="39"/>
      <c r="HR107" s="39"/>
      <c r="HS107" s="39"/>
      <c r="HT107" s="39"/>
      <c r="HU107" s="39"/>
      <c r="HV107" s="39"/>
      <c r="HW107" s="39"/>
      <c r="HX107" s="39"/>
      <c r="HY107" s="39"/>
      <c r="HZ107" s="39"/>
      <c r="IA107" s="39"/>
      <c r="IB107" s="39"/>
      <c r="IC107" s="39"/>
      <c r="ID107" s="39"/>
      <c r="IE107" s="39"/>
      <c r="IF107" s="39"/>
      <c r="IG107" s="39"/>
      <c r="IH107" s="39"/>
      <c r="II107" s="39"/>
      <c r="IJ107" s="39"/>
      <c r="IK107" s="39"/>
      <c r="IL107" s="39"/>
      <c r="IM107" s="39"/>
      <c r="IN107" s="39"/>
      <c r="IO107" s="39"/>
      <c r="IP107" s="39"/>
      <c r="IQ107" s="39"/>
      <c r="IR107" s="39"/>
      <c r="IS107" s="39"/>
      <c r="IT107" s="39"/>
      <c r="IU107" s="39"/>
      <c r="IV107" s="39"/>
      <c r="IW107" s="39"/>
    </row>
    <row r="108" customFormat="false" ht="12.95" hidden="false" customHeight="true" outlineLevel="0" collapsed="false">
      <c r="A108" s="37" t="n">
        <f aca="false">+'CCs # Master'!A107</f>
        <v>11</v>
      </c>
      <c r="B108" s="39" t="str">
        <f aca="false">+'CCs # Master'!B107</f>
        <v>Environment Policy &amp; Compliance</v>
      </c>
      <c r="C108" s="39" t="str">
        <f aca="false">+'CCs # Master'!C107</f>
        <v>Thorn, Terry</v>
      </c>
      <c r="D108" s="96" t="n">
        <f aca="false">+'CCs # Master'!D107</f>
        <v>100223</v>
      </c>
      <c r="E108" s="39" t="n">
        <f aca="false">+'CCs # Master'!E107</f>
        <v>489</v>
      </c>
      <c r="F108" s="39" t="n">
        <f aca="false">+'CCs # Master'!F107</f>
        <v>309</v>
      </c>
      <c r="G108" s="39" t="n">
        <f aca="false">+'CCs # Master'!G107</f>
        <v>3</v>
      </c>
      <c r="H108" s="39" t="n">
        <f aca="false">+'CCs # Master'!H107</f>
        <v>100</v>
      </c>
      <c r="I108" s="39" t="n">
        <f aca="false">+'CCs # Master'!I107</f>
        <v>42</v>
      </c>
      <c r="J108" s="39" t="n">
        <f aca="false">+'CCs # Master'!J107</f>
        <v>77</v>
      </c>
      <c r="K108" s="71" t="n">
        <f aca="false">SUM(E108:J108)</f>
        <v>1020</v>
      </c>
      <c r="L108" s="39"/>
      <c r="M108" s="39" t="str">
        <f aca="false">+'CCs # Master'!M107</f>
        <v>% of Time Spent</v>
      </c>
      <c r="N108" s="39" t="n">
        <f aca="false">+'CCs # Master'!AW107</f>
        <v>0</v>
      </c>
      <c r="O108" s="39" t="n">
        <v>0</v>
      </c>
      <c r="P108" s="39" t="n">
        <f aca="false">+'CCs # Master'!N107</f>
        <v>0</v>
      </c>
      <c r="Q108" s="39" t="n">
        <f aca="false">+'CCs # Master'!O107</f>
        <v>0</v>
      </c>
      <c r="R108" s="39" t="n">
        <f aca="false">+'CCs # Master'!P107</f>
        <v>0</v>
      </c>
      <c r="S108" s="39" t="n">
        <f aca="false">+'CCs # Master'!Q107</f>
        <v>0</v>
      </c>
      <c r="T108" s="39" t="n">
        <f aca="false">+'CCs # Master'!R107</f>
        <v>0</v>
      </c>
      <c r="U108" s="39" t="n">
        <f aca="false">+'CCs # Master'!S107</f>
        <v>0</v>
      </c>
      <c r="V108" s="39" t="n">
        <f aca="false">+'CCs # Master'!T107</f>
        <v>0</v>
      </c>
      <c r="W108" s="39" t="n">
        <f aca="false">+'CCs # Master'!U107</f>
        <v>0</v>
      </c>
      <c r="X108" s="39" t="n">
        <f aca="false">+'CCs # Master'!V107</f>
        <v>55</v>
      </c>
      <c r="Y108" s="39" t="n">
        <f aca="false">+'CCs # Master'!W107</f>
        <v>0</v>
      </c>
      <c r="Z108" s="39" t="n">
        <f aca="false">+'CCs # Master'!X107</f>
        <v>343</v>
      </c>
      <c r="AA108" s="39" t="n">
        <f aca="false">+'CCs # Master'!Y107</f>
        <v>0</v>
      </c>
      <c r="AB108" s="39" t="n">
        <f aca="false">+'CCs # Master'!Z107</f>
        <v>38</v>
      </c>
      <c r="AC108" s="39" t="n">
        <f aca="false">+'CCs # Master'!AA107</f>
        <v>0</v>
      </c>
      <c r="AD108" s="39" t="n">
        <f aca="false">+'CCs # Master'!AB107</f>
        <v>76</v>
      </c>
      <c r="AE108" s="39" t="n">
        <f aca="false">+'CCs # Master'!AC107</f>
        <v>0</v>
      </c>
      <c r="AF108" s="39" t="n">
        <f aca="false">+'CCs # Master'!AD107</f>
        <v>336</v>
      </c>
      <c r="AG108" s="39" t="n">
        <f aca="false">+'CCs # Master'!AE107</f>
        <v>15</v>
      </c>
      <c r="AH108" s="39" t="n">
        <f aca="false">+'CCs # Master'!AF107</f>
        <v>85</v>
      </c>
      <c r="AI108" s="39" t="n">
        <f aca="false">+'CCs # Master'!AG107</f>
        <v>6</v>
      </c>
      <c r="AJ108" s="39" t="n">
        <f aca="false">+'CCs # Master'!AH107</f>
        <v>17</v>
      </c>
      <c r="AK108" s="39" t="n">
        <f aca="false">+'CCs # Master'!AI107</f>
        <v>17</v>
      </c>
      <c r="AL108" s="39" t="n">
        <f aca="false">+'CCs # Master'!AJ107</f>
        <v>9</v>
      </c>
      <c r="AM108" s="39" t="n">
        <f aca="false">+'CCs # Master'!AK107</f>
        <v>6</v>
      </c>
      <c r="AN108" s="39" t="n">
        <f aca="false">+'CCs # Master'!AL107</f>
        <v>17</v>
      </c>
      <c r="AO108" s="39" t="n">
        <f aca="false">+'CCs # Master'!AM107</f>
        <v>0</v>
      </c>
      <c r="AP108" s="39" t="n">
        <f aca="false">+'CCs # Master'!AN107</f>
        <v>0</v>
      </c>
      <c r="AQ108" s="39" t="n">
        <f aca="false">+'CCs # Master'!AO107</f>
        <v>0</v>
      </c>
      <c r="AR108" s="39" t="n">
        <f aca="false">+'CCs # Master'!AP107</f>
        <v>0</v>
      </c>
      <c r="AS108" s="39" t="n">
        <f aca="false">+'CCs # Master'!AQ107</f>
        <v>0</v>
      </c>
      <c r="AT108" s="39" t="n">
        <f aca="false">+'CCs # Master'!AR107</f>
        <v>0</v>
      </c>
      <c r="AU108" s="39" t="n">
        <f aca="false">+'CCs # Master'!AS107</f>
        <v>0</v>
      </c>
      <c r="AV108" s="39" t="n">
        <f aca="false">+'CCs # Master'!AT107</f>
        <v>0</v>
      </c>
      <c r="AW108" s="0"/>
      <c r="AX108" s="71" t="n">
        <f aca="false">SUM(N108:AW108)</f>
        <v>1020</v>
      </c>
      <c r="AY108" s="71" t="n">
        <f aca="false">+K108-AX108</f>
        <v>0</v>
      </c>
      <c r="AZ108" s="39"/>
      <c r="BA108" s="39" t="n">
        <f aca="false">+P108+Q108+T108+U108+V108+W108+X108+Y108</f>
        <v>55</v>
      </c>
      <c r="BB108" s="39" t="n">
        <f aca="false">N108</f>
        <v>0</v>
      </c>
      <c r="BC108" s="39" t="n">
        <f aca="false">SUM(P108:AW108)</f>
        <v>1020</v>
      </c>
      <c r="BD108" s="39"/>
      <c r="BE108" s="39" t="n">
        <f aca="false">SUM(BB108:BC108)</f>
        <v>1020</v>
      </c>
      <c r="BF108" s="39"/>
      <c r="BG108" s="48" t="n">
        <f aca="false">SUM(N108:AW108)</f>
        <v>1020</v>
      </c>
      <c r="BH108" s="39" t="n">
        <f aca="false">BE108-BG108</f>
        <v>0</v>
      </c>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39"/>
      <c r="CV108" s="39"/>
      <c r="CW108" s="39"/>
      <c r="CX108" s="39"/>
      <c r="CY108" s="39"/>
      <c r="CZ108" s="39"/>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39"/>
      <c r="EO108" s="39"/>
      <c r="EP108" s="39"/>
      <c r="EQ108" s="39"/>
      <c r="ER108" s="39"/>
      <c r="ES108" s="39"/>
      <c r="ET108" s="39"/>
      <c r="EU108" s="39"/>
      <c r="EV108" s="39"/>
      <c r="EW108" s="39"/>
      <c r="EX108" s="39"/>
      <c r="EY108" s="39"/>
      <c r="EZ108" s="39"/>
      <c r="FA108" s="39"/>
      <c r="FB108" s="39"/>
      <c r="FC108" s="39"/>
      <c r="FD108" s="39"/>
      <c r="FE108" s="39"/>
      <c r="FF108" s="39"/>
      <c r="FG108" s="39"/>
      <c r="FH108" s="39"/>
      <c r="FI108" s="39"/>
      <c r="FJ108" s="39"/>
      <c r="FK108" s="39"/>
      <c r="FL108" s="39"/>
      <c r="FM108" s="39"/>
      <c r="FN108" s="39"/>
      <c r="FO108" s="39"/>
      <c r="FP108" s="39"/>
      <c r="FQ108" s="39"/>
      <c r="FR108" s="39"/>
      <c r="FS108" s="39"/>
      <c r="FT108" s="39"/>
      <c r="FU108" s="39"/>
      <c r="FV108" s="39"/>
      <c r="FW108" s="39"/>
      <c r="FX108" s="39"/>
      <c r="FY108" s="39"/>
      <c r="FZ108" s="39"/>
      <c r="GA108" s="39"/>
      <c r="GB108" s="39"/>
      <c r="GC108" s="39"/>
      <c r="GD108" s="39"/>
      <c r="GE108" s="39"/>
      <c r="GF108" s="39"/>
      <c r="GG108" s="39"/>
      <c r="GH108" s="39"/>
      <c r="GI108" s="39"/>
      <c r="GJ108" s="39"/>
      <c r="GK108" s="39"/>
      <c r="GL108" s="39"/>
      <c r="GM108" s="39"/>
      <c r="GN108" s="39"/>
      <c r="GO108" s="39"/>
      <c r="GP108" s="39"/>
      <c r="GQ108" s="39"/>
      <c r="GR108" s="39"/>
      <c r="GS108" s="39"/>
      <c r="GT108" s="39"/>
      <c r="GU108" s="39"/>
      <c r="GV108" s="39"/>
      <c r="GW108" s="39"/>
      <c r="GX108" s="39"/>
      <c r="GY108" s="39"/>
      <c r="GZ108" s="39"/>
      <c r="HA108" s="39"/>
      <c r="HB108" s="39"/>
      <c r="HC108" s="39"/>
      <c r="HD108" s="39"/>
      <c r="HE108" s="39"/>
      <c r="HF108" s="39"/>
      <c r="HG108" s="39"/>
      <c r="HH108" s="39"/>
      <c r="HI108" s="39"/>
      <c r="HJ108" s="39"/>
      <c r="HK108" s="39"/>
      <c r="HL108" s="39"/>
      <c r="HM108" s="39"/>
      <c r="HN108" s="39"/>
      <c r="HO108" s="39"/>
      <c r="HP108" s="39"/>
      <c r="HQ108" s="39"/>
      <c r="HR108" s="39"/>
      <c r="HS108" s="39"/>
      <c r="HT108" s="39"/>
      <c r="HU108" s="39"/>
      <c r="HV108" s="39"/>
      <c r="HW108" s="39"/>
      <c r="HX108" s="39"/>
      <c r="HY108" s="39"/>
      <c r="HZ108" s="39"/>
      <c r="IA108" s="39"/>
      <c r="IB108" s="39"/>
      <c r="IC108" s="39"/>
      <c r="ID108" s="39"/>
      <c r="IE108" s="39"/>
      <c r="IF108" s="39"/>
      <c r="IG108" s="39"/>
      <c r="IH108" s="39"/>
      <c r="II108" s="39"/>
      <c r="IJ108" s="39"/>
      <c r="IK108" s="39"/>
      <c r="IL108" s="39"/>
      <c r="IM108" s="39"/>
      <c r="IN108" s="39"/>
      <c r="IO108" s="39"/>
      <c r="IP108" s="39"/>
      <c r="IQ108" s="39"/>
      <c r="IR108" s="39"/>
      <c r="IS108" s="39"/>
      <c r="IT108" s="39"/>
      <c r="IU108" s="39"/>
      <c r="IV108" s="39"/>
      <c r="IW108" s="39"/>
    </row>
    <row r="109" customFormat="false" ht="12.95" hidden="false" customHeight="true" outlineLevel="0" collapsed="false">
      <c r="A109" s="37" t="n">
        <f aca="false">+'CCs # Master'!A110</f>
        <v>11</v>
      </c>
      <c r="B109" s="39" t="str">
        <f aca="false">+'CCs # Master'!B110</f>
        <v>International Government Affairs</v>
      </c>
      <c r="C109" s="39" t="str">
        <f aca="false">+'CCs # Master'!C110</f>
        <v>Thorn, Terry</v>
      </c>
      <c r="D109" s="96" t="n">
        <f aca="false">+'CCs # Master'!D110</f>
        <v>100231</v>
      </c>
      <c r="E109" s="39" t="n">
        <f aca="false">+'CCs # Master'!E110</f>
        <v>985</v>
      </c>
      <c r="F109" s="39" t="n">
        <f aca="false">+'CCs # Master'!F110</f>
        <v>539</v>
      </c>
      <c r="G109" s="39" t="n">
        <f aca="false">+'CCs # Master'!G110</f>
        <v>6</v>
      </c>
      <c r="H109" s="39" t="n">
        <f aca="false">+'CCs # Master'!H110</f>
        <v>210</v>
      </c>
      <c r="I109" s="39" t="n">
        <f aca="false">+'CCs # Master'!I110</f>
        <v>84</v>
      </c>
      <c r="J109" s="39" t="n">
        <f aca="false">+'CCs # Master'!J110</f>
        <v>132</v>
      </c>
      <c r="K109" s="71" t="n">
        <f aca="false">SUM(E109:J109)</f>
        <v>1956</v>
      </c>
      <c r="L109" s="39"/>
      <c r="M109" s="39" t="str">
        <f aca="false">+'CCs # Master'!M110</f>
        <v>Usage</v>
      </c>
      <c r="N109" s="39" t="n">
        <f aca="false">+'CCs # Master'!AW110</f>
        <v>0</v>
      </c>
      <c r="O109" s="39" t="n">
        <v>0</v>
      </c>
      <c r="P109" s="39" t="n">
        <f aca="false">+'CCs # Master'!N110</f>
        <v>0</v>
      </c>
      <c r="Q109" s="39" t="n">
        <f aca="false">+'CCs # Master'!O110</f>
        <v>0</v>
      </c>
      <c r="R109" s="39" t="n">
        <f aca="false">+'CCs # Master'!P110</f>
        <v>0</v>
      </c>
      <c r="S109" s="39" t="n">
        <f aca="false">+'CCs # Master'!Q110</f>
        <v>0</v>
      </c>
      <c r="T109" s="39" t="n">
        <f aca="false">+'CCs # Master'!R110</f>
        <v>0</v>
      </c>
      <c r="U109" s="39" t="n">
        <f aca="false">+'CCs # Master'!S110</f>
        <v>0</v>
      </c>
      <c r="V109" s="39" t="n">
        <f aca="false">+'CCs # Master'!T110</f>
        <v>0</v>
      </c>
      <c r="W109" s="39" t="n">
        <f aca="false">+'CCs # Master'!U110</f>
        <v>0</v>
      </c>
      <c r="X109" s="39" t="n">
        <f aca="false">+'CCs # Master'!V110</f>
        <v>0</v>
      </c>
      <c r="Y109" s="39" t="n">
        <f aca="false">+'CCs # Master'!W110</f>
        <v>0</v>
      </c>
      <c r="Z109" s="39" t="n">
        <f aca="false">+'CCs # Master'!X110</f>
        <v>0</v>
      </c>
      <c r="AA109" s="39" t="n">
        <f aca="false">+'CCs # Master'!Y110</f>
        <v>0</v>
      </c>
      <c r="AB109" s="39" t="n">
        <f aca="false">+'CCs # Master'!Z110</f>
        <v>0</v>
      </c>
      <c r="AC109" s="39" t="n">
        <f aca="false">+'CCs # Master'!AA110</f>
        <v>0</v>
      </c>
      <c r="AD109" s="39" t="n">
        <f aca="false">+'CCs # Master'!AB110</f>
        <v>0</v>
      </c>
      <c r="AE109" s="39" t="n">
        <f aca="false">+'CCs # Master'!AC110</f>
        <v>0</v>
      </c>
      <c r="AF109" s="39" t="n">
        <f aca="false">+'CCs # Master'!AD110</f>
        <v>0</v>
      </c>
      <c r="AG109" s="39" t="n">
        <f aca="false">+'CCs # Master'!AE110</f>
        <v>345</v>
      </c>
      <c r="AH109" s="39" t="n">
        <f aca="false">+'CCs # Master'!AF110</f>
        <v>0</v>
      </c>
      <c r="AI109" s="39" t="n">
        <f aca="false">+'CCs # Master'!AG110</f>
        <v>0</v>
      </c>
      <c r="AJ109" s="39" t="n">
        <f aca="false">+'CCs # Master'!AH110</f>
        <v>780</v>
      </c>
      <c r="AK109" s="39" t="n">
        <f aca="false">+'CCs # Master'!AI110</f>
        <v>0</v>
      </c>
      <c r="AL109" s="39" t="n">
        <f aca="false">+'CCs # Master'!AJ110</f>
        <v>831</v>
      </c>
      <c r="AM109" s="39" t="n">
        <f aca="false">+'CCs # Master'!AK110</f>
        <v>0</v>
      </c>
      <c r="AN109" s="39" t="n">
        <f aca="false">+'CCs # Master'!AL110</f>
        <v>0</v>
      </c>
      <c r="AO109" s="39" t="n">
        <f aca="false">+'CCs # Master'!AM110</f>
        <v>0</v>
      </c>
      <c r="AP109" s="39" t="n">
        <f aca="false">+'CCs # Master'!AN110</f>
        <v>0</v>
      </c>
      <c r="AQ109" s="39" t="n">
        <f aca="false">+'CCs # Master'!AO110</f>
        <v>0</v>
      </c>
      <c r="AR109" s="39" t="n">
        <f aca="false">+'CCs # Master'!AP110</f>
        <v>0</v>
      </c>
      <c r="AS109" s="39" t="n">
        <f aca="false">+'CCs # Master'!AQ110</f>
        <v>0</v>
      </c>
      <c r="AT109" s="39" t="n">
        <f aca="false">+'CCs # Master'!AR110</f>
        <v>0</v>
      </c>
      <c r="AU109" s="39" t="n">
        <f aca="false">+'CCs # Master'!AS110</f>
        <v>0</v>
      </c>
      <c r="AV109" s="39" t="n">
        <f aca="false">+'CCs # Master'!AT110</f>
        <v>0</v>
      </c>
      <c r="AW109" s="0"/>
      <c r="AX109" s="71" t="n">
        <f aca="false">SUM(N109:AW109)</f>
        <v>1956</v>
      </c>
      <c r="AY109" s="71" t="n">
        <f aca="false">+K109-AX109</f>
        <v>0</v>
      </c>
      <c r="AZ109" s="39"/>
      <c r="BA109" s="39" t="n">
        <f aca="false">+P109+Q109+T109+U109+V109+W109+X109+Y109</f>
        <v>0</v>
      </c>
      <c r="BB109" s="39" t="n">
        <f aca="false">N109</f>
        <v>0</v>
      </c>
      <c r="BC109" s="39" t="n">
        <f aca="false">SUM(P109:AW109)</f>
        <v>1956</v>
      </c>
      <c r="BD109" s="39"/>
      <c r="BE109" s="39" t="n">
        <f aca="false">SUM(BB109:BC109)</f>
        <v>1956</v>
      </c>
      <c r="BF109" s="39"/>
      <c r="BG109" s="48" t="n">
        <f aca="false">SUM(N109:AW109)</f>
        <v>1956</v>
      </c>
      <c r="BH109" s="39" t="n">
        <f aca="false">BE109-BG109</f>
        <v>0</v>
      </c>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c r="GI109" s="39"/>
      <c r="GJ109" s="39"/>
      <c r="GK109" s="39"/>
      <c r="GL109" s="39"/>
      <c r="GM109" s="39"/>
      <c r="GN109" s="39"/>
      <c r="GO109" s="39"/>
      <c r="GP109" s="39"/>
      <c r="GQ109" s="39"/>
      <c r="GR109" s="39"/>
      <c r="GS109" s="39"/>
      <c r="GT109" s="39"/>
      <c r="GU109" s="39"/>
      <c r="GV109" s="39"/>
      <c r="GW109" s="39"/>
      <c r="GX109" s="39"/>
      <c r="GY109" s="39"/>
      <c r="GZ109" s="39"/>
      <c r="HA109" s="39"/>
      <c r="HB109" s="39"/>
      <c r="HC109" s="39"/>
      <c r="HD109" s="39"/>
      <c r="HE109" s="39"/>
      <c r="HF109" s="39"/>
      <c r="HG109" s="39"/>
      <c r="HH109" s="39"/>
      <c r="HI109" s="39"/>
      <c r="HJ109" s="39"/>
      <c r="HK109" s="39"/>
      <c r="HL109" s="39"/>
      <c r="HM109" s="39"/>
      <c r="HN109" s="39"/>
      <c r="HO109" s="39"/>
      <c r="HP109" s="39"/>
      <c r="HQ109" s="39"/>
      <c r="HR109" s="39"/>
      <c r="HS109" s="39"/>
      <c r="HT109" s="39"/>
      <c r="HU109" s="39"/>
      <c r="HV109" s="39"/>
      <c r="HW109" s="39"/>
      <c r="HX109" s="39"/>
      <c r="HY109" s="39"/>
      <c r="HZ109" s="39"/>
      <c r="IA109" s="39"/>
      <c r="IB109" s="39"/>
      <c r="IC109" s="39"/>
      <c r="ID109" s="39"/>
      <c r="IE109" s="39"/>
      <c r="IF109" s="39"/>
      <c r="IG109" s="39"/>
      <c r="IH109" s="39"/>
      <c r="II109" s="39"/>
      <c r="IJ109" s="39"/>
      <c r="IK109" s="39"/>
      <c r="IL109" s="39"/>
      <c r="IM109" s="39"/>
      <c r="IN109" s="39"/>
      <c r="IO109" s="39"/>
      <c r="IP109" s="39"/>
      <c r="IQ109" s="39"/>
      <c r="IR109" s="39"/>
      <c r="IS109" s="39"/>
      <c r="IT109" s="39"/>
      <c r="IU109" s="39"/>
      <c r="IV109" s="39"/>
      <c r="IW109" s="39"/>
    </row>
    <row r="110" customFormat="false" ht="12.95" hidden="false" customHeight="true" outlineLevel="0" collapsed="false">
      <c r="A110" s="37" t="n">
        <f aca="false">+'CCs # Master'!A111</f>
        <v>11</v>
      </c>
      <c r="B110" s="39" t="str">
        <f aca="false">+'CCs # Master'!B111</f>
        <v>International Regulatory Affairs</v>
      </c>
      <c r="C110" s="39" t="str">
        <f aca="false">+'CCs # Master'!C111</f>
        <v>Thorn, Terry</v>
      </c>
      <c r="D110" s="96" t="n">
        <f aca="false">+'CCs # Master'!D111</f>
        <v>100232</v>
      </c>
      <c r="E110" s="39" t="n">
        <f aca="false">+'CCs # Master'!E111</f>
        <v>0</v>
      </c>
      <c r="F110" s="39" t="n">
        <f aca="false">+'CCs # Master'!F111</f>
        <v>0</v>
      </c>
      <c r="G110" s="39" t="n">
        <f aca="false">+'CCs # Master'!G111</f>
        <v>0</v>
      </c>
      <c r="H110" s="39" t="n">
        <f aca="false">+'CCs # Master'!H111</f>
        <v>0</v>
      </c>
      <c r="I110" s="39" t="n">
        <f aca="false">+'CCs # Master'!I111</f>
        <v>0</v>
      </c>
      <c r="J110" s="39" t="n">
        <f aca="false">+'CCs # Master'!J111</f>
        <v>0</v>
      </c>
      <c r="K110" s="71" t="n">
        <f aca="false">SUM(E110:J110)</f>
        <v>0</v>
      </c>
      <c r="L110" s="39"/>
      <c r="M110" s="39" t="str">
        <f aca="false">+'CCs # Master'!M111</f>
        <v>Usage</v>
      </c>
      <c r="N110" s="39" t="n">
        <f aca="false">+'CCs # Master'!AW111</f>
        <v>0</v>
      </c>
      <c r="O110" s="39" t="n">
        <v>0</v>
      </c>
      <c r="P110" s="39" t="n">
        <f aca="false">+'CCs # Master'!N111</f>
        <v>0</v>
      </c>
      <c r="Q110" s="39" t="n">
        <f aca="false">+'CCs # Master'!O111</f>
        <v>0</v>
      </c>
      <c r="R110" s="39" t="n">
        <f aca="false">+'CCs # Master'!P111</f>
        <v>0</v>
      </c>
      <c r="S110" s="39" t="n">
        <f aca="false">+'CCs # Master'!Q111</f>
        <v>0</v>
      </c>
      <c r="T110" s="39" t="n">
        <f aca="false">+'CCs # Master'!R111</f>
        <v>0</v>
      </c>
      <c r="U110" s="39" t="n">
        <f aca="false">+'CCs # Master'!S111</f>
        <v>0</v>
      </c>
      <c r="V110" s="39" t="n">
        <f aca="false">+'CCs # Master'!T111</f>
        <v>0</v>
      </c>
      <c r="W110" s="39" t="n">
        <f aca="false">+'CCs # Master'!U111</f>
        <v>0</v>
      </c>
      <c r="X110" s="39" t="n">
        <f aca="false">+'CCs # Master'!V111</f>
        <v>0</v>
      </c>
      <c r="Y110" s="39" t="n">
        <f aca="false">+'CCs # Master'!W111</f>
        <v>0</v>
      </c>
      <c r="Z110" s="39" t="n">
        <f aca="false">+'CCs # Master'!X111</f>
        <v>0</v>
      </c>
      <c r="AA110" s="39" t="n">
        <f aca="false">+'CCs # Master'!Y111</f>
        <v>0</v>
      </c>
      <c r="AB110" s="39" t="n">
        <f aca="false">+'CCs # Master'!Z111</f>
        <v>0</v>
      </c>
      <c r="AC110" s="39" t="n">
        <f aca="false">+'CCs # Master'!AA111</f>
        <v>0</v>
      </c>
      <c r="AD110" s="39" t="n">
        <f aca="false">+'CCs # Master'!AB111</f>
        <v>0</v>
      </c>
      <c r="AE110" s="39" t="n">
        <f aca="false">+'CCs # Master'!AC111</f>
        <v>0</v>
      </c>
      <c r="AF110" s="39" t="n">
        <f aca="false">+'CCs # Master'!AD111</f>
        <v>0</v>
      </c>
      <c r="AG110" s="39" t="n">
        <f aca="false">+'CCs # Master'!AE111</f>
        <v>0</v>
      </c>
      <c r="AH110" s="39" t="n">
        <f aca="false">+'CCs # Master'!AF111</f>
        <v>0</v>
      </c>
      <c r="AI110" s="39" t="n">
        <f aca="false">+'CCs # Master'!AG111</f>
        <v>0</v>
      </c>
      <c r="AJ110" s="39" t="n">
        <f aca="false">+'CCs # Master'!AH111</f>
        <v>0</v>
      </c>
      <c r="AK110" s="39" t="n">
        <f aca="false">+'CCs # Master'!AI111</f>
        <v>0</v>
      </c>
      <c r="AL110" s="39" t="n">
        <f aca="false">+'CCs # Master'!AJ111</f>
        <v>0</v>
      </c>
      <c r="AM110" s="39" t="n">
        <f aca="false">+'CCs # Master'!AK111</f>
        <v>0</v>
      </c>
      <c r="AN110" s="39" t="n">
        <f aca="false">+'CCs # Master'!AL111</f>
        <v>0</v>
      </c>
      <c r="AO110" s="39" t="n">
        <f aca="false">+'CCs # Master'!AM111</f>
        <v>0</v>
      </c>
      <c r="AP110" s="39" t="n">
        <f aca="false">+'CCs # Master'!AN111</f>
        <v>0</v>
      </c>
      <c r="AQ110" s="39" t="n">
        <f aca="false">+'CCs # Master'!AO111</f>
        <v>0</v>
      </c>
      <c r="AR110" s="39" t="n">
        <f aca="false">+'CCs # Master'!AP111</f>
        <v>0</v>
      </c>
      <c r="AS110" s="39" t="n">
        <f aca="false">+'CCs # Master'!AQ111</f>
        <v>0</v>
      </c>
      <c r="AT110" s="39" t="n">
        <f aca="false">+'CCs # Master'!AR111</f>
        <v>0</v>
      </c>
      <c r="AU110" s="39" t="n">
        <f aca="false">+'CCs # Master'!AS111</f>
        <v>0</v>
      </c>
      <c r="AV110" s="39" t="n">
        <f aca="false">+'CCs # Master'!AT111</f>
        <v>0</v>
      </c>
      <c r="AW110" s="0"/>
      <c r="AX110" s="71" t="n">
        <f aca="false">SUM(N110:AW110)</f>
        <v>0</v>
      </c>
      <c r="AY110" s="71" t="n">
        <f aca="false">+K110-AX110</f>
        <v>0</v>
      </c>
      <c r="AZ110" s="39"/>
      <c r="BA110" s="39" t="n">
        <f aca="false">+P110+Q110+T110+U110+V110+W110+X110+Y110</f>
        <v>0</v>
      </c>
      <c r="BB110" s="39" t="n">
        <f aca="false">N110</f>
        <v>0</v>
      </c>
      <c r="BC110" s="39" t="n">
        <f aca="false">SUM(P110:AW110)</f>
        <v>0</v>
      </c>
      <c r="BD110" s="39"/>
      <c r="BE110" s="39" t="n">
        <f aca="false">SUM(BB110:BC110)</f>
        <v>0</v>
      </c>
      <c r="BF110" s="39"/>
      <c r="BG110" s="48" t="n">
        <f aca="false">SUM(N110:AW110)</f>
        <v>0</v>
      </c>
      <c r="BH110" s="39" t="n">
        <f aca="false">BE110-BG110</f>
        <v>0</v>
      </c>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c r="GI110" s="39"/>
      <c r="GJ110" s="39"/>
      <c r="GK110" s="39"/>
      <c r="GL110" s="39"/>
      <c r="GM110" s="39"/>
      <c r="GN110" s="39"/>
      <c r="GO110" s="39"/>
      <c r="GP110" s="39"/>
      <c r="GQ110" s="39"/>
      <c r="GR110" s="39"/>
      <c r="GS110" s="39"/>
      <c r="GT110" s="39"/>
      <c r="GU110" s="39"/>
      <c r="GV110" s="39"/>
      <c r="GW110" s="39"/>
      <c r="GX110" s="39"/>
      <c r="GY110" s="39"/>
      <c r="GZ110" s="39"/>
      <c r="HA110" s="39"/>
      <c r="HB110" s="39"/>
      <c r="HC110" s="39"/>
      <c r="HD110" s="39"/>
      <c r="HE110" s="39"/>
      <c r="HF110" s="39"/>
      <c r="HG110" s="39"/>
      <c r="HH110" s="39"/>
      <c r="HI110" s="39"/>
      <c r="HJ110" s="39"/>
      <c r="HK110" s="39"/>
      <c r="HL110" s="39"/>
      <c r="HM110" s="39"/>
      <c r="HN110" s="39"/>
      <c r="HO110" s="39"/>
      <c r="HP110" s="39"/>
      <c r="HQ110" s="39"/>
      <c r="HR110" s="39"/>
      <c r="HS110" s="39"/>
      <c r="HT110" s="39"/>
      <c r="HU110" s="39"/>
      <c r="HV110" s="39"/>
      <c r="HW110" s="39"/>
      <c r="HX110" s="39"/>
      <c r="HY110" s="39"/>
      <c r="HZ110" s="39"/>
      <c r="IA110" s="39"/>
      <c r="IB110" s="39"/>
      <c r="IC110" s="39"/>
      <c r="ID110" s="39"/>
      <c r="IE110" s="39"/>
      <c r="IF110" s="39"/>
      <c r="IG110" s="39"/>
      <c r="IH110" s="39"/>
      <c r="II110" s="39"/>
      <c r="IJ110" s="39"/>
      <c r="IK110" s="39"/>
      <c r="IL110" s="39"/>
      <c r="IM110" s="39"/>
      <c r="IN110" s="39"/>
      <c r="IO110" s="39"/>
      <c r="IP110" s="39"/>
      <c r="IQ110" s="39"/>
      <c r="IR110" s="39"/>
      <c r="IS110" s="39"/>
      <c r="IT110" s="39"/>
      <c r="IU110" s="39"/>
      <c r="IV110" s="39"/>
      <c r="IW110" s="39"/>
    </row>
    <row r="111" customFormat="false" ht="12.95" hidden="false" customHeight="true" outlineLevel="0" collapsed="false">
      <c r="A111" s="37" t="n">
        <f aca="false">+'CCs # Master'!A112</f>
        <v>11</v>
      </c>
      <c r="B111" s="39" t="str">
        <f aca="false">+'CCs # Master'!B112</f>
        <v>International Project Finance</v>
      </c>
      <c r="C111" s="39" t="str">
        <f aca="false">+'CCs # Master'!C112</f>
        <v>Thorn, Terry</v>
      </c>
      <c r="D111" s="96" t="n">
        <f aca="false">+'CCs # Master'!D112</f>
        <v>100233</v>
      </c>
      <c r="E111" s="39" t="n">
        <f aca="false">+'CCs # Master'!E112</f>
        <v>377</v>
      </c>
      <c r="F111" s="39" t="n">
        <f aca="false">+'CCs # Master'!F112</f>
        <v>214</v>
      </c>
      <c r="G111" s="39" t="n">
        <f aca="false">+'CCs # Master'!G112</f>
        <v>12</v>
      </c>
      <c r="H111" s="39" t="n">
        <f aca="false">+'CCs # Master'!H112</f>
        <v>200</v>
      </c>
      <c r="I111" s="39" t="n">
        <f aca="false">+'CCs # Master'!I112</f>
        <v>0</v>
      </c>
      <c r="J111" s="39" t="n">
        <f aca="false">+'CCs # Master'!J112</f>
        <v>95</v>
      </c>
      <c r="K111" s="71" t="n">
        <f aca="false">SUM(E111:J111)</f>
        <v>898</v>
      </c>
      <c r="L111" s="39"/>
      <c r="M111" s="39" t="str">
        <f aca="false">+'CCs # Master'!M112</f>
        <v>Usage</v>
      </c>
      <c r="N111" s="39" t="n">
        <f aca="false">+'CCs # Master'!AW112</f>
        <v>0</v>
      </c>
      <c r="O111" s="39" t="n">
        <v>0</v>
      </c>
      <c r="P111" s="39" t="n">
        <f aca="false">+'CCs # Master'!N112</f>
        <v>0</v>
      </c>
      <c r="Q111" s="39" t="n">
        <f aca="false">+'CCs # Master'!O112</f>
        <v>0</v>
      </c>
      <c r="R111" s="39" t="n">
        <f aca="false">+'CCs # Master'!P112</f>
        <v>0</v>
      </c>
      <c r="S111" s="39" t="n">
        <f aca="false">+'CCs # Master'!Q112</f>
        <v>0</v>
      </c>
      <c r="T111" s="39" t="n">
        <f aca="false">+'CCs # Master'!R112</f>
        <v>0</v>
      </c>
      <c r="U111" s="39" t="n">
        <f aca="false">+'CCs # Master'!S112</f>
        <v>0</v>
      </c>
      <c r="V111" s="39" t="n">
        <f aca="false">+'CCs # Master'!T112</f>
        <v>0</v>
      </c>
      <c r="W111" s="39" t="n">
        <f aca="false">+'CCs # Master'!U112</f>
        <v>0</v>
      </c>
      <c r="X111" s="39" t="n">
        <f aca="false">+'CCs # Master'!V112</f>
        <v>0</v>
      </c>
      <c r="Y111" s="39" t="n">
        <f aca="false">+'CCs # Master'!W112</f>
        <v>0</v>
      </c>
      <c r="Z111" s="39" t="n">
        <f aca="false">+'CCs # Master'!X112</f>
        <v>0</v>
      </c>
      <c r="AA111" s="39" t="n">
        <f aca="false">+'CCs # Master'!Y112</f>
        <v>0</v>
      </c>
      <c r="AB111" s="39" t="n">
        <f aca="false">+'CCs # Master'!Z112</f>
        <v>0</v>
      </c>
      <c r="AC111" s="39" t="n">
        <f aca="false">+'CCs # Master'!AA112</f>
        <v>0</v>
      </c>
      <c r="AD111" s="39" t="n">
        <f aca="false">+'CCs # Master'!AB112</f>
        <v>135</v>
      </c>
      <c r="AE111" s="39" t="n">
        <f aca="false">+'CCs # Master'!AC112</f>
        <v>0</v>
      </c>
      <c r="AF111" s="39" t="n">
        <f aca="false">+'CCs # Master'!AD112</f>
        <v>135</v>
      </c>
      <c r="AG111" s="39" t="n">
        <f aca="false">+'CCs # Master'!AE112</f>
        <v>0</v>
      </c>
      <c r="AH111" s="39" t="n">
        <f aca="false">+'CCs # Master'!AF112</f>
        <v>0</v>
      </c>
      <c r="AI111" s="39" t="n">
        <f aca="false">+'CCs # Master'!AG112</f>
        <v>90</v>
      </c>
      <c r="AJ111" s="39" t="n">
        <f aca="false">+'CCs # Master'!AH112</f>
        <v>0</v>
      </c>
      <c r="AK111" s="39" t="n">
        <f aca="false">+'CCs # Master'!AI112</f>
        <v>313</v>
      </c>
      <c r="AL111" s="39" t="n">
        <f aca="false">+'CCs # Master'!AJ112</f>
        <v>90</v>
      </c>
      <c r="AM111" s="39" t="n">
        <f aca="false">+'CCs # Master'!AK112</f>
        <v>0</v>
      </c>
      <c r="AN111" s="39" t="n">
        <f aca="false">+'CCs # Master'!AL112</f>
        <v>135</v>
      </c>
      <c r="AO111" s="39" t="n">
        <f aca="false">+'CCs # Master'!AM112</f>
        <v>0</v>
      </c>
      <c r="AP111" s="39" t="n">
        <f aca="false">+'CCs # Master'!AN112</f>
        <v>0</v>
      </c>
      <c r="AQ111" s="39" t="n">
        <f aca="false">+'CCs # Master'!AO112</f>
        <v>0</v>
      </c>
      <c r="AR111" s="39" t="n">
        <f aca="false">+'CCs # Master'!AP112</f>
        <v>0</v>
      </c>
      <c r="AS111" s="39" t="n">
        <f aca="false">+'CCs # Master'!AQ112</f>
        <v>0</v>
      </c>
      <c r="AT111" s="39" t="n">
        <f aca="false">+'CCs # Master'!AR112</f>
        <v>0</v>
      </c>
      <c r="AU111" s="39" t="n">
        <f aca="false">+'CCs # Master'!AS112</f>
        <v>0</v>
      </c>
      <c r="AV111" s="39" t="n">
        <f aca="false">+'CCs # Master'!AT112</f>
        <v>0</v>
      </c>
      <c r="AW111" s="0"/>
      <c r="AX111" s="71" t="n">
        <f aca="false">SUM(N111:AW111)</f>
        <v>898</v>
      </c>
      <c r="AY111" s="71" t="n">
        <f aca="false">+K111-AX111</f>
        <v>0</v>
      </c>
      <c r="AZ111" s="39"/>
      <c r="BA111" s="39" t="n">
        <f aca="false">+P111+Q111+T111+U111+V111+W111+X111+Y111</f>
        <v>0</v>
      </c>
      <c r="BB111" s="39" t="n">
        <f aca="false">N111</f>
        <v>0</v>
      </c>
      <c r="BC111" s="39" t="n">
        <f aca="false">SUM(P111:AW111)</f>
        <v>898</v>
      </c>
      <c r="BD111" s="39"/>
      <c r="BE111" s="39" t="n">
        <f aca="false">SUM(BB111:BC111)</f>
        <v>898</v>
      </c>
      <c r="BF111" s="39"/>
      <c r="BG111" s="48" t="n">
        <f aca="false">SUM(N111:AW111)</f>
        <v>898</v>
      </c>
      <c r="BH111" s="39" t="n">
        <f aca="false">BE111-BG111</f>
        <v>0</v>
      </c>
      <c r="BI111" s="39"/>
      <c r="BJ111" s="39"/>
      <c r="BK111" s="39"/>
      <c r="BL111" s="39"/>
      <c r="BM111" s="39"/>
      <c r="BN111" s="39"/>
      <c r="BO111" s="39"/>
      <c r="BP111" s="39"/>
      <c r="BQ111" s="39"/>
      <c r="BR111" s="39"/>
      <c r="BS111" s="39"/>
      <c r="BT111" s="39"/>
      <c r="BU111" s="39"/>
      <c r="BV111" s="39"/>
      <c r="BW111" s="39"/>
      <c r="BX111" s="39"/>
      <c r="BY111" s="39"/>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39"/>
      <c r="DA111" s="39"/>
      <c r="DB111" s="39"/>
      <c r="DC111" s="39"/>
      <c r="DD111" s="39"/>
      <c r="DE111" s="39"/>
      <c r="DF111" s="39"/>
      <c r="DG111" s="39"/>
      <c r="DH111" s="39"/>
      <c r="DI111" s="39"/>
      <c r="DJ111" s="39"/>
      <c r="DK111" s="39"/>
      <c r="DL111" s="39"/>
      <c r="DM111" s="39"/>
      <c r="DN111" s="39"/>
      <c r="DO111" s="39"/>
      <c r="DP111" s="39"/>
      <c r="DQ111" s="39"/>
      <c r="DR111" s="39"/>
      <c r="DS111" s="39"/>
      <c r="DT111" s="39"/>
      <c r="DU111" s="39"/>
      <c r="DV111" s="39"/>
      <c r="DW111" s="39"/>
      <c r="DX111" s="39"/>
      <c r="DY111" s="39"/>
      <c r="DZ111" s="39"/>
      <c r="EA111" s="39"/>
      <c r="EB111" s="39"/>
      <c r="EC111" s="39"/>
      <c r="ED111" s="39"/>
      <c r="EE111" s="39"/>
      <c r="EF111" s="39"/>
      <c r="EG111" s="39"/>
      <c r="EH111" s="39"/>
      <c r="EI111" s="39"/>
      <c r="EJ111" s="39"/>
      <c r="EK111" s="39"/>
      <c r="EL111" s="39"/>
      <c r="EM111" s="39"/>
      <c r="EN111" s="39"/>
      <c r="EO111" s="39"/>
      <c r="EP111" s="39"/>
      <c r="EQ111" s="39"/>
      <c r="ER111" s="39"/>
      <c r="ES111" s="39"/>
      <c r="ET111" s="39"/>
      <c r="EU111" s="39"/>
      <c r="EV111" s="39"/>
      <c r="EW111" s="39"/>
      <c r="EX111" s="39"/>
      <c r="EY111" s="39"/>
      <c r="EZ111" s="39"/>
      <c r="FA111" s="39"/>
      <c r="FB111" s="39"/>
      <c r="FC111" s="39"/>
      <c r="FD111" s="39"/>
      <c r="FE111" s="39"/>
      <c r="FF111" s="39"/>
      <c r="FG111" s="39"/>
      <c r="FH111" s="39"/>
      <c r="FI111" s="39"/>
      <c r="FJ111" s="39"/>
      <c r="FK111" s="39"/>
      <c r="FL111" s="39"/>
      <c r="FM111" s="39"/>
      <c r="FN111" s="39"/>
      <c r="FO111" s="39"/>
      <c r="FP111" s="39"/>
      <c r="FQ111" s="39"/>
      <c r="FR111" s="39"/>
      <c r="FS111" s="39"/>
      <c r="FT111" s="39"/>
      <c r="FU111" s="39"/>
      <c r="FV111" s="39"/>
      <c r="FW111" s="39"/>
      <c r="FX111" s="39"/>
      <c r="FY111" s="39"/>
      <c r="FZ111" s="39"/>
      <c r="GA111" s="39"/>
      <c r="GB111" s="39"/>
      <c r="GC111" s="39"/>
      <c r="GD111" s="39"/>
      <c r="GE111" s="39"/>
      <c r="GF111" s="39"/>
      <c r="GG111" s="39"/>
      <c r="GH111" s="39"/>
      <c r="GI111" s="39"/>
      <c r="GJ111" s="39"/>
      <c r="GK111" s="39"/>
      <c r="GL111" s="39"/>
      <c r="GM111" s="39"/>
      <c r="GN111" s="39"/>
      <c r="GO111" s="39"/>
      <c r="GP111" s="39"/>
      <c r="GQ111" s="39"/>
      <c r="GR111" s="39"/>
      <c r="GS111" s="39"/>
      <c r="GT111" s="39"/>
      <c r="GU111" s="39"/>
      <c r="GV111" s="39"/>
      <c r="GW111" s="39"/>
      <c r="GX111" s="39"/>
      <c r="GY111" s="39"/>
      <c r="GZ111" s="39"/>
      <c r="HA111" s="39"/>
      <c r="HB111" s="39"/>
      <c r="HC111" s="39"/>
      <c r="HD111" s="39"/>
      <c r="HE111" s="39"/>
      <c r="HF111" s="39"/>
      <c r="HG111" s="39"/>
      <c r="HH111" s="39"/>
      <c r="HI111" s="39"/>
      <c r="HJ111" s="39"/>
      <c r="HK111" s="39"/>
      <c r="HL111" s="39"/>
      <c r="HM111" s="39"/>
      <c r="HN111" s="39"/>
      <c r="HO111" s="39"/>
      <c r="HP111" s="39"/>
      <c r="HQ111" s="39"/>
      <c r="HR111" s="39"/>
      <c r="HS111" s="39"/>
      <c r="HT111" s="39"/>
      <c r="HU111" s="39"/>
      <c r="HV111" s="39"/>
      <c r="HW111" s="39"/>
      <c r="HX111" s="39"/>
      <c r="HY111" s="39"/>
      <c r="HZ111" s="39"/>
      <c r="IA111" s="39"/>
      <c r="IB111" s="39"/>
      <c r="IC111" s="39"/>
      <c r="ID111" s="39"/>
      <c r="IE111" s="39"/>
      <c r="IF111" s="39"/>
      <c r="IG111" s="39"/>
      <c r="IH111" s="39"/>
      <c r="II111" s="39"/>
      <c r="IJ111" s="39"/>
      <c r="IK111" s="39"/>
      <c r="IL111" s="39"/>
      <c r="IM111" s="39"/>
      <c r="IN111" s="39"/>
      <c r="IO111" s="39"/>
      <c r="IP111" s="39"/>
      <c r="IQ111" s="39"/>
      <c r="IR111" s="39"/>
      <c r="IS111" s="39"/>
      <c r="IT111" s="39"/>
      <c r="IU111" s="39"/>
      <c r="IV111" s="39"/>
      <c r="IW111" s="39"/>
    </row>
    <row r="112" customFormat="false" ht="12.75" hidden="false" customHeight="true" outlineLevel="0" collapsed="false">
      <c r="A112" s="37" t="str">
        <f aca="false">+'CCs # Master'!A115</f>
        <v>0011</v>
      </c>
      <c r="B112" s="39" t="str">
        <f aca="false">+'CCs # Master'!B115</f>
        <v>Asset Ops - EHS</v>
      </c>
      <c r="C112" s="39" t="str">
        <f aca="false">+'CCs # Master'!C115</f>
        <v>Van, Henry</v>
      </c>
      <c r="D112" s="96" t="n">
        <f aca="false">+'CCs # Master'!D115</f>
        <v>100252</v>
      </c>
      <c r="E112" s="39" t="n">
        <f aca="false">+'CCs # Master'!E115</f>
        <v>867</v>
      </c>
      <c r="F112" s="39" t="n">
        <f aca="false">+'CCs # Master'!F115</f>
        <v>518</v>
      </c>
      <c r="G112" s="39" t="n">
        <f aca="false">+'CCs # Master'!G115</f>
        <v>11</v>
      </c>
      <c r="H112" s="39" t="n">
        <f aca="false">+'CCs # Master'!H115</f>
        <v>45</v>
      </c>
      <c r="I112" s="39" t="n">
        <f aca="false">+'CCs # Master'!I115</f>
        <v>89</v>
      </c>
      <c r="J112" s="39" t="n">
        <f aca="false">+'CCs # Master'!J115</f>
        <v>40</v>
      </c>
      <c r="K112" s="71" t="n">
        <f aca="false">SUM(E112:J112)</f>
        <v>1570</v>
      </c>
      <c r="L112" s="39"/>
      <c r="M112" s="39" t="str">
        <f aca="false">+'CCs # Master'!M115</f>
        <v>Direct Usage</v>
      </c>
      <c r="N112" s="39" t="n">
        <f aca="false">+'CCs # Master'!AW115</f>
        <v>0</v>
      </c>
      <c r="O112" s="39" t="n">
        <v>0</v>
      </c>
      <c r="P112" s="39" t="n">
        <f aca="false">+'CCs # Master'!N115</f>
        <v>0</v>
      </c>
      <c r="Q112" s="39" t="n">
        <f aca="false">+'CCs # Master'!O115</f>
        <v>0</v>
      </c>
      <c r="R112" s="39" t="n">
        <f aca="false">+'CCs # Master'!P115</f>
        <v>0</v>
      </c>
      <c r="S112" s="39" t="n">
        <f aca="false">+'CCs # Master'!Q115</f>
        <v>0</v>
      </c>
      <c r="T112" s="39" t="n">
        <f aca="false">+'CCs # Master'!R115</f>
        <v>0</v>
      </c>
      <c r="U112" s="39" t="n">
        <f aca="false">+'CCs # Master'!S115</f>
        <v>0</v>
      </c>
      <c r="V112" s="39" t="n">
        <f aca="false">+'CCs # Master'!T115</f>
        <v>0</v>
      </c>
      <c r="W112" s="39" t="n">
        <f aca="false">+'CCs # Master'!U115</f>
        <v>0</v>
      </c>
      <c r="X112" s="39" t="n">
        <f aca="false">+'CCs # Master'!V115</f>
        <v>0</v>
      </c>
      <c r="Y112" s="39" t="n">
        <f aca="false">+'CCs # Master'!W115</f>
        <v>0</v>
      </c>
      <c r="Z112" s="39" t="n">
        <f aca="false">+'CCs # Master'!X115</f>
        <v>63</v>
      </c>
      <c r="AA112" s="39" t="n">
        <f aca="false">+'CCs # Master'!Y115</f>
        <v>0</v>
      </c>
      <c r="AB112" s="39" t="n">
        <f aca="false">+'CCs # Master'!Z115</f>
        <v>0</v>
      </c>
      <c r="AC112" s="39" t="n">
        <f aca="false">+'CCs # Master'!AA115</f>
        <v>0</v>
      </c>
      <c r="AD112" s="39" t="n">
        <f aca="false">+'CCs # Master'!AB115</f>
        <v>408</v>
      </c>
      <c r="AE112" s="39" t="n">
        <f aca="false">+'CCs # Master'!AC115</f>
        <v>0</v>
      </c>
      <c r="AF112" s="39" t="n">
        <f aca="false">+'CCs # Master'!AD115</f>
        <v>376</v>
      </c>
      <c r="AG112" s="39" t="n">
        <f aca="false">+'CCs # Master'!AE115</f>
        <v>0</v>
      </c>
      <c r="AH112" s="39" t="n">
        <f aca="false">+'CCs # Master'!AF115</f>
        <v>0</v>
      </c>
      <c r="AI112" s="39" t="n">
        <f aca="false">+'CCs # Master'!AG115</f>
        <v>0</v>
      </c>
      <c r="AJ112" s="39" t="n">
        <f aca="false">+'CCs # Master'!AH115</f>
        <v>126</v>
      </c>
      <c r="AK112" s="39" t="n">
        <f aca="false">+'CCs # Master'!AI115</f>
        <v>220</v>
      </c>
      <c r="AL112" s="39" t="n">
        <f aca="false">+'CCs # Master'!AJ115</f>
        <v>126</v>
      </c>
      <c r="AM112" s="39" t="n">
        <f aca="false">+'CCs # Master'!AK115</f>
        <v>0</v>
      </c>
      <c r="AN112" s="39" t="n">
        <f aca="false">+'CCs # Master'!AL115</f>
        <v>251</v>
      </c>
      <c r="AO112" s="39" t="n">
        <f aca="false">+'CCs # Master'!AM115</f>
        <v>0</v>
      </c>
      <c r="AP112" s="39" t="n">
        <f aca="false">+'CCs # Master'!AN115</f>
        <v>0</v>
      </c>
      <c r="AQ112" s="39" t="n">
        <f aca="false">+'CCs # Master'!AO115</f>
        <v>0</v>
      </c>
      <c r="AR112" s="39" t="n">
        <f aca="false">+'CCs # Master'!AP115</f>
        <v>0</v>
      </c>
      <c r="AS112" s="39" t="n">
        <f aca="false">+'CCs # Master'!AQ115</f>
        <v>0</v>
      </c>
      <c r="AT112" s="39" t="n">
        <f aca="false">+'CCs # Master'!AR115</f>
        <v>0</v>
      </c>
      <c r="AU112" s="39" t="n">
        <f aca="false">+'CCs # Master'!AS115</f>
        <v>0</v>
      </c>
      <c r="AV112" s="39" t="n">
        <f aca="false">+'CCs # Master'!AT115</f>
        <v>0</v>
      </c>
      <c r="AW112" s="0"/>
      <c r="AX112" s="71" t="n">
        <f aca="false">SUM(N112:AW112)</f>
        <v>1570</v>
      </c>
      <c r="AY112" s="71" t="n">
        <f aca="false">+K112-AX112</f>
        <v>0</v>
      </c>
      <c r="AZ112" s="39"/>
      <c r="BA112" s="39" t="n">
        <f aca="false">+P112+Q112+T112+U112+V112+W112+X112+Y112</f>
        <v>0</v>
      </c>
      <c r="BB112" s="39" t="n">
        <f aca="false">N112</f>
        <v>0</v>
      </c>
      <c r="BC112" s="39" t="n">
        <f aca="false">SUM(P112:AW112)</f>
        <v>1570</v>
      </c>
      <c r="BD112" s="39"/>
      <c r="BE112" s="39" t="n">
        <f aca="false">SUM(BB112:BC112)</f>
        <v>1570</v>
      </c>
      <c r="BF112" s="39"/>
      <c r="BG112" s="48" t="n">
        <f aca="false">SUM(N112:AW112)</f>
        <v>1570</v>
      </c>
      <c r="BH112" s="39" t="n">
        <f aca="false">BE112-BG112</f>
        <v>0</v>
      </c>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c r="CP112" s="39"/>
      <c r="CQ112" s="39"/>
      <c r="CR112" s="39"/>
      <c r="CS112" s="39"/>
      <c r="CT112" s="39"/>
      <c r="CU112" s="39"/>
      <c r="CV112" s="39"/>
      <c r="CW112" s="39"/>
      <c r="CX112" s="39"/>
      <c r="CY112" s="39"/>
      <c r="CZ112" s="39"/>
      <c r="DA112" s="39"/>
      <c r="DB112" s="39"/>
      <c r="DC112" s="39"/>
      <c r="DD112" s="39"/>
      <c r="DE112" s="39"/>
      <c r="DF112" s="39"/>
      <c r="DG112" s="39"/>
      <c r="DH112" s="39"/>
      <c r="DI112" s="39"/>
      <c r="DJ112" s="39"/>
      <c r="DK112" s="39"/>
      <c r="DL112" s="39"/>
      <c r="DM112" s="39"/>
      <c r="DN112" s="39"/>
      <c r="DO112" s="39"/>
      <c r="DP112" s="39"/>
      <c r="DQ112" s="39"/>
      <c r="DR112" s="39"/>
      <c r="DS112" s="39"/>
      <c r="DT112" s="39"/>
      <c r="DU112" s="39"/>
      <c r="DV112" s="39"/>
      <c r="DW112" s="39"/>
      <c r="DX112" s="39"/>
      <c r="DY112" s="39"/>
      <c r="DZ112" s="39"/>
      <c r="EA112" s="39"/>
      <c r="EB112" s="39"/>
      <c r="EC112" s="39"/>
      <c r="ED112" s="39"/>
      <c r="EE112" s="39"/>
      <c r="EF112" s="39"/>
      <c r="EG112" s="39"/>
      <c r="EH112" s="39"/>
      <c r="EI112" s="39"/>
      <c r="EJ112" s="39"/>
      <c r="EK112" s="39"/>
      <c r="EL112" s="39"/>
      <c r="EM112" s="39"/>
      <c r="EN112" s="39"/>
      <c r="EO112" s="39"/>
      <c r="EP112" s="39"/>
      <c r="EQ112" s="39"/>
      <c r="ER112" s="39"/>
      <c r="ES112" s="39"/>
      <c r="ET112" s="39"/>
      <c r="EU112" s="39"/>
      <c r="EV112" s="39"/>
      <c r="EW112" s="39"/>
      <c r="EX112" s="39"/>
      <c r="EY112" s="39"/>
      <c r="EZ112" s="39"/>
      <c r="FA112" s="39"/>
      <c r="FB112" s="39"/>
      <c r="FC112" s="39"/>
      <c r="FD112" s="39"/>
      <c r="FE112" s="39"/>
      <c r="FF112" s="39"/>
      <c r="FG112" s="39"/>
      <c r="FH112" s="39"/>
      <c r="FI112" s="39"/>
      <c r="FJ112" s="39"/>
      <c r="FK112" s="39"/>
      <c r="FL112" s="39"/>
      <c r="FM112" s="39"/>
      <c r="FN112" s="39"/>
      <c r="FO112" s="39"/>
      <c r="FP112" s="39"/>
      <c r="FQ112" s="39"/>
      <c r="FR112" s="39"/>
      <c r="FS112" s="39"/>
      <c r="FT112" s="39"/>
      <c r="FU112" s="39"/>
      <c r="FV112" s="39"/>
      <c r="FW112" s="39"/>
      <c r="FX112" s="39"/>
      <c r="FY112" s="39"/>
      <c r="FZ112" s="39"/>
      <c r="GA112" s="39"/>
      <c r="GB112" s="39"/>
      <c r="GC112" s="39"/>
      <c r="GD112" s="39"/>
      <c r="GE112" s="39"/>
      <c r="GF112" s="39"/>
      <c r="GG112" s="39"/>
      <c r="GH112" s="39"/>
      <c r="GI112" s="39"/>
      <c r="GJ112" s="39"/>
      <c r="GK112" s="39"/>
      <c r="GL112" s="39"/>
      <c r="GM112" s="39"/>
      <c r="GN112" s="39"/>
      <c r="GO112" s="39"/>
      <c r="GP112" s="39"/>
      <c r="GQ112" s="39"/>
      <c r="GR112" s="39"/>
      <c r="GS112" s="39"/>
      <c r="GT112" s="39"/>
      <c r="GU112" s="39"/>
      <c r="GV112" s="39"/>
      <c r="GW112" s="39"/>
      <c r="GX112" s="39"/>
      <c r="GY112" s="39"/>
      <c r="GZ112" s="39"/>
      <c r="HA112" s="39"/>
      <c r="HB112" s="39"/>
      <c r="HC112" s="39"/>
      <c r="HD112" s="39"/>
      <c r="HE112" s="39"/>
      <c r="HF112" s="39"/>
      <c r="HG112" s="39"/>
      <c r="HH112" s="39"/>
      <c r="HI112" s="39"/>
      <c r="HJ112" s="39"/>
      <c r="HK112" s="39"/>
      <c r="HL112" s="39"/>
      <c r="HM112" s="39"/>
      <c r="HN112" s="39"/>
      <c r="HO112" s="39"/>
      <c r="HP112" s="39"/>
      <c r="HQ112" s="39"/>
      <c r="HR112" s="39"/>
      <c r="HS112" s="39"/>
      <c r="HT112" s="39"/>
      <c r="HU112" s="39"/>
      <c r="HV112" s="39"/>
      <c r="HW112" s="39"/>
      <c r="HX112" s="39"/>
      <c r="HY112" s="39"/>
      <c r="HZ112" s="39"/>
      <c r="IA112" s="39"/>
      <c r="IB112" s="39"/>
      <c r="IC112" s="39"/>
      <c r="ID112" s="39"/>
      <c r="IE112" s="39"/>
      <c r="IF112" s="39"/>
      <c r="IG112" s="39"/>
      <c r="IH112" s="39"/>
      <c r="II112" s="39"/>
      <c r="IJ112" s="39"/>
      <c r="IK112" s="39"/>
      <c r="IL112" s="39"/>
      <c r="IM112" s="39"/>
      <c r="IN112" s="39"/>
      <c r="IO112" s="39"/>
      <c r="IP112" s="39"/>
      <c r="IQ112" s="39"/>
      <c r="IR112" s="39"/>
      <c r="IS112" s="39"/>
      <c r="IT112" s="39"/>
      <c r="IU112" s="39"/>
      <c r="IV112" s="39"/>
      <c r="IW112" s="39"/>
    </row>
    <row r="113" customFormat="false" ht="12.95" hidden="false" customHeight="true" outlineLevel="0" collapsed="false">
      <c r="A113" s="37" t="n">
        <f aca="false">+'CCs # Master'!A150</f>
        <v>11</v>
      </c>
      <c r="B113" s="99" t="str">
        <f aca="false">+'CCs # Master'!B150</f>
        <v>Corporate Social/Environmental Responsibility</v>
      </c>
      <c r="C113" s="99" t="str">
        <f aca="false">+'CCs # Master'!C150</f>
        <v>Kimberely, Kelly</v>
      </c>
      <c r="D113" s="37" t="n">
        <f aca="false">+'CCs # Master'!D150</f>
        <v>102741</v>
      </c>
      <c r="E113" s="39" t="n">
        <f aca="false">+'CCs # Master'!E150</f>
        <v>199</v>
      </c>
      <c r="F113" s="39" t="n">
        <f aca="false">+'CCs # Master'!F150</f>
        <v>130</v>
      </c>
      <c r="G113" s="39" t="n">
        <f aca="false">+'CCs # Master'!G150</f>
        <v>0</v>
      </c>
      <c r="H113" s="39" t="n">
        <f aca="false">+'CCs # Master'!H150</f>
        <v>239</v>
      </c>
      <c r="I113" s="39" t="n">
        <f aca="false">+'CCs # Master'!I150</f>
        <v>12</v>
      </c>
      <c r="J113" s="39" t="n">
        <f aca="false">+'CCs # Master'!J150</f>
        <v>600</v>
      </c>
      <c r="K113" s="71" t="n">
        <f aca="false">SUM(E113:J113)</f>
        <v>1180</v>
      </c>
      <c r="L113" s="39"/>
      <c r="M113" s="39" t="str">
        <f aca="false">+'CCs # Master'!M150</f>
        <v>Retained at Corp</v>
      </c>
      <c r="N113" s="39" t="n">
        <f aca="false">+'CCs # Master'!AW150</f>
        <v>1180</v>
      </c>
      <c r="O113" s="39" t="n">
        <v>0</v>
      </c>
      <c r="P113" s="39" t="n">
        <f aca="false">+'CCs # Master'!N150</f>
        <v>0</v>
      </c>
      <c r="Q113" s="39" t="n">
        <f aca="false">+'CCs # Master'!O150</f>
        <v>0</v>
      </c>
      <c r="R113" s="39" t="n">
        <f aca="false">+'CCs # Master'!P150</f>
        <v>0</v>
      </c>
      <c r="S113" s="39" t="n">
        <f aca="false">+'CCs # Master'!Q150</f>
        <v>0</v>
      </c>
      <c r="T113" s="39" t="n">
        <f aca="false">+'CCs # Master'!R150</f>
        <v>0</v>
      </c>
      <c r="U113" s="39" t="n">
        <f aca="false">+'CCs # Master'!S150</f>
        <v>0</v>
      </c>
      <c r="V113" s="39" t="n">
        <f aca="false">+'CCs # Master'!T150</f>
        <v>0</v>
      </c>
      <c r="W113" s="39" t="n">
        <f aca="false">+'CCs # Master'!U150</f>
        <v>0</v>
      </c>
      <c r="X113" s="39" t="n">
        <f aca="false">+'CCs # Master'!V150</f>
        <v>0</v>
      </c>
      <c r="Y113" s="39" t="n">
        <f aca="false">+'CCs # Master'!W150</f>
        <v>0</v>
      </c>
      <c r="Z113" s="39" t="n">
        <f aca="false">+'CCs # Master'!X150</f>
        <v>0</v>
      </c>
      <c r="AA113" s="39" t="n">
        <f aca="false">+'CCs # Master'!Y150</f>
        <v>0</v>
      </c>
      <c r="AB113" s="39" t="n">
        <f aca="false">+'CCs # Master'!Z150</f>
        <v>0</v>
      </c>
      <c r="AC113" s="39" t="n">
        <f aca="false">+'CCs # Master'!AA150</f>
        <v>0</v>
      </c>
      <c r="AD113" s="39" t="n">
        <f aca="false">+'CCs # Master'!AB150</f>
        <v>0</v>
      </c>
      <c r="AE113" s="39" t="n">
        <f aca="false">+'CCs # Master'!AC150</f>
        <v>0</v>
      </c>
      <c r="AF113" s="39" t="n">
        <f aca="false">+'CCs # Master'!AD150</f>
        <v>0</v>
      </c>
      <c r="AG113" s="39" t="n">
        <f aca="false">+'CCs # Master'!AE150</f>
        <v>0</v>
      </c>
      <c r="AH113" s="39" t="n">
        <f aca="false">+'CCs # Master'!AF150</f>
        <v>0</v>
      </c>
      <c r="AI113" s="39" t="n">
        <f aca="false">+'CCs # Master'!AG150</f>
        <v>0</v>
      </c>
      <c r="AJ113" s="39" t="n">
        <f aca="false">+'CCs # Master'!AH150</f>
        <v>0</v>
      </c>
      <c r="AK113" s="39" t="n">
        <f aca="false">+'CCs # Master'!AI150</f>
        <v>0</v>
      </c>
      <c r="AL113" s="39" t="n">
        <f aca="false">+'CCs # Master'!AJ150</f>
        <v>0</v>
      </c>
      <c r="AM113" s="39" t="n">
        <f aca="false">+'CCs # Master'!AK150</f>
        <v>0</v>
      </c>
      <c r="AN113" s="39" t="n">
        <f aca="false">+'CCs # Master'!AL150</f>
        <v>0</v>
      </c>
      <c r="AO113" s="39" t="n">
        <f aca="false">+'CCs # Master'!AM150</f>
        <v>0</v>
      </c>
      <c r="AP113" s="39" t="n">
        <f aca="false">+'CCs # Master'!AN150</f>
        <v>0</v>
      </c>
      <c r="AQ113" s="39" t="n">
        <f aca="false">+'CCs # Master'!AO150</f>
        <v>0</v>
      </c>
      <c r="AR113" s="39" t="n">
        <f aca="false">+'CCs # Master'!AP150</f>
        <v>0</v>
      </c>
      <c r="AS113" s="39" t="n">
        <f aca="false">+'CCs # Master'!AQ150</f>
        <v>0</v>
      </c>
      <c r="AT113" s="39" t="n">
        <f aca="false">+'CCs # Master'!AR150</f>
        <v>0</v>
      </c>
      <c r="AU113" s="39" t="n">
        <f aca="false">+'CCs # Master'!AS150</f>
        <v>0</v>
      </c>
      <c r="AV113" s="39" t="n">
        <f aca="false">+'CCs # Master'!AT150</f>
        <v>0</v>
      </c>
      <c r="AW113" s="0"/>
      <c r="AX113" s="71" t="n">
        <f aca="false">SUM(N113:AW113)</f>
        <v>1180</v>
      </c>
      <c r="AY113" s="71" t="n">
        <f aca="false">+K113-AX113</f>
        <v>0</v>
      </c>
      <c r="AZ113" s="39"/>
      <c r="BA113" s="39" t="n">
        <f aca="false">+P113+Q113+T113+U113+V113+W113+X113+Y113</f>
        <v>0</v>
      </c>
      <c r="BB113" s="39" t="n">
        <f aca="false">N113</f>
        <v>1180</v>
      </c>
      <c r="BC113" s="39" t="n">
        <f aca="false">SUM(P113:AW113)</f>
        <v>0</v>
      </c>
      <c r="BD113" s="39"/>
      <c r="BE113" s="39" t="n">
        <f aca="false">SUM(BB113:BC113)</f>
        <v>1180</v>
      </c>
      <c r="BF113" s="39"/>
      <c r="BG113" s="48" t="n">
        <f aca="false">SUM(N113:AW113)</f>
        <v>1180</v>
      </c>
      <c r="BH113" s="39" t="n">
        <f aca="false">BE113-BG113</f>
        <v>0</v>
      </c>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c r="DW113" s="39"/>
      <c r="DX113" s="39"/>
      <c r="DY113" s="39"/>
      <c r="DZ113" s="39"/>
      <c r="EA113" s="39"/>
      <c r="EB113" s="39"/>
      <c r="EC113" s="39"/>
      <c r="ED113" s="39"/>
      <c r="EE113" s="39"/>
      <c r="EF113" s="39"/>
      <c r="EG113" s="39"/>
      <c r="EH113" s="39"/>
      <c r="EI113" s="39"/>
      <c r="EJ113" s="39"/>
      <c r="EK113" s="39"/>
      <c r="EL113" s="39"/>
      <c r="EM113" s="39"/>
      <c r="EN113" s="39"/>
      <c r="EO113" s="39"/>
      <c r="EP113" s="39"/>
      <c r="EQ113" s="39"/>
      <c r="ER113" s="39"/>
      <c r="ES113" s="39"/>
      <c r="ET113" s="39"/>
      <c r="EU113" s="39"/>
      <c r="EV113" s="39"/>
      <c r="EW113" s="39"/>
      <c r="EX113" s="39"/>
      <c r="EY113" s="39"/>
      <c r="EZ113" s="39"/>
      <c r="FA113" s="39"/>
      <c r="FB113" s="39"/>
      <c r="FC113" s="39"/>
      <c r="FD113" s="39"/>
      <c r="FE113" s="39"/>
      <c r="FF113" s="39"/>
      <c r="FG113" s="39"/>
      <c r="FH113" s="39"/>
      <c r="FI113" s="39"/>
      <c r="FJ113" s="39"/>
      <c r="FK113" s="39"/>
      <c r="FL113" s="39"/>
      <c r="FM113" s="39"/>
      <c r="FN113" s="39"/>
      <c r="FO113" s="39"/>
      <c r="FP113" s="39"/>
      <c r="FQ113" s="39"/>
      <c r="FR113" s="39"/>
      <c r="FS113" s="39"/>
      <c r="FT113" s="39"/>
      <c r="FU113" s="39"/>
      <c r="FV113" s="39"/>
      <c r="FW113" s="39"/>
      <c r="FX113" s="39"/>
      <c r="FY113" s="39"/>
      <c r="FZ113" s="39"/>
      <c r="GA113" s="39"/>
      <c r="GB113" s="39"/>
      <c r="GC113" s="39"/>
      <c r="GD113" s="39"/>
      <c r="GE113" s="39"/>
      <c r="GF113" s="39"/>
      <c r="GG113" s="39"/>
      <c r="GH113" s="39"/>
      <c r="GI113" s="39"/>
      <c r="GJ113" s="39"/>
      <c r="GK113" s="39"/>
      <c r="GL113" s="39"/>
      <c r="GM113" s="39"/>
      <c r="GN113" s="39"/>
      <c r="GO113" s="39"/>
      <c r="GP113" s="39"/>
      <c r="GQ113" s="39"/>
      <c r="GR113" s="39"/>
      <c r="GS113" s="39"/>
      <c r="GT113" s="39"/>
      <c r="GU113" s="39"/>
      <c r="GV113" s="39"/>
      <c r="GW113" s="39"/>
      <c r="GX113" s="39"/>
      <c r="GY113" s="39"/>
      <c r="GZ113" s="39"/>
      <c r="HA113" s="39"/>
      <c r="HB113" s="39"/>
      <c r="HC113" s="39"/>
      <c r="HD113" s="39"/>
      <c r="HE113" s="39"/>
      <c r="HF113" s="39"/>
      <c r="HG113" s="39"/>
      <c r="HH113" s="39"/>
      <c r="HI113" s="39"/>
      <c r="HJ113" s="39"/>
      <c r="HK113" s="39"/>
      <c r="HL113" s="39"/>
      <c r="HM113" s="39"/>
      <c r="HN113" s="39"/>
      <c r="HO113" s="39"/>
      <c r="HP113" s="39"/>
      <c r="HQ113" s="39"/>
      <c r="HR113" s="39"/>
      <c r="HS113" s="39"/>
      <c r="HT113" s="39"/>
      <c r="HU113" s="39"/>
      <c r="HV113" s="39"/>
      <c r="HW113" s="39"/>
      <c r="HX113" s="39"/>
      <c r="HY113" s="39"/>
      <c r="HZ113" s="39"/>
      <c r="IA113" s="39"/>
      <c r="IB113" s="39"/>
      <c r="IC113" s="39"/>
      <c r="ID113" s="39"/>
      <c r="IE113" s="39"/>
      <c r="IF113" s="39"/>
      <c r="IG113" s="39"/>
      <c r="IH113" s="39"/>
      <c r="II113" s="39"/>
      <c r="IJ113" s="39"/>
      <c r="IK113" s="39"/>
      <c r="IL113" s="39"/>
      <c r="IM113" s="39"/>
      <c r="IN113" s="39"/>
      <c r="IO113" s="39"/>
      <c r="IP113" s="39"/>
      <c r="IQ113" s="39"/>
      <c r="IR113" s="39"/>
      <c r="IS113" s="39"/>
      <c r="IT113" s="39"/>
      <c r="IU113" s="39"/>
      <c r="IV113" s="39"/>
      <c r="IW113" s="39"/>
    </row>
    <row r="114" customFormat="false" ht="12.95" hidden="false" customHeight="true" outlineLevel="0" collapsed="false">
      <c r="A114" s="37" t="n">
        <f aca="false">+'CCs # Master'!A187</f>
        <v>11</v>
      </c>
      <c r="B114" s="99" t="str">
        <f aca="false">+'CCs # Master'!B187</f>
        <v>Reg Risk/Comp Analysis</v>
      </c>
      <c r="C114" s="99" t="str">
        <f aca="false">+'CCs # Master'!C187</f>
        <v>Palmer, Mark</v>
      </c>
      <c r="D114" s="37" t="n">
        <f aca="false">+'CCs # Master'!D187</f>
        <v>103246</v>
      </c>
      <c r="E114" s="39" t="n">
        <f aca="false">+'CCs # Master'!E187</f>
        <v>746</v>
      </c>
      <c r="F114" s="39" t="n">
        <f aca="false">+'CCs # Master'!F187</f>
        <v>123</v>
      </c>
      <c r="G114" s="39" t="n">
        <f aca="false">+'CCs # Master'!G187</f>
        <v>2</v>
      </c>
      <c r="H114" s="39" t="n">
        <f aca="false">+'CCs # Master'!H187</f>
        <v>107</v>
      </c>
      <c r="I114" s="39" t="n">
        <f aca="false">+'CCs # Master'!I187</f>
        <v>124</v>
      </c>
      <c r="J114" s="39" t="n">
        <f aca="false">+'CCs # Master'!J187</f>
        <v>14</v>
      </c>
      <c r="K114" s="71" t="n">
        <f aca="false">SUM(E114:J114)</f>
        <v>1116</v>
      </c>
      <c r="L114" s="39"/>
      <c r="M114" s="39" t="str">
        <f aca="false">+'CCs # Master'!M187</f>
        <v>Aniticipated Resources</v>
      </c>
      <c r="N114" s="39" t="n">
        <f aca="false">+'CCs # Master'!AW187</f>
        <v>0</v>
      </c>
      <c r="O114" s="39" t="n">
        <v>0</v>
      </c>
      <c r="P114" s="39" t="n">
        <f aca="false">+'CCs # Master'!N187</f>
        <v>0</v>
      </c>
      <c r="Q114" s="39" t="n">
        <f aca="false">+'CCs # Master'!O187</f>
        <v>0</v>
      </c>
      <c r="R114" s="39" t="n">
        <f aca="false">+'CCs # Master'!P187</f>
        <v>0</v>
      </c>
      <c r="S114" s="39" t="n">
        <f aca="false">+'CCs # Master'!Q187</f>
        <v>0</v>
      </c>
      <c r="T114" s="39" t="n">
        <f aca="false">+'CCs # Master'!R187</f>
        <v>0</v>
      </c>
      <c r="U114" s="39" t="n">
        <f aca="false">+'CCs # Master'!S187</f>
        <v>0</v>
      </c>
      <c r="V114" s="39" t="n">
        <f aca="false">+'CCs # Master'!T187</f>
        <v>0</v>
      </c>
      <c r="W114" s="39" t="n">
        <f aca="false">+'CCs # Master'!U187</f>
        <v>0</v>
      </c>
      <c r="X114" s="39" t="n">
        <f aca="false">+'CCs # Master'!V187</f>
        <v>0</v>
      </c>
      <c r="Y114" s="39" t="n">
        <f aca="false">+'CCs # Master'!W187</f>
        <v>0</v>
      </c>
      <c r="Z114" s="39" t="n">
        <f aca="false">+'CCs # Master'!X187</f>
        <v>192</v>
      </c>
      <c r="AA114" s="39" t="n">
        <f aca="false">+'CCs # Master'!Y187</f>
        <v>0</v>
      </c>
      <c r="AB114" s="39" t="n">
        <f aca="false">+'CCs # Master'!Z187</f>
        <v>0</v>
      </c>
      <c r="AC114" s="39" t="n">
        <f aca="false">+'CCs # Master'!AA187</f>
        <v>0</v>
      </c>
      <c r="AD114" s="39" t="n">
        <f aca="false">+'CCs # Master'!AB187</f>
        <v>56</v>
      </c>
      <c r="AE114" s="39" t="n">
        <f aca="false">+'CCs # Master'!AC187</f>
        <v>0</v>
      </c>
      <c r="AF114" s="39" t="n">
        <f aca="false">+'CCs # Master'!AD187</f>
        <v>334</v>
      </c>
      <c r="AG114" s="39" t="n">
        <f aca="false">+'CCs # Master'!AE187</f>
        <v>112</v>
      </c>
      <c r="AH114" s="39" t="n">
        <f aca="false">+'CCs # Master'!AF187</f>
        <v>0</v>
      </c>
      <c r="AI114" s="39" t="n">
        <f aca="false">+'CCs # Master'!AG187</f>
        <v>0</v>
      </c>
      <c r="AJ114" s="39" t="n">
        <f aca="false">+'CCs # Master'!AH187</f>
        <v>70</v>
      </c>
      <c r="AK114" s="39" t="n">
        <f aca="false">+'CCs # Master'!AI187</f>
        <v>70</v>
      </c>
      <c r="AL114" s="39" t="n">
        <f aca="false">+'CCs # Master'!AJ187</f>
        <v>70</v>
      </c>
      <c r="AM114" s="39" t="n">
        <f aca="false">+'CCs # Master'!AK187</f>
        <v>0</v>
      </c>
      <c r="AN114" s="39" t="n">
        <f aca="false">+'CCs # Master'!AL187</f>
        <v>32</v>
      </c>
      <c r="AO114" s="39" t="n">
        <f aca="false">+'CCs # Master'!AM187</f>
        <v>0</v>
      </c>
      <c r="AP114" s="39" t="n">
        <f aca="false">+'CCs # Master'!AN187</f>
        <v>0</v>
      </c>
      <c r="AQ114" s="39" t="n">
        <f aca="false">+'CCs # Master'!AO187</f>
        <v>168</v>
      </c>
      <c r="AR114" s="39" t="n">
        <f aca="false">+'CCs # Master'!AP187</f>
        <v>12</v>
      </c>
      <c r="AS114" s="39" t="n">
        <f aca="false">+'CCs # Master'!AQ187</f>
        <v>0</v>
      </c>
      <c r="AT114" s="39" t="n">
        <f aca="false">+'CCs # Master'!AR187</f>
        <v>0</v>
      </c>
      <c r="AU114" s="39" t="n">
        <f aca="false">+'CCs # Master'!AS187</f>
        <v>0</v>
      </c>
      <c r="AV114" s="39" t="n">
        <f aca="false">+'CCs # Master'!AT187</f>
        <v>0</v>
      </c>
      <c r="AW114" s="0"/>
      <c r="AX114" s="71" t="n">
        <f aca="false">SUM(N114:AW114)</f>
        <v>1116</v>
      </c>
      <c r="AY114" s="71" t="n">
        <f aca="false">+K114-AX114</f>
        <v>0</v>
      </c>
      <c r="AZ114" s="39"/>
      <c r="BA114" s="39" t="n">
        <f aca="false">+P114+Q114+T114+U114+V114+W114+X114+Y114</f>
        <v>0</v>
      </c>
      <c r="BB114" s="39" t="n">
        <f aca="false">N114</f>
        <v>0</v>
      </c>
      <c r="BC114" s="39" t="n">
        <f aca="false">SUM(P114:AW114)</f>
        <v>1116</v>
      </c>
      <c r="BD114" s="39"/>
      <c r="BE114" s="39" t="n">
        <f aca="false">SUM(BB114:BC114)</f>
        <v>1116</v>
      </c>
      <c r="BF114" s="39"/>
      <c r="BG114" s="48" t="n">
        <f aca="false">SUM(N114:AW114)</f>
        <v>1116</v>
      </c>
      <c r="BH114" s="39" t="n">
        <f aca="false">BE114-BG114</f>
        <v>0</v>
      </c>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c r="GE114" s="39"/>
      <c r="GF114" s="39"/>
      <c r="GG114" s="39"/>
      <c r="GH114" s="39"/>
      <c r="GI114" s="39"/>
      <c r="GJ114" s="39"/>
      <c r="GK114" s="39"/>
      <c r="GL114" s="39"/>
      <c r="GM114" s="39"/>
      <c r="GN114" s="39"/>
      <c r="GO114" s="39"/>
      <c r="GP114" s="39"/>
      <c r="GQ114" s="39"/>
      <c r="GR114" s="39"/>
      <c r="GS114" s="39"/>
      <c r="GT114" s="39"/>
      <c r="GU114" s="39"/>
      <c r="GV114" s="39"/>
      <c r="GW114" s="39"/>
      <c r="GX114" s="39"/>
      <c r="GY114" s="39"/>
      <c r="GZ114" s="39"/>
      <c r="HA114" s="39"/>
      <c r="HB114" s="39"/>
      <c r="HC114" s="39"/>
      <c r="HD114" s="39"/>
      <c r="HE114" s="39"/>
      <c r="HF114" s="39"/>
      <c r="HG114" s="39"/>
      <c r="HH114" s="39"/>
      <c r="HI114" s="39"/>
      <c r="HJ114" s="39"/>
      <c r="HK114" s="39"/>
      <c r="HL114" s="39"/>
      <c r="HM114" s="39"/>
      <c r="HN114" s="39"/>
      <c r="HO114" s="39"/>
      <c r="HP114" s="39"/>
      <c r="HQ114" s="39"/>
      <c r="HR114" s="39"/>
      <c r="HS114" s="39"/>
      <c r="HT114" s="39"/>
      <c r="HU114" s="39"/>
      <c r="HV114" s="39"/>
      <c r="HW114" s="39"/>
      <c r="HX114" s="39"/>
      <c r="HY114" s="39"/>
      <c r="HZ114" s="39"/>
      <c r="IA114" s="39"/>
      <c r="IB114" s="39"/>
      <c r="IC114" s="39"/>
      <c r="ID114" s="39"/>
      <c r="IE114" s="39"/>
      <c r="IF114" s="39"/>
      <c r="IG114" s="39"/>
      <c r="IH114" s="39"/>
      <c r="II114" s="39"/>
      <c r="IJ114" s="39"/>
      <c r="IK114" s="39"/>
      <c r="IL114" s="39"/>
      <c r="IM114" s="39"/>
      <c r="IN114" s="39"/>
      <c r="IO114" s="39"/>
      <c r="IP114" s="39"/>
      <c r="IQ114" s="39"/>
      <c r="IR114" s="39"/>
      <c r="IS114" s="39"/>
      <c r="IT114" s="39"/>
      <c r="IU114" s="39"/>
      <c r="IV114" s="39"/>
      <c r="IW114" s="39"/>
    </row>
    <row r="115" customFormat="false" ht="12.95" hidden="false" customHeight="true" outlineLevel="0" collapsed="false">
      <c r="A115" s="37" t="n">
        <f aca="false">+'CCs # Master'!A144</f>
        <v>11</v>
      </c>
      <c r="B115" s="99" t="str">
        <f aca="false">+'CCs # Master'!B144</f>
        <v>Chief Environmental Officer</v>
      </c>
      <c r="C115" s="99" t="str">
        <f aca="false">+'CCs # Master'!C144</f>
        <v>Terraso, M</v>
      </c>
      <c r="D115" s="37" t="n">
        <f aca="false">+'CCs # Master'!D144</f>
        <v>100882</v>
      </c>
      <c r="E115" s="39" t="n">
        <f aca="false">+'CCs # Master'!E144</f>
        <v>269</v>
      </c>
      <c r="F115" s="39" t="n">
        <f aca="false">+'CCs # Master'!F144</f>
        <v>214</v>
      </c>
      <c r="G115" s="39" t="n">
        <f aca="false">+'CCs # Master'!G144</f>
        <v>13</v>
      </c>
      <c r="H115" s="39" t="n">
        <f aca="false">+'CCs # Master'!H144</f>
        <v>1608</v>
      </c>
      <c r="I115" s="39" t="n">
        <f aca="false">+'CCs # Master'!I144</f>
        <v>55</v>
      </c>
      <c r="J115" s="39" t="n">
        <f aca="false">+'CCs # Master'!J144</f>
        <v>99</v>
      </c>
      <c r="K115" s="71" t="n">
        <f aca="false">SUM(E115:J115)</f>
        <v>2258</v>
      </c>
      <c r="L115" s="39"/>
      <c r="M115" s="39" t="str">
        <f aca="false">+'CCs # Master'!M144</f>
        <v>Anticipated Resources</v>
      </c>
      <c r="N115" s="39" t="n">
        <f aca="false">+'CCs # Master'!AW144</f>
        <v>450</v>
      </c>
      <c r="O115" s="39" t="n">
        <v>0</v>
      </c>
      <c r="P115" s="39" t="n">
        <f aca="false">+'CCs # Master'!N144</f>
        <v>0</v>
      </c>
      <c r="Q115" s="39" t="n">
        <f aca="false">+'CCs # Master'!O144</f>
        <v>0</v>
      </c>
      <c r="R115" s="39" t="n">
        <f aca="false">+'CCs # Master'!P144</f>
        <v>0</v>
      </c>
      <c r="S115" s="39" t="n">
        <f aca="false">+'CCs # Master'!Q144</f>
        <v>0</v>
      </c>
      <c r="T115" s="39" t="n">
        <f aca="false">+'CCs # Master'!R144</f>
        <v>0</v>
      </c>
      <c r="U115" s="39" t="n">
        <f aca="false">+'CCs # Master'!S144</f>
        <v>0</v>
      </c>
      <c r="V115" s="39" t="n">
        <f aca="false">+'CCs # Master'!T144</f>
        <v>0</v>
      </c>
      <c r="W115" s="39" t="n">
        <f aca="false">+'CCs # Master'!U144</f>
        <v>0</v>
      </c>
      <c r="X115" s="39" t="n">
        <f aca="false">+'CCs # Master'!V144</f>
        <v>0</v>
      </c>
      <c r="Y115" s="39" t="n">
        <f aca="false">+'CCs # Master'!W144</f>
        <v>0</v>
      </c>
      <c r="Z115" s="39" t="n">
        <f aca="false">+'CCs # Master'!X144</f>
        <v>317</v>
      </c>
      <c r="AA115" s="39" t="n">
        <f aca="false">+'CCs # Master'!Y144</f>
        <v>0</v>
      </c>
      <c r="AB115" s="39" t="n">
        <f aca="false">+'CCs # Master'!Z144</f>
        <v>0</v>
      </c>
      <c r="AC115" s="39" t="n">
        <f aca="false">+'CCs # Master'!AA144</f>
        <v>0</v>
      </c>
      <c r="AD115" s="39" t="n">
        <f aca="false">+'CCs # Master'!AB144</f>
        <v>317</v>
      </c>
      <c r="AE115" s="39" t="n">
        <f aca="false">+'CCs # Master'!AC144</f>
        <v>0</v>
      </c>
      <c r="AF115" s="39" t="n">
        <f aca="false">+'CCs # Master'!AD144</f>
        <v>317</v>
      </c>
      <c r="AG115" s="39" t="n">
        <f aca="false">+'CCs # Master'!AE144</f>
        <v>317</v>
      </c>
      <c r="AH115" s="39" t="n">
        <f aca="false">+'CCs # Master'!AF144</f>
        <v>90</v>
      </c>
      <c r="AI115" s="39" t="n">
        <f aca="false">+'CCs # Master'!AG144</f>
        <v>0</v>
      </c>
      <c r="AJ115" s="39" t="n">
        <f aca="false">+'CCs # Master'!AH144</f>
        <v>90</v>
      </c>
      <c r="AK115" s="39" t="n">
        <f aca="false">+'CCs # Master'!AI144</f>
        <v>90</v>
      </c>
      <c r="AL115" s="39" t="n">
        <f aca="false">+'CCs # Master'!AJ144</f>
        <v>90</v>
      </c>
      <c r="AM115" s="39" t="n">
        <f aca="false">+'CCs # Master'!AK144</f>
        <v>90</v>
      </c>
      <c r="AN115" s="39" t="n">
        <f aca="false">+'CCs # Master'!AL144</f>
        <v>90</v>
      </c>
      <c r="AO115" s="39" t="n">
        <f aca="false">+'CCs # Master'!AM144</f>
        <v>0</v>
      </c>
      <c r="AP115" s="39" t="n">
        <f aca="false">+'CCs # Master'!AN144</f>
        <v>0</v>
      </c>
      <c r="AQ115" s="39" t="n">
        <f aca="false">+'CCs # Master'!AO144</f>
        <v>0</v>
      </c>
      <c r="AR115" s="39" t="n">
        <f aca="false">+'CCs # Master'!AP144</f>
        <v>0</v>
      </c>
      <c r="AS115" s="39" t="n">
        <f aca="false">+'CCs # Master'!AQ144</f>
        <v>0</v>
      </c>
      <c r="AT115" s="39" t="n">
        <f aca="false">+'CCs # Master'!AR144</f>
        <v>0</v>
      </c>
      <c r="AU115" s="39" t="n">
        <f aca="false">+'CCs # Master'!AS144</f>
        <v>0</v>
      </c>
      <c r="AV115" s="39" t="n">
        <f aca="false">+'CCs # Master'!AT144</f>
        <v>0</v>
      </c>
      <c r="AW115" s="0"/>
      <c r="AX115" s="71" t="n">
        <f aca="false">SUM(N115:AW115)</f>
        <v>2258</v>
      </c>
      <c r="AY115" s="71" t="n">
        <f aca="false">+K115-AX115</f>
        <v>0</v>
      </c>
      <c r="AZ115" s="39"/>
      <c r="BA115" s="39" t="n">
        <f aca="false">+P115+Q115+T115+U115+V115+W115+X115+Y115</f>
        <v>0</v>
      </c>
      <c r="BB115" s="39" t="n">
        <f aca="false">N115</f>
        <v>450</v>
      </c>
      <c r="BC115" s="39" t="n">
        <f aca="false">SUM(P115:AW115)</f>
        <v>1808</v>
      </c>
      <c r="BD115" s="39"/>
      <c r="BE115" s="39" t="n">
        <f aca="false">SUM(BB115:BC115)</f>
        <v>2258</v>
      </c>
      <c r="BF115" s="39"/>
      <c r="BG115" s="48" t="n">
        <f aca="false">SUM(N115:AW115)</f>
        <v>2258</v>
      </c>
      <c r="BH115" s="39" t="n">
        <f aca="false">BE115-BG115</f>
        <v>0</v>
      </c>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39"/>
      <c r="CP115" s="39"/>
      <c r="CQ115" s="39"/>
      <c r="CR115" s="39"/>
      <c r="CS115" s="39"/>
      <c r="CT115" s="39"/>
      <c r="CU115" s="39"/>
      <c r="CV115" s="39"/>
      <c r="CW115" s="39"/>
      <c r="CX115" s="39"/>
      <c r="CY115" s="39"/>
      <c r="CZ115" s="39"/>
      <c r="DA115" s="39"/>
      <c r="DB115" s="39"/>
      <c r="DC115" s="39"/>
      <c r="DD115" s="39"/>
      <c r="DE115" s="39"/>
      <c r="DF115" s="39"/>
      <c r="DG115" s="39"/>
      <c r="DH115" s="39"/>
      <c r="DI115" s="39"/>
      <c r="DJ115" s="39"/>
      <c r="DK115" s="39"/>
      <c r="DL115" s="39"/>
      <c r="DM115" s="39"/>
      <c r="DN115" s="39"/>
      <c r="DO115" s="39"/>
      <c r="DP115" s="39"/>
      <c r="DQ115" s="39"/>
      <c r="DR115" s="39"/>
      <c r="DS115" s="39"/>
      <c r="DT115" s="39"/>
      <c r="DU115" s="39"/>
      <c r="DV115" s="39"/>
      <c r="DW115" s="39"/>
      <c r="DX115" s="39"/>
      <c r="DY115" s="39"/>
      <c r="DZ115" s="39"/>
      <c r="EA115" s="39"/>
      <c r="EB115" s="39"/>
      <c r="EC115" s="39"/>
      <c r="ED115" s="39"/>
      <c r="EE115" s="39"/>
      <c r="EF115" s="39"/>
      <c r="EG115" s="39"/>
      <c r="EH115" s="39"/>
      <c r="EI115" s="39"/>
      <c r="EJ115" s="39"/>
      <c r="EK115" s="39"/>
      <c r="EL115" s="39"/>
      <c r="EM115" s="39"/>
      <c r="EN115" s="39"/>
      <c r="EO115" s="39"/>
      <c r="EP115" s="39"/>
      <c r="EQ115" s="39"/>
      <c r="ER115" s="39"/>
      <c r="ES115" s="39"/>
      <c r="ET115" s="39"/>
      <c r="EU115" s="39"/>
      <c r="EV115" s="39"/>
      <c r="EW115" s="39"/>
      <c r="EX115" s="39"/>
      <c r="EY115" s="39"/>
      <c r="EZ115" s="39"/>
      <c r="FA115" s="39"/>
      <c r="FB115" s="39"/>
      <c r="FC115" s="39"/>
      <c r="FD115" s="39"/>
      <c r="FE115" s="39"/>
      <c r="FF115" s="39"/>
      <c r="FG115" s="39"/>
      <c r="FH115" s="39"/>
      <c r="FI115" s="39"/>
      <c r="FJ115" s="39"/>
      <c r="FK115" s="39"/>
      <c r="FL115" s="39"/>
      <c r="FM115" s="39"/>
      <c r="FN115" s="39"/>
      <c r="FO115" s="39"/>
      <c r="FP115" s="39"/>
      <c r="FQ115" s="39"/>
      <c r="FR115" s="39"/>
      <c r="FS115" s="39"/>
      <c r="FT115" s="39"/>
      <c r="FU115" s="39"/>
      <c r="FV115" s="39"/>
      <c r="FW115" s="39"/>
      <c r="FX115" s="39"/>
      <c r="FY115" s="39"/>
      <c r="FZ115" s="39"/>
      <c r="GA115" s="39"/>
      <c r="GB115" s="39"/>
      <c r="GC115" s="39"/>
      <c r="GD115" s="39"/>
      <c r="GE115" s="39"/>
      <c r="GF115" s="39"/>
      <c r="GG115" s="39"/>
      <c r="GH115" s="39"/>
      <c r="GI115" s="39"/>
      <c r="GJ115" s="39"/>
      <c r="GK115" s="39"/>
      <c r="GL115" s="39"/>
      <c r="GM115" s="39"/>
      <c r="GN115" s="39"/>
      <c r="GO115" s="39"/>
      <c r="GP115" s="39"/>
      <c r="GQ115" s="39"/>
      <c r="GR115" s="39"/>
      <c r="GS115" s="39"/>
      <c r="GT115" s="39"/>
      <c r="GU115" s="39"/>
      <c r="GV115" s="39"/>
      <c r="GW115" s="39"/>
      <c r="GX115" s="39"/>
      <c r="GY115" s="39"/>
      <c r="GZ115" s="39"/>
      <c r="HA115" s="39"/>
      <c r="HB115" s="39"/>
      <c r="HC115" s="39"/>
      <c r="HD115" s="39"/>
      <c r="HE115" s="39"/>
      <c r="HF115" s="39"/>
      <c r="HG115" s="39"/>
      <c r="HH115" s="39"/>
      <c r="HI115" s="39"/>
      <c r="HJ115" s="39"/>
      <c r="HK115" s="39"/>
      <c r="HL115" s="39"/>
      <c r="HM115" s="39"/>
      <c r="HN115" s="39"/>
      <c r="HO115" s="39"/>
      <c r="HP115" s="39"/>
      <c r="HQ115" s="39"/>
      <c r="HR115" s="39"/>
      <c r="HS115" s="39"/>
      <c r="HT115" s="39"/>
      <c r="HU115" s="39"/>
      <c r="HV115" s="39"/>
      <c r="HW115" s="39"/>
      <c r="HX115" s="39"/>
      <c r="HY115" s="39"/>
      <c r="HZ115" s="39"/>
      <c r="IA115" s="39"/>
      <c r="IB115" s="39"/>
      <c r="IC115" s="39"/>
      <c r="ID115" s="39"/>
      <c r="IE115" s="39"/>
      <c r="IF115" s="39"/>
      <c r="IG115" s="39"/>
      <c r="IH115" s="39"/>
      <c r="II115" s="39"/>
      <c r="IJ115" s="39"/>
      <c r="IK115" s="39"/>
      <c r="IL115" s="39"/>
      <c r="IM115" s="39"/>
      <c r="IN115" s="39"/>
      <c r="IO115" s="39"/>
      <c r="IP115" s="39"/>
      <c r="IQ115" s="39"/>
      <c r="IR115" s="39"/>
      <c r="IS115" s="39"/>
      <c r="IT115" s="39"/>
      <c r="IU115" s="39"/>
      <c r="IV115" s="39"/>
      <c r="IW115" s="39"/>
    </row>
    <row r="116" customFormat="false" ht="12.95" hidden="false" customHeight="true" outlineLevel="0" collapsed="false">
      <c r="A116" s="37" t="n">
        <f aca="false">+'CCs # Master'!A145</f>
        <v>11</v>
      </c>
      <c r="B116" s="99" t="str">
        <f aca="false">+'CCs # Master'!B145</f>
        <v>Regulatory Technical Analysis Group</v>
      </c>
      <c r="C116" s="99" t="str">
        <f aca="false">+'CCs # Master'!C145</f>
        <v>Terraso, M</v>
      </c>
      <c r="D116" s="37" t="n">
        <f aca="false">+'CCs # Master'!D145</f>
        <v>100883</v>
      </c>
      <c r="E116" s="39" t="n">
        <f aca="false">+'CCs # Master'!E145</f>
        <v>305</v>
      </c>
      <c r="F116" s="39" t="n">
        <f aca="false">+'CCs # Master'!F145</f>
        <v>86</v>
      </c>
      <c r="G116" s="39" t="n">
        <f aca="false">+'CCs # Master'!G145</f>
        <v>10</v>
      </c>
      <c r="H116" s="39" t="n">
        <f aca="false">+'CCs # Master'!H145</f>
        <v>7</v>
      </c>
      <c r="I116" s="39" t="n">
        <f aca="false">+'CCs # Master'!I145</f>
        <v>70</v>
      </c>
      <c r="J116" s="39" t="n">
        <f aca="false">+'CCs # Master'!J145</f>
        <v>46</v>
      </c>
      <c r="K116" s="71" t="n">
        <f aca="false">SUM(E116:J116)</f>
        <v>524</v>
      </c>
      <c r="L116" s="39"/>
      <c r="M116" s="39" t="str">
        <f aca="false">+'CCs # Master'!M145</f>
        <v>Usage</v>
      </c>
      <c r="N116" s="39" t="n">
        <f aca="false">+'CCs # Master'!AW145</f>
        <v>0</v>
      </c>
      <c r="O116" s="39" t="n">
        <v>0</v>
      </c>
      <c r="P116" s="39" t="n">
        <f aca="false">+'CCs # Master'!N145</f>
        <v>0</v>
      </c>
      <c r="Q116" s="39" t="n">
        <f aca="false">+'CCs # Master'!O145</f>
        <v>0</v>
      </c>
      <c r="R116" s="39" t="n">
        <f aca="false">+'CCs # Master'!P145</f>
        <v>52</v>
      </c>
      <c r="S116" s="39" t="n">
        <f aca="false">+'CCs # Master'!Q145</f>
        <v>0</v>
      </c>
      <c r="T116" s="39" t="n">
        <f aca="false">+'CCs # Master'!R145</f>
        <v>0</v>
      </c>
      <c r="U116" s="39" t="n">
        <f aca="false">+'CCs # Master'!S145</f>
        <v>52</v>
      </c>
      <c r="V116" s="39" t="n">
        <f aca="false">+'CCs # Master'!T145</f>
        <v>0</v>
      </c>
      <c r="W116" s="39" t="n">
        <f aca="false">+'CCs # Master'!U145</f>
        <v>0</v>
      </c>
      <c r="X116" s="39" t="n">
        <f aca="false">+'CCs # Master'!V145</f>
        <v>104</v>
      </c>
      <c r="Y116" s="39" t="n">
        <f aca="false">+'CCs # Master'!W145</f>
        <v>0</v>
      </c>
      <c r="Z116" s="39" t="n">
        <f aca="false">+'CCs # Master'!X145</f>
        <v>52</v>
      </c>
      <c r="AA116" s="39" t="n">
        <f aca="false">+'CCs # Master'!Y145</f>
        <v>0</v>
      </c>
      <c r="AB116" s="39" t="n">
        <f aca="false">+'CCs # Master'!Z145</f>
        <v>0</v>
      </c>
      <c r="AC116" s="39" t="n">
        <f aca="false">+'CCs # Master'!AA145</f>
        <v>0</v>
      </c>
      <c r="AD116" s="39" t="n">
        <f aca="false">+'CCs # Master'!AB145</f>
        <v>26</v>
      </c>
      <c r="AE116" s="39" t="n">
        <f aca="false">+'CCs # Master'!AC145</f>
        <v>0</v>
      </c>
      <c r="AF116" s="39" t="n">
        <f aca="false">+'CCs # Master'!AD145</f>
        <v>52</v>
      </c>
      <c r="AG116" s="39" t="n">
        <f aca="false">+'CCs # Master'!AE145</f>
        <v>26</v>
      </c>
      <c r="AH116" s="39" t="n">
        <f aca="false">+'CCs # Master'!AF145</f>
        <v>26</v>
      </c>
      <c r="AI116" s="39" t="n">
        <f aca="false">+'CCs # Master'!AG145</f>
        <v>26</v>
      </c>
      <c r="AJ116" s="39" t="n">
        <f aca="false">+'CCs # Master'!AH145</f>
        <v>0</v>
      </c>
      <c r="AK116" s="39" t="n">
        <f aca="false">+'CCs # Master'!AI145</f>
        <v>26</v>
      </c>
      <c r="AL116" s="39" t="n">
        <f aca="false">+'CCs # Master'!AJ145</f>
        <v>26</v>
      </c>
      <c r="AM116" s="39" t="n">
        <f aca="false">+'CCs # Master'!AK145</f>
        <v>26</v>
      </c>
      <c r="AN116" s="39" t="n">
        <f aca="false">+'CCs # Master'!AL145</f>
        <v>26</v>
      </c>
      <c r="AO116" s="39" t="n">
        <f aca="false">+'CCs # Master'!AM145</f>
        <v>0</v>
      </c>
      <c r="AP116" s="39" t="n">
        <f aca="false">+'CCs # Master'!AN145</f>
        <v>0</v>
      </c>
      <c r="AQ116" s="39" t="n">
        <f aca="false">+'CCs # Master'!AO145</f>
        <v>4</v>
      </c>
      <c r="AR116" s="39" t="n">
        <f aca="false">+'CCs # Master'!AP145</f>
        <v>0</v>
      </c>
      <c r="AS116" s="39" t="n">
        <f aca="false">+'CCs # Master'!AQ145</f>
        <v>0</v>
      </c>
      <c r="AT116" s="39" t="n">
        <f aca="false">+'CCs # Master'!AR145</f>
        <v>0</v>
      </c>
      <c r="AU116" s="39" t="n">
        <f aca="false">+'CCs # Master'!AS145</f>
        <v>0</v>
      </c>
      <c r="AV116" s="39" t="n">
        <f aca="false">+'CCs # Master'!AT145</f>
        <v>0</v>
      </c>
      <c r="AW116" s="0"/>
      <c r="AX116" s="71" t="n">
        <f aca="false">SUM(N116:AW116)</f>
        <v>524</v>
      </c>
      <c r="AY116" s="71" t="n">
        <f aca="false">+K116-AX116</f>
        <v>0</v>
      </c>
      <c r="AZ116" s="39"/>
      <c r="BA116" s="39" t="n">
        <f aca="false">+P116+Q116+T116+U116+V116+W116+X116+Y116</f>
        <v>156</v>
      </c>
      <c r="BB116" s="39" t="n">
        <f aca="false">N116</f>
        <v>0</v>
      </c>
      <c r="BC116" s="97" t="n">
        <f aca="false">SUM(P116:AW116)</f>
        <v>524</v>
      </c>
      <c r="BD116" s="39"/>
      <c r="BE116" s="97" t="n">
        <f aca="false">SUM(BB116:BC116)</f>
        <v>524</v>
      </c>
      <c r="BF116" s="39"/>
      <c r="BG116" s="98" t="n">
        <f aca="false">SUM(N116:AW116)</f>
        <v>524</v>
      </c>
      <c r="BH116" s="39" t="n">
        <f aca="false">BE116-BG116</f>
        <v>0</v>
      </c>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c r="GH116" s="39"/>
      <c r="GI116" s="39"/>
      <c r="GJ116" s="39"/>
      <c r="GK116" s="39"/>
      <c r="GL116" s="39"/>
      <c r="GM116" s="39"/>
      <c r="GN116" s="39"/>
      <c r="GO116" s="39"/>
      <c r="GP116" s="39"/>
      <c r="GQ116" s="39"/>
      <c r="GR116" s="39"/>
      <c r="GS116" s="39"/>
      <c r="GT116" s="39"/>
      <c r="GU116" s="39"/>
      <c r="GV116" s="39"/>
      <c r="GW116" s="39"/>
      <c r="GX116" s="39"/>
      <c r="GY116" s="39"/>
      <c r="GZ116" s="39"/>
      <c r="HA116" s="39"/>
      <c r="HB116" s="39"/>
      <c r="HC116" s="39"/>
      <c r="HD116" s="39"/>
      <c r="HE116" s="39"/>
      <c r="HF116" s="39"/>
      <c r="HG116" s="39"/>
      <c r="HH116" s="39"/>
      <c r="HI116" s="39"/>
      <c r="HJ116" s="39"/>
      <c r="HK116" s="39"/>
      <c r="HL116" s="39"/>
      <c r="HM116" s="39"/>
      <c r="HN116" s="39"/>
      <c r="HO116" s="39"/>
      <c r="HP116" s="39"/>
      <c r="HQ116" s="39"/>
      <c r="HR116" s="39"/>
      <c r="HS116" s="39"/>
      <c r="HT116" s="39"/>
      <c r="HU116" s="39"/>
      <c r="HV116" s="39"/>
      <c r="HW116" s="39"/>
      <c r="HX116" s="39"/>
      <c r="HY116" s="39"/>
      <c r="HZ116" s="39"/>
      <c r="IA116" s="39"/>
      <c r="IB116" s="39"/>
      <c r="IC116" s="39"/>
      <c r="ID116" s="39"/>
      <c r="IE116" s="39"/>
      <c r="IF116" s="39"/>
      <c r="IG116" s="39"/>
      <c r="IH116" s="39"/>
      <c r="II116" s="39"/>
      <c r="IJ116" s="39"/>
      <c r="IK116" s="39"/>
      <c r="IL116" s="39"/>
      <c r="IM116" s="39"/>
      <c r="IN116" s="39"/>
      <c r="IO116" s="39"/>
      <c r="IP116" s="39"/>
      <c r="IQ116" s="39"/>
      <c r="IR116" s="39"/>
      <c r="IS116" s="39"/>
      <c r="IT116" s="39"/>
      <c r="IU116" s="39"/>
      <c r="IV116" s="39"/>
      <c r="IW116" s="39"/>
    </row>
    <row r="117" customFormat="false" ht="8.1" hidden="false" customHeight="true" outlineLevel="0" collapsed="false">
      <c r="A117" s="95"/>
      <c r="B117" s="38"/>
      <c r="C117" s="39"/>
      <c r="D117" s="96"/>
      <c r="E117" s="91"/>
      <c r="F117" s="91"/>
      <c r="G117" s="91"/>
      <c r="H117" s="91"/>
      <c r="I117" s="91"/>
      <c r="J117" s="91"/>
      <c r="K117" s="91"/>
      <c r="L117" s="39"/>
      <c r="M117" s="39"/>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0"/>
      <c r="AX117" s="91"/>
      <c r="AY117" s="91"/>
      <c r="AZ117" s="39"/>
      <c r="BA117" s="91"/>
      <c r="BB117" s="91"/>
      <c r="BC117" s="39"/>
      <c r="BD117" s="39"/>
      <c r="BE117" s="39"/>
      <c r="BF117" s="39"/>
      <c r="BG117" s="48"/>
      <c r="BH117" s="39"/>
      <c r="BI117" s="39"/>
      <c r="BJ117" s="39"/>
      <c r="BK117" s="39"/>
      <c r="BL117" s="39"/>
      <c r="BM117" s="39"/>
      <c r="BN117" s="39"/>
      <c r="BO117" s="39"/>
      <c r="BP117" s="39"/>
      <c r="BQ117" s="39"/>
      <c r="BR117" s="39"/>
      <c r="BS117" s="39"/>
      <c r="BT117" s="39"/>
      <c r="BU117" s="39"/>
      <c r="BV117" s="39"/>
      <c r="BW117" s="39"/>
      <c r="BX117" s="39"/>
      <c r="BY117" s="39"/>
      <c r="BZ117" s="39"/>
      <c r="CA117" s="39"/>
      <c r="CB117" s="39"/>
      <c r="CC117" s="39"/>
      <c r="CD117" s="39"/>
      <c r="CE117" s="39"/>
      <c r="CF117" s="39"/>
      <c r="CG117" s="39"/>
      <c r="CH117" s="39"/>
      <c r="CI117" s="39"/>
      <c r="CJ117" s="39"/>
      <c r="CK117" s="39"/>
      <c r="CL117" s="39"/>
      <c r="CM117" s="39"/>
      <c r="CN117" s="39"/>
      <c r="CO117" s="39"/>
      <c r="CP117" s="39"/>
      <c r="CQ117" s="39"/>
      <c r="CR117" s="39"/>
      <c r="CS117" s="39"/>
      <c r="CT117" s="39"/>
      <c r="CU117" s="39"/>
      <c r="CV117" s="39"/>
      <c r="CW117" s="39"/>
      <c r="CX117" s="39"/>
      <c r="CY117" s="39"/>
      <c r="CZ117" s="39"/>
      <c r="DA117" s="39"/>
      <c r="DB117" s="39"/>
      <c r="DC117" s="39"/>
      <c r="DD117" s="39"/>
      <c r="DE117" s="39"/>
      <c r="DF117" s="39"/>
      <c r="DG117" s="39"/>
      <c r="DH117" s="39"/>
      <c r="DI117" s="39"/>
      <c r="DJ117" s="39"/>
      <c r="DK117" s="39"/>
      <c r="DL117" s="39"/>
      <c r="DM117" s="39"/>
      <c r="DN117" s="39"/>
      <c r="DO117" s="39"/>
      <c r="DP117" s="39"/>
      <c r="DQ117" s="39"/>
      <c r="DR117" s="39"/>
      <c r="DS117" s="39"/>
      <c r="DT117" s="39"/>
      <c r="DU117" s="39"/>
      <c r="DV117" s="39"/>
      <c r="DW117" s="39"/>
      <c r="DX117" s="39"/>
      <c r="DY117" s="39"/>
      <c r="DZ117" s="39"/>
      <c r="EA117" s="39"/>
      <c r="EB117" s="39"/>
      <c r="EC117" s="39"/>
      <c r="ED117" s="39"/>
      <c r="EE117" s="39"/>
      <c r="EF117" s="39"/>
      <c r="EG117" s="39"/>
      <c r="EH117" s="39"/>
      <c r="EI117" s="39"/>
      <c r="EJ117" s="39"/>
      <c r="EK117" s="39"/>
      <c r="EL117" s="39"/>
      <c r="EM117" s="39"/>
      <c r="EN117" s="39"/>
      <c r="EO117" s="39"/>
      <c r="EP117" s="39"/>
      <c r="EQ117" s="39"/>
      <c r="ER117" s="39"/>
      <c r="ES117" s="39"/>
      <c r="ET117" s="39"/>
      <c r="EU117" s="39"/>
      <c r="EV117" s="39"/>
      <c r="EW117" s="39"/>
      <c r="EX117" s="39"/>
      <c r="EY117" s="39"/>
      <c r="EZ117" s="39"/>
      <c r="FA117" s="39"/>
      <c r="FB117" s="39"/>
      <c r="FC117" s="39"/>
      <c r="FD117" s="39"/>
      <c r="FE117" s="39"/>
      <c r="FF117" s="39"/>
      <c r="FG117" s="39"/>
      <c r="FH117" s="39"/>
      <c r="FI117" s="39"/>
      <c r="FJ117" s="39"/>
      <c r="FK117" s="39"/>
      <c r="FL117" s="39"/>
      <c r="FM117" s="39"/>
      <c r="FN117" s="39"/>
      <c r="FO117" s="39"/>
      <c r="FP117" s="39"/>
      <c r="FQ117" s="39"/>
      <c r="FR117" s="39"/>
      <c r="FS117" s="39"/>
      <c r="FT117" s="39"/>
      <c r="FU117" s="39"/>
      <c r="FV117" s="39"/>
      <c r="FW117" s="39"/>
      <c r="FX117" s="39"/>
      <c r="FY117" s="39"/>
      <c r="FZ117" s="39"/>
      <c r="GA117" s="39"/>
      <c r="GB117" s="39"/>
      <c r="GC117" s="39"/>
      <c r="GD117" s="39"/>
      <c r="GE117" s="39"/>
      <c r="GF117" s="39"/>
      <c r="GG117" s="39"/>
      <c r="GH117" s="39"/>
      <c r="GI117" s="39"/>
      <c r="GJ117" s="39"/>
      <c r="GK117" s="39"/>
      <c r="GL117" s="39"/>
      <c r="GM117" s="39"/>
      <c r="GN117" s="39"/>
      <c r="GO117" s="39"/>
      <c r="GP117" s="39"/>
      <c r="GQ117" s="39"/>
      <c r="GR117" s="39"/>
      <c r="GS117" s="39"/>
      <c r="GT117" s="39"/>
      <c r="GU117" s="39"/>
      <c r="GV117" s="39"/>
      <c r="GW117" s="39"/>
      <c r="GX117" s="39"/>
      <c r="GY117" s="39"/>
      <c r="GZ117" s="39"/>
      <c r="HA117" s="39"/>
      <c r="HB117" s="39"/>
      <c r="HC117" s="39"/>
      <c r="HD117" s="39"/>
      <c r="HE117" s="39"/>
      <c r="HF117" s="39"/>
      <c r="HG117" s="39"/>
      <c r="HH117" s="39"/>
      <c r="HI117" s="39"/>
      <c r="HJ117" s="39"/>
      <c r="HK117" s="39"/>
      <c r="HL117" s="39"/>
      <c r="HM117" s="39"/>
      <c r="HN117" s="39"/>
      <c r="HO117" s="39"/>
      <c r="HP117" s="39"/>
      <c r="HQ117" s="39"/>
      <c r="HR117" s="39"/>
      <c r="HS117" s="39"/>
      <c r="HT117" s="39"/>
      <c r="HU117" s="39"/>
      <c r="HV117" s="39"/>
      <c r="HW117" s="39"/>
      <c r="HX117" s="39"/>
      <c r="HY117" s="39"/>
      <c r="HZ117" s="39"/>
      <c r="IA117" s="39"/>
      <c r="IB117" s="39"/>
      <c r="IC117" s="39"/>
      <c r="ID117" s="39"/>
      <c r="IE117" s="39"/>
      <c r="IF117" s="39"/>
      <c r="IG117" s="39"/>
      <c r="IH117" s="39"/>
      <c r="II117" s="39"/>
      <c r="IJ117" s="39"/>
      <c r="IK117" s="39"/>
      <c r="IL117" s="39"/>
      <c r="IM117" s="39"/>
      <c r="IN117" s="39"/>
      <c r="IO117" s="39"/>
      <c r="IP117" s="39"/>
      <c r="IQ117" s="39"/>
      <c r="IR117" s="39"/>
      <c r="IS117" s="39"/>
      <c r="IT117" s="39"/>
      <c r="IU117" s="39"/>
      <c r="IV117" s="39"/>
      <c r="IW117" s="39"/>
    </row>
    <row r="118" customFormat="false" ht="12.95" hidden="false" customHeight="true" outlineLevel="0" collapsed="false">
      <c r="A118" s="95"/>
      <c r="B118" s="38"/>
      <c r="C118" s="39"/>
      <c r="D118" s="101"/>
      <c r="E118" s="97" t="n">
        <f aca="false">SUM(E92:E117)</f>
        <v>17312</v>
      </c>
      <c r="F118" s="97" t="n">
        <f aca="false">SUM(F92:F117)</f>
        <v>7272</v>
      </c>
      <c r="G118" s="97" t="n">
        <f aca="false">SUM(G92:G117)</f>
        <v>737</v>
      </c>
      <c r="H118" s="97" t="n">
        <f aca="false">SUM(H92:H117)</f>
        <v>13546</v>
      </c>
      <c r="I118" s="97" t="n">
        <f aca="false">SUM(I92:I117)</f>
        <v>1566</v>
      </c>
      <c r="J118" s="97" t="n">
        <f aca="false">SUM(J92:J117)</f>
        <v>2435</v>
      </c>
      <c r="K118" s="97" t="n">
        <f aca="false">SUM(K92:K117)</f>
        <v>42868</v>
      </c>
      <c r="L118" s="39"/>
      <c r="M118" s="39"/>
      <c r="N118" s="97" t="n">
        <f aca="false">SUM(N92:N117)</f>
        <v>7823</v>
      </c>
      <c r="O118" s="97" t="n">
        <f aca="false">SUM(O92:O117)</f>
        <v>0</v>
      </c>
      <c r="P118" s="97" t="n">
        <f aca="false">SUM(P92:P117)</f>
        <v>0</v>
      </c>
      <c r="Q118" s="97" t="n">
        <f aca="false">SUM(Q92:Q117)</f>
        <v>0</v>
      </c>
      <c r="R118" s="97" t="n">
        <f aca="false">SUM(R92:R117)</f>
        <v>52</v>
      </c>
      <c r="S118" s="97" t="n">
        <f aca="false">SUM(S92:S117)</f>
        <v>0</v>
      </c>
      <c r="T118" s="97" t="n">
        <f aca="false">SUM(T92:T117)</f>
        <v>0</v>
      </c>
      <c r="U118" s="97" t="n">
        <f aca="false">SUM(U92:U117)</f>
        <v>52</v>
      </c>
      <c r="V118" s="97" t="n">
        <f aca="false">SUM(V92:V117)</f>
        <v>0</v>
      </c>
      <c r="W118" s="97" t="n">
        <f aca="false">SUM(W92:W117)</f>
        <v>0</v>
      </c>
      <c r="X118" s="97" t="n">
        <f aca="false">SUM(X92:X117)</f>
        <v>159</v>
      </c>
      <c r="Y118" s="97" t="n">
        <f aca="false">SUM(Y92:Y117)</f>
        <v>0</v>
      </c>
      <c r="Z118" s="97" t="n">
        <f aca="false">SUM(Z92:Z117)</f>
        <v>13608</v>
      </c>
      <c r="AA118" s="97" t="n">
        <f aca="false">SUM(AA92:AA117)</f>
        <v>0</v>
      </c>
      <c r="AB118" s="97" t="n">
        <f aca="false">SUM(AB92:AB117)</f>
        <v>38</v>
      </c>
      <c r="AC118" s="97" t="n">
        <f aca="false">SUM(AC92:AC117)</f>
        <v>0</v>
      </c>
      <c r="AD118" s="97" t="n">
        <f aca="false">SUM(AD92:AD117)</f>
        <v>1088</v>
      </c>
      <c r="AE118" s="97" t="n">
        <f aca="false">SUM(AE92:AE117)</f>
        <v>0</v>
      </c>
      <c r="AF118" s="97" t="n">
        <f aca="false">SUM(AF92:AF117)</f>
        <v>9518</v>
      </c>
      <c r="AG118" s="97" t="n">
        <f aca="false">SUM(AG92:AG117)</f>
        <v>3749</v>
      </c>
      <c r="AH118" s="97" t="n">
        <f aca="false">SUM(AH92:AH117)</f>
        <v>235</v>
      </c>
      <c r="AI118" s="97" t="n">
        <f aca="false">SUM(AI92:AI117)</f>
        <v>122</v>
      </c>
      <c r="AJ118" s="97" t="n">
        <f aca="false">SUM(AJ92:AJ117)</f>
        <v>1117</v>
      </c>
      <c r="AK118" s="97" t="n">
        <f aca="false">SUM(AK92:AK117)</f>
        <v>1170</v>
      </c>
      <c r="AL118" s="97" t="n">
        <f aca="false">SUM(AL92:AL117)</f>
        <v>1276</v>
      </c>
      <c r="AM118" s="97" t="n">
        <f aca="false">SUM(AM92:AM117)</f>
        <v>156</v>
      </c>
      <c r="AN118" s="97" t="n">
        <f aca="false">SUM(AN92:AN117)</f>
        <v>621</v>
      </c>
      <c r="AO118" s="97" t="n">
        <f aca="false">SUM(AO92:AO117)</f>
        <v>500</v>
      </c>
      <c r="AP118" s="97" t="n">
        <f aca="false">SUM(AP92:AP117)</f>
        <v>0</v>
      </c>
      <c r="AQ118" s="97" t="n">
        <f aca="false">SUM(AQ92:AQ117)</f>
        <v>1072</v>
      </c>
      <c r="AR118" s="97" t="n">
        <f aca="false">SUM(AR92:AR117)</f>
        <v>512</v>
      </c>
      <c r="AS118" s="97" t="n">
        <f aca="false">SUM(AS92:AS117)</f>
        <v>0</v>
      </c>
      <c r="AT118" s="97" t="n">
        <f aca="false">SUM(AT92:AT117)</f>
        <v>0</v>
      </c>
      <c r="AU118" s="97" t="n">
        <f aca="false">SUM(AU92:AU117)</f>
        <v>0</v>
      </c>
      <c r="AV118" s="97" t="n">
        <f aca="false">SUM(AV92:AV117)</f>
        <v>0</v>
      </c>
      <c r="AW118" s="0"/>
      <c r="AX118" s="97" t="n">
        <f aca="false">SUM(AX92:AX117)</f>
        <v>42868</v>
      </c>
      <c r="AY118" s="97" t="n">
        <f aca="false">SUM(AY92:AY117)</f>
        <v>0</v>
      </c>
      <c r="AZ118" s="39"/>
      <c r="BA118" s="97" t="n">
        <f aca="false">SUM(BA92:BA117)</f>
        <v>211</v>
      </c>
      <c r="BB118" s="97" t="n">
        <f aca="false">SUM(BB92:BB117)</f>
        <v>7823</v>
      </c>
      <c r="BC118" s="97" t="n">
        <f aca="false">SUM(BC92:BC117)</f>
        <v>35045</v>
      </c>
      <c r="BD118" s="39"/>
      <c r="BE118" s="97" t="n">
        <f aca="false">SUM(BE92:BE117)</f>
        <v>42868</v>
      </c>
      <c r="BF118" s="39"/>
      <c r="BG118" s="98" t="n">
        <f aca="false">SUM(BG92:BG117)</f>
        <v>42868</v>
      </c>
      <c r="BH118" s="39" t="n">
        <f aca="false">SUM(BH92:BH117)</f>
        <v>0</v>
      </c>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c r="CX118" s="39"/>
      <c r="CY118" s="39"/>
      <c r="CZ118" s="39"/>
      <c r="DA118" s="39"/>
      <c r="DB118" s="39"/>
      <c r="DC118" s="39"/>
      <c r="DD118" s="39"/>
      <c r="DE118" s="39"/>
      <c r="DF118" s="39"/>
      <c r="DG118" s="39"/>
      <c r="DH118" s="39"/>
      <c r="DI118" s="39"/>
      <c r="DJ118" s="39"/>
      <c r="DK118" s="39"/>
      <c r="DL118" s="39"/>
      <c r="DM118" s="39"/>
      <c r="DN118" s="39"/>
      <c r="DO118" s="39"/>
      <c r="DP118" s="39"/>
      <c r="DQ118" s="39"/>
      <c r="DR118" s="39"/>
      <c r="DS118" s="39"/>
      <c r="DT118" s="39"/>
      <c r="DU118" s="39"/>
      <c r="DV118" s="39"/>
      <c r="DW118" s="39"/>
      <c r="DX118" s="39"/>
      <c r="DY118" s="39"/>
      <c r="DZ118" s="39"/>
      <c r="EA118" s="39"/>
      <c r="EB118" s="39"/>
      <c r="EC118" s="39"/>
      <c r="ED118" s="39"/>
      <c r="EE118" s="39"/>
      <c r="EF118" s="39"/>
      <c r="EG118" s="39"/>
      <c r="EH118" s="39"/>
      <c r="EI118" s="39"/>
      <c r="EJ118" s="39"/>
      <c r="EK118" s="39"/>
      <c r="EL118" s="39"/>
      <c r="EM118" s="39"/>
      <c r="EN118" s="39"/>
      <c r="EO118" s="39"/>
      <c r="EP118" s="39"/>
      <c r="EQ118" s="39"/>
      <c r="ER118" s="39"/>
      <c r="ES118" s="39"/>
      <c r="ET118" s="39"/>
      <c r="EU118" s="39"/>
      <c r="EV118" s="39"/>
      <c r="EW118" s="39"/>
      <c r="EX118" s="39"/>
      <c r="EY118" s="39"/>
      <c r="EZ118" s="39"/>
      <c r="FA118" s="39"/>
      <c r="FB118" s="39"/>
      <c r="FC118" s="39"/>
      <c r="FD118" s="39"/>
      <c r="FE118" s="39"/>
      <c r="FF118" s="39"/>
      <c r="FG118" s="39"/>
      <c r="FH118" s="39"/>
      <c r="FI118" s="39"/>
      <c r="FJ118" s="39"/>
      <c r="FK118" s="39"/>
      <c r="FL118" s="39"/>
      <c r="FM118" s="39"/>
      <c r="FN118" s="39"/>
      <c r="FO118" s="39"/>
      <c r="FP118" s="39"/>
      <c r="FQ118" s="39"/>
      <c r="FR118" s="39"/>
      <c r="FS118" s="39"/>
      <c r="FT118" s="39"/>
      <c r="FU118" s="39"/>
      <c r="FV118" s="39"/>
      <c r="FW118" s="39"/>
      <c r="FX118" s="39"/>
      <c r="FY118" s="39"/>
      <c r="FZ118" s="39"/>
      <c r="GA118" s="39"/>
      <c r="GB118" s="39"/>
      <c r="GC118" s="39"/>
      <c r="GD118" s="39"/>
      <c r="GE118" s="39"/>
      <c r="GF118" s="39"/>
      <c r="GG118" s="39"/>
      <c r="GH118" s="39"/>
      <c r="GI118" s="39"/>
      <c r="GJ118" s="39"/>
      <c r="GK118" s="39"/>
      <c r="GL118" s="39"/>
      <c r="GM118" s="39"/>
      <c r="GN118" s="39"/>
      <c r="GO118" s="39"/>
      <c r="GP118" s="39"/>
      <c r="GQ118" s="39"/>
      <c r="GR118" s="39"/>
      <c r="GS118" s="39"/>
      <c r="GT118" s="39"/>
      <c r="GU118" s="39"/>
      <c r="GV118" s="39"/>
      <c r="GW118" s="39"/>
      <c r="GX118" s="39"/>
      <c r="GY118" s="39"/>
      <c r="GZ118" s="39"/>
      <c r="HA118" s="39"/>
      <c r="HB118" s="39"/>
      <c r="HC118" s="39"/>
      <c r="HD118" s="39"/>
      <c r="HE118" s="39"/>
      <c r="HF118" s="39"/>
      <c r="HG118" s="39"/>
      <c r="HH118" s="39"/>
      <c r="HI118" s="39"/>
      <c r="HJ118" s="39"/>
      <c r="HK118" s="39"/>
      <c r="HL118" s="39"/>
      <c r="HM118" s="39"/>
      <c r="HN118" s="39"/>
      <c r="HO118" s="39"/>
      <c r="HP118" s="39"/>
      <c r="HQ118" s="39"/>
      <c r="HR118" s="39"/>
      <c r="HS118" s="39"/>
      <c r="HT118" s="39"/>
      <c r="HU118" s="39"/>
      <c r="HV118" s="39"/>
      <c r="HW118" s="39"/>
      <c r="HX118" s="39"/>
      <c r="HY118" s="39"/>
      <c r="HZ118" s="39"/>
      <c r="IA118" s="39"/>
      <c r="IB118" s="39"/>
      <c r="IC118" s="39"/>
      <c r="ID118" s="39"/>
      <c r="IE118" s="39"/>
      <c r="IF118" s="39"/>
      <c r="IG118" s="39"/>
      <c r="IH118" s="39"/>
      <c r="II118" s="39"/>
      <c r="IJ118" s="39"/>
      <c r="IK118" s="39"/>
      <c r="IL118" s="39"/>
      <c r="IM118" s="39"/>
      <c r="IN118" s="39"/>
      <c r="IO118" s="39"/>
      <c r="IP118" s="39"/>
      <c r="IQ118" s="39"/>
      <c r="IR118" s="39"/>
      <c r="IS118" s="39"/>
      <c r="IT118" s="39"/>
      <c r="IU118" s="39"/>
      <c r="IV118" s="39"/>
      <c r="IW118" s="39"/>
    </row>
    <row r="119" customFormat="false" ht="8.1" hidden="false" customHeight="true" outlineLevel="0" collapsed="false">
      <c r="A119" s="95"/>
      <c r="B119" s="38"/>
      <c r="C119" s="39"/>
      <c r="D119" s="96"/>
      <c r="E119" s="39"/>
      <c r="F119" s="71"/>
      <c r="G119" s="71"/>
      <c r="H119" s="39"/>
      <c r="I119" s="39"/>
      <c r="J119" s="39"/>
      <c r="K119" s="71"/>
      <c r="L119" s="39"/>
      <c r="M119" s="39"/>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0"/>
      <c r="AX119" s="71"/>
      <c r="AY119" s="71"/>
      <c r="AZ119" s="39"/>
      <c r="BA119" s="71"/>
      <c r="BB119" s="71"/>
      <c r="BC119" s="71"/>
      <c r="BD119" s="39"/>
      <c r="BE119" s="71"/>
      <c r="BF119" s="71"/>
      <c r="BG119" s="48"/>
      <c r="BH119" s="39"/>
      <c r="BI119" s="39"/>
      <c r="BJ119" s="39"/>
      <c r="BK119" s="39"/>
      <c r="BL119" s="39"/>
      <c r="BM119" s="39"/>
      <c r="BN119" s="39"/>
      <c r="BO119" s="39"/>
      <c r="BP119" s="39"/>
      <c r="BQ119" s="39"/>
      <c r="BR119" s="39"/>
      <c r="BS119" s="39"/>
      <c r="BT119" s="39"/>
      <c r="BU119" s="39"/>
      <c r="BV119" s="39"/>
      <c r="BW119" s="39"/>
      <c r="BX119" s="39"/>
      <c r="BY119" s="39"/>
      <c r="BZ119" s="39"/>
      <c r="CA119" s="39"/>
      <c r="CB119" s="39"/>
      <c r="CC119" s="39"/>
      <c r="CD119" s="39"/>
      <c r="CE119" s="39"/>
      <c r="CF119" s="39"/>
      <c r="CG119" s="39"/>
      <c r="CH119" s="39"/>
      <c r="CI119" s="39"/>
      <c r="CJ119" s="39"/>
      <c r="CK119" s="39"/>
      <c r="CL119" s="39"/>
      <c r="CM119" s="39"/>
      <c r="CN119" s="39"/>
      <c r="CO119" s="39"/>
      <c r="CP119" s="39"/>
      <c r="CQ119" s="39"/>
      <c r="CR119" s="39"/>
      <c r="CS119" s="39"/>
      <c r="CT119" s="39"/>
      <c r="CU119" s="39"/>
      <c r="CV119" s="39"/>
      <c r="CW119" s="39"/>
      <c r="CX119" s="39"/>
      <c r="CY119" s="39"/>
      <c r="CZ119" s="39"/>
      <c r="DA119" s="39"/>
      <c r="DB119" s="39"/>
      <c r="DC119" s="39"/>
      <c r="DD119" s="39"/>
      <c r="DE119" s="39"/>
      <c r="DF119" s="39"/>
      <c r="DG119" s="39"/>
      <c r="DH119" s="39"/>
      <c r="DI119" s="39"/>
      <c r="DJ119" s="39"/>
      <c r="DK119" s="39"/>
      <c r="DL119" s="39"/>
      <c r="DM119" s="39"/>
      <c r="DN119" s="39"/>
      <c r="DO119" s="39"/>
      <c r="DP119" s="39"/>
      <c r="DQ119" s="39"/>
      <c r="DR119" s="39"/>
      <c r="DS119" s="39"/>
      <c r="DT119" s="39"/>
      <c r="DU119" s="39"/>
      <c r="DV119" s="39"/>
      <c r="DW119" s="39"/>
      <c r="DX119" s="39"/>
      <c r="DY119" s="39"/>
      <c r="DZ119" s="39"/>
      <c r="EA119" s="39"/>
      <c r="EB119" s="39"/>
      <c r="EC119" s="39"/>
      <c r="ED119" s="39"/>
      <c r="EE119" s="39"/>
      <c r="EF119" s="39"/>
      <c r="EG119" s="39"/>
      <c r="EH119" s="39"/>
      <c r="EI119" s="39"/>
      <c r="EJ119" s="39"/>
      <c r="EK119" s="39"/>
      <c r="EL119" s="39"/>
      <c r="EM119" s="39"/>
      <c r="EN119" s="39"/>
      <c r="EO119" s="39"/>
      <c r="EP119" s="39"/>
      <c r="EQ119" s="39"/>
      <c r="ER119" s="39"/>
      <c r="ES119" s="39"/>
      <c r="ET119" s="39"/>
      <c r="EU119" s="39"/>
      <c r="EV119" s="39"/>
      <c r="EW119" s="39"/>
      <c r="EX119" s="39"/>
      <c r="EY119" s="39"/>
      <c r="EZ119" s="39"/>
      <c r="FA119" s="39"/>
      <c r="FB119" s="39"/>
      <c r="FC119" s="39"/>
      <c r="FD119" s="39"/>
      <c r="FE119" s="39"/>
      <c r="FF119" s="39"/>
      <c r="FG119" s="39"/>
      <c r="FH119" s="39"/>
      <c r="FI119" s="39"/>
      <c r="FJ119" s="39"/>
      <c r="FK119" s="39"/>
      <c r="FL119" s="39"/>
      <c r="FM119" s="39"/>
      <c r="FN119" s="39"/>
      <c r="FO119" s="39"/>
      <c r="FP119" s="39"/>
      <c r="FQ119" s="39"/>
      <c r="FR119" s="39"/>
      <c r="FS119" s="39"/>
      <c r="FT119" s="39"/>
      <c r="FU119" s="39"/>
      <c r="FV119" s="39"/>
      <c r="FW119" s="39"/>
      <c r="FX119" s="39"/>
      <c r="FY119" s="39"/>
      <c r="FZ119" s="39"/>
      <c r="GA119" s="39"/>
      <c r="GB119" s="39"/>
      <c r="GC119" s="39"/>
      <c r="GD119" s="39"/>
      <c r="GE119" s="39"/>
      <c r="GF119" s="39"/>
      <c r="GG119" s="39"/>
      <c r="GH119" s="39"/>
      <c r="GI119" s="39"/>
      <c r="GJ119" s="39"/>
      <c r="GK119" s="39"/>
      <c r="GL119" s="39"/>
      <c r="GM119" s="39"/>
      <c r="GN119" s="39"/>
      <c r="GO119" s="39"/>
      <c r="GP119" s="39"/>
      <c r="GQ119" s="39"/>
      <c r="GR119" s="39"/>
      <c r="GS119" s="39"/>
      <c r="GT119" s="39"/>
      <c r="GU119" s="39"/>
      <c r="GV119" s="39"/>
      <c r="GW119" s="39"/>
      <c r="GX119" s="39"/>
      <c r="GY119" s="39"/>
      <c r="GZ119" s="39"/>
      <c r="HA119" s="39"/>
      <c r="HB119" s="39"/>
      <c r="HC119" s="39"/>
      <c r="HD119" s="39"/>
      <c r="HE119" s="39"/>
      <c r="HF119" s="39"/>
      <c r="HG119" s="39"/>
      <c r="HH119" s="39"/>
      <c r="HI119" s="39"/>
      <c r="HJ119" s="39"/>
      <c r="HK119" s="39"/>
      <c r="HL119" s="39"/>
      <c r="HM119" s="39"/>
      <c r="HN119" s="39"/>
      <c r="HO119" s="39"/>
      <c r="HP119" s="39"/>
      <c r="HQ119" s="39"/>
      <c r="HR119" s="39"/>
      <c r="HS119" s="39"/>
      <c r="HT119" s="39"/>
      <c r="HU119" s="39"/>
      <c r="HV119" s="39"/>
      <c r="HW119" s="39"/>
      <c r="HX119" s="39"/>
      <c r="HY119" s="39"/>
      <c r="HZ119" s="39"/>
      <c r="IA119" s="39"/>
      <c r="IB119" s="39"/>
      <c r="IC119" s="39"/>
      <c r="ID119" s="39"/>
      <c r="IE119" s="39"/>
      <c r="IF119" s="39"/>
      <c r="IG119" s="39"/>
      <c r="IH119" s="39"/>
      <c r="II119" s="39"/>
      <c r="IJ119" s="39"/>
      <c r="IK119" s="39"/>
      <c r="IL119" s="39"/>
      <c r="IM119" s="39"/>
      <c r="IN119" s="39"/>
      <c r="IO119" s="39"/>
      <c r="IP119" s="39"/>
      <c r="IQ119" s="39"/>
      <c r="IR119" s="39"/>
      <c r="IS119" s="39"/>
      <c r="IT119" s="39"/>
      <c r="IU119" s="39"/>
      <c r="IV119" s="39"/>
      <c r="IW119" s="39"/>
    </row>
    <row r="120" customFormat="false" ht="12.95" hidden="false" customHeight="true" outlineLevel="0" collapsed="false">
      <c r="A120" s="95" t="s">
        <v>423</v>
      </c>
      <c r="B120" s="38"/>
      <c r="C120" s="39"/>
      <c r="D120" s="96"/>
      <c r="E120" s="39"/>
      <c r="F120" s="71"/>
      <c r="G120" s="71"/>
      <c r="H120" s="39"/>
      <c r="I120" s="39"/>
      <c r="J120" s="39"/>
      <c r="K120" s="71"/>
      <c r="L120" s="39"/>
      <c r="M120" s="39"/>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0"/>
      <c r="AX120" s="71"/>
      <c r="AY120" s="71"/>
      <c r="AZ120" s="39"/>
      <c r="BA120" s="71"/>
      <c r="BB120" s="71"/>
      <c r="BC120" s="71"/>
      <c r="BD120" s="39"/>
      <c r="BE120" s="71"/>
      <c r="BF120" s="71"/>
      <c r="BG120" s="48"/>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9"/>
      <c r="CS120" s="39"/>
      <c r="CT120" s="39"/>
      <c r="CU120" s="39"/>
      <c r="CV120" s="39"/>
      <c r="CW120" s="39"/>
      <c r="CX120" s="39"/>
      <c r="CY120" s="39"/>
      <c r="CZ120" s="39"/>
      <c r="DA120" s="39"/>
      <c r="DB120" s="39"/>
      <c r="DC120" s="39"/>
      <c r="DD120" s="39"/>
      <c r="DE120" s="39"/>
      <c r="DF120" s="39"/>
      <c r="DG120" s="39"/>
      <c r="DH120" s="39"/>
      <c r="DI120" s="39"/>
      <c r="DJ120" s="39"/>
      <c r="DK120" s="39"/>
      <c r="DL120" s="39"/>
      <c r="DM120" s="39"/>
      <c r="DN120" s="39"/>
      <c r="DO120" s="39"/>
      <c r="DP120" s="39"/>
      <c r="DQ120" s="39"/>
      <c r="DR120" s="39"/>
      <c r="DS120" s="39"/>
      <c r="DT120" s="39"/>
      <c r="DU120" s="39"/>
      <c r="DV120" s="39"/>
      <c r="DW120" s="39"/>
      <c r="DX120" s="39"/>
      <c r="DY120" s="39"/>
      <c r="DZ120" s="39"/>
      <c r="EA120" s="39"/>
      <c r="EB120" s="39"/>
      <c r="EC120" s="39"/>
      <c r="ED120" s="39"/>
      <c r="EE120" s="39"/>
      <c r="EF120" s="39"/>
      <c r="EG120" s="39"/>
      <c r="EH120" s="39"/>
      <c r="EI120" s="39"/>
      <c r="EJ120" s="39"/>
      <c r="EK120" s="39"/>
      <c r="EL120" s="39"/>
      <c r="EM120" s="39"/>
      <c r="EN120" s="39"/>
      <c r="EO120" s="39"/>
      <c r="EP120" s="39"/>
      <c r="EQ120" s="39"/>
      <c r="ER120" s="39"/>
      <c r="ES120" s="39"/>
      <c r="ET120" s="39"/>
      <c r="EU120" s="39"/>
      <c r="EV120" s="39"/>
      <c r="EW120" s="39"/>
      <c r="EX120" s="39"/>
      <c r="EY120" s="39"/>
      <c r="EZ120" s="39"/>
      <c r="FA120" s="39"/>
      <c r="FB120" s="39"/>
      <c r="FC120" s="39"/>
      <c r="FD120" s="39"/>
      <c r="FE120" s="39"/>
      <c r="FF120" s="39"/>
      <c r="FG120" s="39"/>
      <c r="FH120" s="39"/>
      <c r="FI120" s="39"/>
      <c r="FJ120" s="39"/>
      <c r="FK120" s="39"/>
      <c r="FL120" s="39"/>
      <c r="FM120" s="39"/>
      <c r="FN120" s="39"/>
      <c r="FO120" s="39"/>
      <c r="FP120" s="39"/>
      <c r="FQ120" s="39"/>
      <c r="FR120" s="39"/>
      <c r="FS120" s="39"/>
      <c r="FT120" s="39"/>
      <c r="FU120" s="39"/>
      <c r="FV120" s="39"/>
      <c r="FW120" s="39"/>
      <c r="FX120" s="39"/>
      <c r="FY120" s="39"/>
      <c r="FZ120" s="39"/>
      <c r="GA120" s="39"/>
      <c r="GB120" s="39"/>
      <c r="GC120" s="39"/>
      <c r="GD120" s="39"/>
      <c r="GE120" s="39"/>
      <c r="GF120" s="39"/>
      <c r="GG120" s="39"/>
      <c r="GH120" s="39"/>
      <c r="GI120" s="39"/>
      <c r="GJ120" s="39"/>
      <c r="GK120" s="39"/>
      <c r="GL120" s="39"/>
      <c r="GM120" s="39"/>
      <c r="GN120" s="39"/>
      <c r="GO120" s="39"/>
      <c r="GP120" s="39"/>
      <c r="GQ120" s="39"/>
      <c r="GR120" s="39"/>
      <c r="GS120" s="39"/>
      <c r="GT120" s="39"/>
      <c r="GU120" s="39"/>
      <c r="GV120" s="39"/>
      <c r="GW120" s="39"/>
      <c r="GX120" s="39"/>
      <c r="GY120" s="39"/>
      <c r="GZ120" s="39"/>
      <c r="HA120" s="39"/>
      <c r="HB120" s="39"/>
      <c r="HC120" s="39"/>
      <c r="HD120" s="39"/>
      <c r="HE120" s="39"/>
      <c r="HF120" s="39"/>
      <c r="HG120" s="39"/>
      <c r="HH120" s="39"/>
      <c r="HI120" s="39"/>
      <c r="HJ120" s="39"/>
      <c r="HK120" s="39"/>
      <c r="HL120" s="39"/>
      <c r="HM120" s="39"/>
      <c r="HN120" s="39"/>
      <c r="HO120" s="39"/>
      <c r="HP120" s="39"/>
      <c r="HQ120" s="39"/>
      <c r="HR120" s="39"/>
      <c r="HS120" s="39"/>
      <c r="HT120" s="39"/>
      <c r="HU120" s="39"/>
      <c r="HV120" s="39"/>
      <c r="HW120" s="39"/>
      <c r="HX120" s="39"/>
      <c r="HY120" s="39"/>
      <c r="HZ120" s="39"/>
      <c r="IA120" s="39"/>
      <c r="IB120" s="39"/>
      <c r="IC120" s="39"/>
      <c r="ID120" s="39"/>
      <c r="IE120" s="39"/>
      <c r="IF120" s="39"/>
      <c r="IG120" s="39"/>
      <c r="IH120" s="39"/>
      <c r="II120" s="39"/>
      <c r="IJ120" s="39"/>
      <c r="IK120" s="39"/>
      <c r="IL120" s="39"/>
      <c r="IM120" s="39"/>
      <c r="IN120" s="39"/>
      <c r="IO120" s="39"/>
      <c r="IP120" s="39"/>
      <c r="IQ120" s="39"/>
      <c r="IR120" s="39"/>
      <c r="IS120" s="39"/>
      <c r="IT120" s="39"/>
      <c r="IU120" s="39"/>
      <c r="IV120" s="39"/>
      <c r="IW120" s="39"/>
    </row>
    <row r="121" customFormat="false" ht="12.95" hidden="false" customHeight="true" outlineLevel="0" collapsed="false">
      <c r="A121" s="37" t="n">
        <f aca="false">+'CCs # Master'!A42</f>
        <v>11</v>
      </c>
      <c r="B121" s="39" t="str">
        <f aca="false">+'CCs # Master'!B42</f>
        <v>Public Relations - Advertising</v>
      </c>
      <c r="C121" s="39" t="str">
        <f aca="false">+'CCs # Master'!C42</f>
        <v>Kean, Steve</v>
      </c>
      <c r="D121" s="96" t="n">
        <f aca="false">+'CCs # Master'!D42</f>
        <v>100046</v>
      </c>
      <c r="E121" s="39" t="n">
        <f aca="false">+'CCs # Master'!E42</f>
        <v>0</v>
      </c>
      <c r="F121" s="39" t="n">
        <f aca="false">+'CCs # Master'!F42</f>
        <v>50</v>
      </c>
      <c r="G121" s="39" t="n">
        <f aca="false">+'CCs # Master'!G42</f>
        <v>0</v>
      </c>
      <c r="H121" s="39" t="n">
        <f aca="false">+'CCs # Master'!H42</f>
        <v>18410</v>
      </c>
      <c r="I121" s="39" t="n">
        <f aca="false">+'CCs # Master'!I42</f>
        <v>0</v>
      </c>
      <c r="J121" s="39" t="n">
        <f aca="false">+'CCs # Master'!J42</f>
        <v>0</v>
      </c>
      <c r="K121" s="71" t="n">
        <f aca="false">SUM(E121:J121)</f>
        <v>18460</v>
      </c>
      <c r="L121" s="39"/>
      <c r="M121" s="39" t="str">
        <f aca="false">+'CCs # Master'!M42</f>
        <v>Retained At Corp</v>
      </c>
      <c r="N121" s="39" t="n">
        <f aca="false">+'CCs # Master'!AW42</f>
        <v>18460</v>
      </c>
      <c r="O121" s="39" t="n">
        <v>0</v>
      </c>
      <c r="P121" s="39" t="n">
        <f aca="false">+'CCs # Master'!N42</f>
        <v>0</v>
      </c>
      <c r="Q121" s="39" t="n">
        <f aca="false">+'CCs # Master'!O42</f>
        <v>0</v>
      </c>
      <c r="R121" s="39" t="n">
        <f aca="false">+'CCs # Master'!P42</f>
        <v>0</v>
      </c>
      <c r="S121" s="39" t="n">
        <f aca="false">+'CCs # Master'!Q42</f>
        <v>0</v>
      </c>
      <c r="T121" s="39" t="n">
        <f aca="false">+'CCs # Master'!R42</f>
        <v>0</v>
      </c>
      <c r="U121" s="39" t="n">
        <f aca="false">+'CCs # Master'!S42</f>
        <v>0</v>
      </c>
      <c r="V121" s="39" t="n">
        <f aca="false">+'CCs # Master'!T42</f>
        <v>0</v>
      </c>
      <c r="W121" s="39" t="n">
        <f aca="false">+'CCs # Master'!U42</f>
        <v>0</v>
      </c>
      <c r="X121" s="39" t="n">
        <f aca="false">+'CCs # Master'!V42</f>
        <v>0</v>
      </c>
      <c r="Y121" s="39" t="n">
        <f aca="false">+'CCs # Master'!W42</f>
        <v>0</v>
      </c>
      <c r="Z121" s="39" t="n">
        <f aca="false">+'CCs # Master'!X42</f>
        <v>0</v>
      </c>
      <c r="AA121" s="39" t="n">
        <f aca="false">+'CCs # Master'!Y42</f>
        <v>0</v>
      </c>
      <c r="AB121" s="39" t="n">
        <f aca="false">+'CCs # Master'!Z42</f>
        <v>0</v>
      </c>
      <c r="AC121" s="39" t="n">
        <f aca="false">+'CCs # Master'!AA42</f>
        <v>0</v>
      </c>
      <c r="AD121" s="39" t="n">
        <f aca="false">+'CCs # Master'!AB42</f>
        <v>0</v>
      </c>
      <c r="AE121" s="39" t="n">
        <f aca="false">+'CCs # Master'!AC42</f>
        <v>0</v>
      </c>
      <c r="AF121" s="39" t="n">
        <f aca="false">+'CCs # Master'!AD42</f>
        <v>0</v>
      </c>
      <c r="AG121" s="39" t="n">
        <f aca="false">+'CCs # Master'!AE42</f>
        <v>0</v>
      </c>
      <c r="AH121" s="39" t="n">
        <f aca="false">+'CCs # Master'!AF42</f>
        <v>0</v>
      </c>
      <c r="AI121" s="39" t="n">
        <f aca="false">+'CCs # Master'!AG42</f>
        <v>0</v>
      </c>
      <c r="AJ121" s="39" t="n">
        <f aca="false">+'CCs # Master'!AH42</f>
        <v>0</v>
      </c>
      <c r="AK121" s="39" t="n">
        <f aca="false">+'CCs # Master'!AI42</f>
        <v>0</v>
      </c>
      <c r="AL121" s="39" t="n">
        <f aca="false">+'CCs # Master'!AJ42</f>
        <v>0</v>
      </c>
      <c r="AM121" s="39" t="n">
        <f aca="false">+'CCs # Master'!AK42</f>
        <v>0</v>
      </c>
      <c r="AN121" s="39" t="n">
        <f aca="false">+'CCs # Master'!AL42</f>
        <v>0</v>
      </c>
      <c r="AO121" s="39" t="n">
        <f aca="false">+'CCs # Master'!AM42</f>
        <v>0</v>
      </c>
      <c r="AP121" s="39" t="n">
        <f aca="false">+'CCs # Master'!AN42</f>
        <v>0</v>
      </c>
      <c r="AQ121" s="39" t="n">
        <f aca="false">+'CCs # Master'!AO42</f>
        <v>0</v>
      </c>
      <c r="AR121" s="39" t="n">
        <f aca="false">+'CCs # Master'!AP42</f>
        <v>0</v>
      </c>
      <c r="AS121" s="39" t="n">
        <f aca="false">+'CCs # Master'!AQ42</f>
        <v>0</v>
      </c>
      <c r="AT121" s="39" t="n">
        <f aca="false">+'CCs # Master'!AR42</f>
        <v>0</v>
      </c>
      <c r="AU121" s="39" t="n">
        <f aca="false">+'CCs # Master'!AS42</f>
        <v>0</v>
      </c>
      <c r="AV121" s="39" t="n">
        <f aca="false">+'CCs # Master'!AT42</f>
        <v>0</v>
      </c>
      <c r="AW121" s="0"/>
      <c r="AX121" s="71" t="n">
        <f aca="false">SUM(N121:AW121)</f>
        <v>18460</v>
      </c>
      <c r="AY121" s="71" t="n">
        <f aca="false">+K121-AX121</f>
        <v>0</v>
      </c>
      <c r="AZ121" s="39"/>
      <c r="BA121" s="39" t="n">
        <f aca="false">+P121+Q121+T121+U121+V121+W121+X121+Y121</f>
        <v>0</v>
      </c>
      <c r="BB121" s="39" t="n">
        <f aca="false">N121</f>
        <v>18460</v>
      </c>
      <c r="BC121" s="39" t="n">
        <f aca="false">SUM(P121:AW121)</f>
        <v>0</v>
      </c>
      <c r="BD121" s="39"/>
      <c r="BE121" s="39" t="n">
        <f aca="false">SUM(BB121:BC121)</f>
        <v>18460</v>
      </c>
      <c r="BF121" s="39"/>
      <c r="BG121" s="48" t="n">
        <f aca="false">SUM(N121:AW121)</f>
        <v>18460</v>
      </c>
      <c r="BH121" s="39" t="n">
        <f aca="false">BE121-BG121</f>
        <v>0</v>
      </c>
      <c r="BI121" s="39"/>
      <c r="BJ121" s="39"/>
      <c r="BK121" s="39"/>
      <c r="BL121" s="39"/>
      <c r="BM121" s="39"/>
      <c r="BN121" s="39"/>
      <c r="BO121" s="39"/>
      <c r="BP121" s="39"/>
      <c r="BQ121" s="39"/>
      <c r="BR121" s="39"/>
      <c r="BS121" s="39"/>
      <c r="BT121" s="39"/>
      <c r="BU121" s="39"/>
      <c r="BV121" s="39"/>
      <c r="BW121" s="39"/>
      <c r="BX121" s="39"/>
      <c r="BY121" s="39"/>
      <c r="BZ121" s="39"/>
      <c r="CA121" s="39"/>
      <c r="CB121" s="39"/>
      <c r="CC121" s="39"/>
      <c r="CD121" s="39"/>
      <c r="CE121" s="39"/>
      <c r="CF121" s="39"/>
      <c r="CG121" s="39"/>
      <c r="CH121" s="39"/>
      <c r="CI121" s="39"/>
      <c r="CJ121" s="39"/>
      <c r="CK121" s="39"/>
      <c r="CL121" s="39"/>
      <c r="CM121" s="39"/>
      <c r="CN121" s="39"/>
      <c r="CO121" s="39"/>
      <c r="CP121" s="39"/>
      <c r="CQ121" s="39"/>
      <c r="CR121" s="39"/>
      <c r="CS121" s="39"/>
      <c r="CT121" s="39"/>
      <c r="CU121" s="39"/>
      <c r="CV121" s="39"/>
      <c r="CW121" s="39"/>
      <c r="CX121" s="39"/>
      <c r="CY121" s="39"/>
      <c r="CZ121" s="39"/>
      <c r="DA121" s="39"/>
      <c r="DB121" s="39"/>
      <c r="DC121" s="39"/>
      <c r="DD121" s="39"/>
      <c r="DE121" s="39"/>
      <c r="DF121" s="39"/>
      <c r="DG121" s="39"/>
      <c r="DH121" s="39"/>
      <c r="DI121" s="39"/>
      <c r="DJ121" s="39"/>
      <c r="DK121" s="39"/>
      <c r="DL121" s="39"/>
      <c r="DM121" s="39"/>
      <c r="DN121" s="39"/>
      <c r="DO121" s="39"/>
      <c r="DP121" s="39"/>
      <c r="DQ121" s="39"/>
      <c r="DR121" s="39"/>
      <c r="DS121" s="39"/>
      <c r="DT121" s="39"/>
      <c r="DU121" s="39"/>
      <c r="DV121" s="39"/>
      <c r="DW121" s="39"/>
      <c r="DX121" s="39"/>
      <c r="DY121" s="39"/>
      <c r="DZ121" s="39"/>
      <c r="EA121" s="39"/>
      <c r="EB121" s="39"/>
      <c r="EC121" s="39"/>
      <c r="ED121" s="39"/>
      <c r="EE121" s="39"/>
      <c r="EF121" s="39"/>
      <c r="EG121" s="39"/>
      <c r="EH121" s="39"/>
      <c r="EI121" s="39"/>
      <c r="EJ121" s="39"/>
      <c r="EK121" s="39"/>
      <c r="EL121" s="39"/>
      <c r="EM121" s="39"/>
      <c r="EN121" s="39"/>
      <c r="EO121" s="39"/>
      <c r="EP121" s="39"/>
      <c r="EQ121" s="39"/>
      <c r="ER121" s="39"/>
      <c r="ES121" s="39"/>
      <c r="ET121" s="39"/>
      <c r="EU121" s="39"/>
      <c r="EV121" s="39"/>
      <c r="EW121" s="39"/>
      <c r="EX121" s="39"/>
      <c r="EY121" s="39"/>
      <c r="EZ121" s="39"/>
      <c r="FA121" s="39"/>
      <c r="FB121" s="39"/>
      <c r="FC121" s="39"/>
      <c r="FD121" s="39"/>
      <c r="FE121" s="39"/>
      <c r="FF121" s="39"/>
      <c r="FG121" s="39"/>
      <c r="FH121" s="39"/>
      <c r="FI121" s="39"/>
      <c r="FJ121" s="39"/>
      <c r="FK121" s="39"/>
      <c r="FL121" s="39"/>
      <c r="FM121" s="39"/>
      <c r="FN121" s="39"/>
      <c r="FO121" s="39"/>
      <c r="FP121" s="39"/>
      <c r="FQ121" s="39"/>
      <c r="FR121" s="39"/>
      <c r="FS121" s="39"/>
      <c r="FT121" s="39"/>
      <c r="FU121" s="39"/>
      <c r="FV121" s="39"/>
      <c r="FW121" s="39"/>
      <c r="FX121" s="39"/>
      <c r="FY121" s="39"/>
      <c r="FZ121" s="39"/>
      <c r="GA121" s="39"/>
      <c r="GB121" s="39"/>
      <c r="GC121" s="39"/>
      <c r="GD121" s="39"/>
      <c r="GE121" s="39"/>
      <c r="GF121" s="39"/>
      <c r="GG121" s="39"/>
      <c r="GH121" s="39"/>
      <c r="GI121" s="39"/>
      <c r="GJ121" s="39"/>
      <c r="GK121" s="39"/>
      <c r="GL121" s="39"/>
      <c r="GM121" s="39"/>
      <c r="GN121" s="39"/>
      <c r="GO121" s="39"/>
      <c r="GP121" s="39"/>
      <c r="GQ121" s="39"/>
      <c r="GR121" s="39"/>
      <c r="GS121" s="39"/>
      <c r="GT121" s="39"/>
      <c r="GU121" s="39"/>
      <c r="GV121" s="39"/>
      <c r="GW121" s="39"/>
      <c r="GX121" s="39"/>
      <c r="GY121" s="39"/>
      <c r="GZ121" s="39"/>
      <c r="HA121" s="39"/>
      <c r="HB121" s="39"/>
      <c r="HC121" s="39"/>
      <c r="HD121" s="39"/>
      <c r="HE121" s="39"/>
      <c r="HF121" s="39"/>
      <c r="HG121" s="39"/>
      <c r="HH121" s="39"/>
      <c r="HI121" s="39"/>
      <c r="HJ121" s="39"/>
      <c r="HK121" s="39"/>
      <c r="HL121" s="39"/>
      <c r="HM121" s="39"/>
      <c r="HN121" s="39"/>
      <c r="HO121" s="39"/>
      <c r="HP121" s="39"/>
      <c r="HQ121" s="39"/>
      <c r="HR121" s="39"/>
      <c r="HS121" s="39"/>
      <c r="HT121" s="39"/>
      <c r="HU121" s="39"/>
      <c r="HV121" s="39"/>
      <c r="HW121" s="39"/>
      <c r="HX121" s="39"/>
      <c r="HY121" s="39"/>
      <c r="HZ121" s="39"/>
      <c r="IA121" s="39"/>
      <c r="IB121" s="39"/>
      <c r="IC121" s="39"/>
      <c r="ID121" s="39"/>
      <c r="IE121" s="39"/>
      <c r="IF121" s="39"/>
      <c r="IG121" s="39"/>
      <c r="IH121" s="39"/>
      <c r="II121" s="39"/>
      <c r="IJ121" s="39"/>
      <c r="IK121" s="39"/>
      <c r="IL121" s="39"/>
      <c r="IM121" s="39"/>
      <c r="IN121" s="39"/>
      <c r="IO121" s="39"/>
      <c r="IP121" s="39"/>
      <c r="IQ121" s="39"/>
      <c r="IR121" s="39"/>
      <c r="IS121" s="39"/>
      <c r="IT121" s="39"/>
      <c r="IU121" s="39"/>
      <c r="IV121" s="39"/>
      <c r="IW121" s="39"/>
    </row>
    <row r="122" customFormat="false" ht="12.95" hidden="false" customHeight="true" outlineLevel="0" collapsed="false">
      <c r="A122" s="37" t="str">
        <f aca="false">+'CCs # Master'!A59</f>
        <v>0011</v>
      </c>
      <c r="B122" s="39" t="str">
        <f aca="false">+'CCs # Master'!B59</f>
        <v>Public Relations - Astros</v>
      </c>
      <c r="C122" s="39" t="str">
        <f aca="false">+'CCs # Master'!C59</f>
        <v>Kean, Steve</v>
      </c>
      <c r="D122" s="96" t="n">
        <f aca="false">+'CCs # Master'!D59</f>
        <v>100073</v>
      </c>
      <c r="E122" s="39" t="n">
        <f aca="false">+'CCs # Master'!E59</f>
        <v>0</v>
      </c>
      <c r="F122" s="39" t="n">
        <f aca="false">+'CCs # Master'!F59</f>
        <v>0</v>
      </c>
      <c r="G122" s="39" t="n">
        <f aca="false">+'CCs # Master'!G59</f>
        <v>0</v>
      </c>
      <c r="H122" s="39" t="n">
        <f aca="false">+'CCs # Master'!H59</f>
        <v>3416</v>
      </c>
      <c r="I122" s="39" t="n">
        <f aca="false">+'CCs # Master'!I59</f>
        <v>0</v>
      </c>
      <c r="J122" s="39" t="n">
        <f aca="false">+'CCs # Master'!J59</f>
        <v>0</v>
      </c>
      <c r="K122" s="71" t="n">
        <f aca="false">SUM(E122:J122)</f>
        <v>3416</v>
      </c>
      <c r="L122" s="39"/>
      <c r="M122" s="39" t="str">
        <f aca="false">+'CCs # Master'!M59</f>
        <v>Agreed by Executive Com</v>
      </c>
      <c r="N122" s="39" t="n">
        <f aca="false">+'CCs # Master'!AW59</f>
        <v>765</v>
      </c>
      <c r="O122" s="39" t="n">
        <v>0</v>
      </c>
      <c r="P122" s="39" t="n">
        <f aca="false">+'CCs # Master'!N59</f>
        <v>0</v>
      </c>
      <c r="Q122" s="39" t="n">
        <f aca="false">+'CCs # Master'!O59</f>
        <v>0</v>
      </c>
      <c r="R122" s="39" t="n">
        <f aca="false">+'CCs # Master'!P59</f>
        <v>0</v>
      </c>
      <c r="S122" s="39" t="n">
        <f aca="false">+'CCs # Master'!Q59</f>
        <v>0</v>
      </c>
      <c r="T122" s="39" t="n">
        <f aca="false">+'CCs # Master'!R59</f>
        <v>0</v>
      </c>
      <c r="U122" s="39" t="n">
        <f aca="false">+'CCs # Master'!S59</f>
        <v>0</v>
      </c>
      <c r="V122" s="39" t="n">
        <f aca="false">+'CCs # Master'!T59</f>
        <v>0</v>
      </c>
      <c r="W122" s="39" t="n">
        <f aca="false">+'CCs # Master'!U59</f>
        <v>0</v>
      </c>
      <c r="X122" s="39" t="n">
        <f aca="false">+'CCs # Master'!V59</f>
        <v>187</v>
      </c>
      <c r="Y122" s="39" t="n">
        <f aca="false">+'CCs # Master'!W59</f>
        <v>0</v>
      </c>
      <c r="Z122" s="39" t="n">
        <f aca="false">+'CCs # Master'!X59</f>
        <v>162</v>
      </c>
      <c r="AA122" s="39" t="n">
        <f aca="false">+'CCs # Master'!Y59</f>
        <v>0</v>
      </c>
      <c r="AB122" s="39" t="n">
        <f aca="false">+'CCs # Master'!Z59</f>
        <v>0</v>
      </c>
      <c r="AC122" s="39" t="n">
        <f aca="false">+'CCs # Master'!AA59</f>
        <v>0</v>
      </c>
      <c r="AD122" s="39" t="n">
        <f aca="false">+'CCs # Master'!AB59</f>
        <v>187</v>
      </c>
      <c r="AE122" s="39" t="n">
        <f aca="false">+'CCs # Master'!AC59</f>
        <v>0</v>
      </c>
      <c r="AF122" s="39" t="n">
        <f aca="false">+'CCs # Master'!AD59</f>
        <v>1902</v>
      </c>
      <c r="AG122" s="39" t="n">
        <f aca="false">+'CCs # Master'!AE59</f>
        <v>0</v>
      </c>
      <c r="AH122" s="39" t="n">
        <f aca="false">+'CCs # Master'!AF59</f>
        <v>0</v>
      </c>
      <c r="AI122" s="39" t="n">
        <f aca="false">+'CCs # Master'!AG59</f>
        <v>0</v>
      </c>
      <c r="AJ122" s="39" t="n">
        <f aca="false">+'CCs # Master'!AH59</f>
        <v>47</v>
      </c>
      <c r="AK122" s="39" t="n">
        <f aca="false">+'CCs # Master'!AI59</f>
        <v>47</v>
      </c>
      <c r="AL122" s="39" t="n">
        <f aca="false">+'CCs # Master'!AJ59</f>
        <v>47</v>
      </c>
      <c r="AM122" s="39" t="n">
        <f aca="false">+'CCs # Master'!AK59</f>
        <v>0</v>
      </c>
      <c r="AN122" s="39" t="n">
        <f aca="false">+'CCs # Master'!AL59</f>
        <v>21</v>
      </c>
      <c r="AO122" s="39" t="n">
        <f aca="false">+'CCs # Master'!AM59</f>
        <v>0</v>
      </c>
      <c r="AP122" s="39" t="n">
        <f aca="false">+'CCs # Master'!AN59</f>
        <v>0</v>
      </c>
      <c r="AQ122" s="39" t="n">
        <f aca="false">+'CCs # Master'!AO59</f>
        <v>41</v>
      </c>
      <c r="AR122" s="39" t="n">
        <f aca="false">+'CCs # Master'!AP59</f>
        <v>10</v>
      </c>
      <c r="AS122" s="39" t="n">
        <f aca="false">+'CCs # Master'!AQ59</f>
        <v>0</v>
      </c>
      <c r="AT122" s="39" t="n">
        <f aca="false">+'CCs # Master'!AR59</f>
        <v>0</v>
      </c>
      <c r="AU122" s="39" t="n">
        <f aca="false">+'CCs # Master'!AS59</f>
        <v>0</v>
      </c>
      <c r="AV122" s="39" t="n">
        <f aca="false">+'CCs # Master'!AT59</f>
        <v>0</v>
      </c>
      <c r="AW122" s="0"/>
      <c r="AX122" s="71" t="n">
        <f aca="false">SUM(N122:AW122)</f>
        <v>3416</v>
      </c>
      <c r="AY122" s="71" t="n">
        <f aca="false">+K122-AX122</f>
        <v>0</v>
      </c>
      <c r="AZ122" s="39"/>
      <c r="BA122" s="39" t="n">
        <f aca="false">+P122+Q122+T122+U122+V122+W122+X122+Y122</f>
        <v>187</v>
      </c>
      <c r="BB122" s="39" t="n">
        <f aca="false">N122</f>
        <v>765</v>
      </c>
      <c r="BC122" s="39" t="n">
        <f aca="false">SUM(P122:AW122)</f>
        <v>2651</v>
      </c>
      <c r="BD122" s="39"/>
      <c r="BE122" s="39" t="n">
        <f aca="false">SUM(BB122:BC122)</f>
        <v>3416</v>
      </c>
      <c r="BF122" s="39"/>
      <c r="BG122" s="48" t="n">
        <f aca="false">SUM(N122:AW122)</f>
        <v>3416</v>
      </c>
      <c r="BH122" s="39" t="n">
        <f aca="false">BE122-BG122</f>
        <v>0</v>
      </c>
      <c r="BI122" s="39"/>
      <c r="BJ122" s="39"/>
      <c r="BK122" s="39"/>
      <c r="BL122" s="39"/>
      <c r="BM122" s="39"/>
      <c r="BN122" s="39"/>
      <c r="BO122" s="39"/>
      <c r="BP122" s="39"/>
      <c r="BQ122" s="39"/>
      <c r="BR122" s="39"/>
      <c r="BS122" s="39"/>
      <c r="BT122" s="39"/>
      <c r="BU122" s="39"/>
      <c r="BV122" s="39"/>
      <c r="BW122" s="39"/>
      <c r="BX122" s="39"/>
      <c r="BY122" s="39"/>
      <c r="BZ122" s="39"/>
      <c r="CA122" s="39"/>
      <c r="CB122" s="39"/>
      <c r="CC122" s="39"/>
      <c r="CD122" s="39"/>
      <c r="CE122" s="39"/>
      <c r="CF122" s="39"/>
      <c r="CG122" s="39"/>
      <c r="CH122" s="39"/>
      <c r="CI122" s="39"/>
      <c r="CJ122" s="39"/>
      <c r="CK122" s="39"/>
      <c r="CL122" s="39"/>
      <c r="CM122" s="39"/>
      <c r="CN122" s="39"/>
      <c r="CO122" s="39"/>
      <c r="CP122" s="39"/>
      <c r="CQ122" s="39"/>
      <c r="CR122" s="39"/>
      <c r="CS122" s="39"/>
      <c r="CT122" s="39"/>
      <c r="CU122" s="39"/>
      <c r="CV122" s="39"/>
      <c r="CW122" s="39"/>
      <c r="CX122" s="39"/>
      <c r="CY122" s="39"/>
      <c r="CZ122" s="39"/>
      <c r="DA122" s="39"/>
      <c r="DB122" s="39"/>
      <c r="DC122" s="39"/>
      <c r="DD122" s="39"/>
      <c r="DE122" s="39"/>
      <c r="DF122" s="39"/>
      <c r="DG122" s="39"/>
      <c r="DH122" s="39"/>
      <c r="DI122" s="39"/>
      <c r="DJ122" s="39"/>
      <c r="DK122" s="39"/>
      <c r="DL122" s="39"/>
      <c r="DM122" s="39"/>
      <c r="DN122" s="39"/>
      <c r="DO122" s="39"/>
      <c r="DP122" s="39"/>
      <c r="DQ122" s="39"/>
      <c r="DR122" s="39"/>
      <c r="DS122" s="39"/>
      <c r="DT122" s="39"/>
      <c r="DU122" s="39"/>
      <c r="DV122" s="39"/>
      <c r="DW122" s="39"/>
      <c r="DX122" s="39"/>
      <c r="DY122" s="39"/>
      <c r="DZ122" s="39"/>
      <c r="EA122" s="39"/>
      <c r="EB122" s="39"/>
      <c r="EC122" s="39"/>
      <c r="ED122" s="39"/>
      <c r="EE122" s="39"/>
      <c r="EF122" s="39"/>
      <c r="EG122" s="39"/>
      <c r="EH122" s="39"/>
      <c r="EI122" s="39"/>
      <c r="EJ122" s="39"/>
      <c r="EK122" s="39"/>
      <c r="EL122" s="39"/>
      <c r="EM122" s="39"/>
      <c r="EN122" s="39"/>
      <c r="EO122" s="39"/>
      <c r="EP122" s="39"/>
      <c r="EQ122" s="39"/>
      <c r="ER122" s="39"/>
      <c r="ES122" s="39"/>
      <c r="ET122" s="39"/>
      <c r="EU122" s="39"/>
      <c r="EV122" s="39"/>
      <c r="EW122" s="39"/>
      <c r="EX122" s="39"/>
      <c r="EY122" s="39"/>
      <c r="EZ122" s="39"/>
      <c r="FA122" s="39"/>
      <c r="FB122" s="39"/>
      <c r="FC122" s="39"/>
      <c r="FD122" s="39"/>
      <c r="FE122" s="39"/>
      <c r="FF122" s="39"/>
      <c r="FG122" s="39"/>
      <c r="FH122" s="39"/>
      <c r="FI122" s="39"/>
      <c r="FJ122" s="39"/>
      <c r="FK122" s="39"/>
      <c r="FL122" s="39"/>
      <c r="FM122" s="39"/>
      <c r="FN122" s="39"/>
      <c r="FO122" s="39"/>
      <c r="FP122" s="39"/>
      <c r="FQ122" s="39"/>
      <c r="FR122" s="39"/>
      <c r="FS122" s="39"/>
      <c r="FT122" s="39"/>
      <c r="FU122" s="39"/>
      <c r="FV122" s="39"/>
      <c r="FW122" s="39"/>
      <c r="FX122" s="39"/>
      <c r="FY122" s="39"/>
      <c r="FZ122" s="39"/>
      <c r="GA122" s="39"/>
      <c r="GB122" s="39"/>
      <c r="GC122" s="39"/>
      <c r="GD122" s="39"/>
      <c r="GE122" s="39"/>
      <c r="GF122" s="39"/>
      <c r="GG122" s="39"/>
      <c r="GH122" s="39"/>
      <c r="GI122" s="39"/>
      <c r="GJ122" s="39"/>
      <c r="GK122" s="39"/>
      <c r="GL122" s="39"/>
      <c r="GM122" s="39"/>
      <c r="GN122" s="39"/>
      <c r="GO122" s="39"/>
      <c r="GP122" s="39"/>
      <c r="GQ122" s="39"/>
      <c r="GR122" s="39"/>
      <c r="GS122" s="39"/>
      <c r="GT122" s="39"/>
      <c r="GU122" s="39"/>
      <c r="GV122" s="39"/>
      <c r="GW122" s="39"/>
      <c r="GX122" s="39"/>
      <c r="GY122" s="39"/>
      <c r="GZ122" s="39"/>
      <c r="HA122" s="39"/>
      <c r="HB122" s="39"/>
      <c r="HC122" s="39"/>
      <c r="HD122" s="39"/>
      <c r="HE122" s="39"/>
      <c r="HF122" s="39"/>
      <c r="HG122" s="39"/>
      <c r="HH122" s="39"/>
      <c r="HI122" s="39"/>
      <c r="HJ122" s="39"/>
      <c r="HK122" s="39"/>
      <c r="HL122" s="39"/>
      <c r="HM122" s="39"/>
      <c r="HN122" s="39"/>
      <c r="HO122" s="39"/>
      <c r="HP122" s="39"/>
      <c r="HQ122" s="39"/>
      <c r="HR122" s="39"/>
      <c r="HS122" s="39"/>
      <c r="HT122" s="39"/>
      <c r="HU122" s="39"/>
      <c r="HV122" s="39"/>
      <c r="HW122" s="39"/>
      <c r="HX122" s="39"/>
      <c r="HY122" s="39"/>
      <c r="HZ122" s="39"/>
      <c r="IA122" s="39"/>
      <c r="IB122" s="39"/>
      <c r="IC122" s="39"/>
      <c r="ID122" s="39"/>
      <c r="IE122" s="39"/>
      <c r="IF122" s="39"/>
      <c r="IG122" s="39"/>
      <c r="IH122" s="39"/>
      <c r="II122" s="39"/>
      <c r="IJ122" s="39"/>
      <c r="IK122" s="39"/>
      <c r="IL122" s="39"/>
      <c r="IM122" s="39"/>
      <c r="IN122" s="39"/>
      <c r="IO122" s="39"/>
      <c r="IP122" s="39"/>
      <c r="IQ122" s="39"/>
      <c r="IR122" s="39"/>
      <c r="IS122" s="39"/>
      <c r="IT122" s="39"/>
      <c r="IU122" s="39"/>
      <c r="IV122" s="39"/>
      <c r="IW122" s="39"/>
    </row>
    <row r="123" customFormat="false" ht="12.95" hidden="false" customHeight="true" outlineLevel="0" collapsed="false">
      <c r="A123" s="37" t="n">
        <f aca="false">+'CCs # Master'!A69</f>
        <v>11</v>
      </c>
      <c r="B123" s="39" t="str">
        <f aca="false">+'CCs # Master'!B69</f>
        <v>PR - Internet Marketing / Strategic Marketing and Brand Management</v>
      </c>
      <c r="C123" s="39" t="str">
        <f aca="false">+'CCs # Master'!C69</f>
        <v>Kean, Steve</v>
      </c>
      <c r="D123" s="96" t="n">
        <f aca="false">+'CCs # Master'!D69</f>
        <v>100102</v>
      </c>
      <c r="E123" s="39" t="n">
        <f aca="false">+'CCs # Master'!E69</f>
        <v>808</v>
      </c>
      <c r="F123" s="39" t="n">
        <f aca="false">+'CCs # Master'!F69</f>
        <v>187</v>
      </c>
      <c r="G123" s="39" t="n">
        <f aca="false">+'CCs # Master'!G69</f>
        <v>17</v>
      </c>
      <c r="H123" s="39" t="n">
        <f aca="false">+'CCs # Master'!H69</f>
        <v>695</v>
      </c>
      <c r="I123" s="39" t="n">
        <f aca="false">+'CCs # Master'!I69</f>
        <v>0</v>
      </c>
      <c r="J123" s="39" t="n">
        <f aca="false">+'CCs # Master'!J69</f>
        <v>31</v>
      </c>
      <c r="K123" s="71" t="n">
        <f aca="false">SUM(E123:J123)</f>
        <v>1738</v>
      </c>
      <c r="L123" s="39"/>
      <c r="M123" s="39" t="str">
        <f aca="false">+'CCs # Master'!M69</f>
        <v>MMF</v>
      </c>
      <c r="N123" s="39" t="n">
        <f aca="false">+'CCs # Master'!AW69</f>
        <v>1738</v>
      </c>
      <c r="O123" s="39" t="n">
        <v>0</v>
      </c>
      <c r="P123" s="39" t="n">
        <f aca="false">+'CCs # Master'!N69</f>
        <v>0</v>
      </c>
      <c r="Q123" s="39" t="n">
        <f aca="false">+'CCs # Master'!O69</f>
        <v>0</v>
      </c>
      <c r="R123" s="39" t="n">
        <f aca="false">+'CCs # Master'!P69</f>
        <v>0</v>
      </c>
      <c r="S123" s="39" t="n">
        <f aca="false">+'CCs # Master'!Q69</f>
        <v>0</v>
      </c>
      <c r="T123" s="39" t="n">
        <f aca="false">+'CCs # Master'!R69</f>
        <v>0</v>
      </c>
      <c r="U123" s="39" t="n">
        <f aca="false">+'CCs # Master'!S69</f>
        <v>0</v>
      </c>
      <c r="V123" s="39" t="n">
        <f aca="false">+'CCs # Master'!T69</f>
        <v>0</v>
      </c>
      <c r="W123" s="39" t="n">
        <f aca="false">+'CCs # Master'!U69</f>
        <v>0</v>
      </c>
      <c r="X123" s="39" t="n">
        <f aca="false">+'CCs # Master'!V69</f>
        <v>0</v>
      </c>
      <c r="Y123" s="39" t="n">
        <f aca="false">+'CCs # Master'!W69</f>
        <v>0</v>
      </c>
      <c r="Z123" s="39" t="n">
        <f aca="false">+'CCs # Master'!X69</f>
        <v>0</v>
      </c>
      <c r="AA123" s="39" t="n">
        <f aca="false">+'CCs # Master'!Y69</f>
        <v>0</v>
      </c>
      <c r="AB123" s="39" t="n">
        <f aca="false">+'CCs # Master'!Z69</f>
        <v>0</v>
      </c>
      <c r="AC123" s="39" t="n">
        <f aca="false">+'CCs # Master'!AA69</f>
        <v>0</v>
      </c>
      <c r="AD123" s="39" t="n">
        <f aca="false">+'CCs # Master'!AB69</f>
        <v>0</v>
      </c>
      <c r="AE123" s="39" t="n">
        <f aca="false">+'CCs # Master'!AC69</f>
        <v>0</v>
      </c>
      <c r="AF123" s="39" t="n">
        <f aca="false">+'CCs # Master'!AD69</f>
        <v>0</v>
      </c>
      <c r="AG123" s="39" t="n">
        <f aca="false">+'CCs # Master'!AE69</f>
        <v>0</v>
      </c>
      <c r="AH123" s="39" t="n">
        <f aca="false">+'CCs # Master'!AF69</f>
        <v>0</v>
      </c>
      <c r="AI123" s="39" t="n">
        <f aca="false">+'CCs # Master'!AG69</f>
        <v>0</v>
      </c>
      <c r="AJ123" s="39" t="n">
        <f aca="false">+'CCs # Master'!AH69</f>
        <v>0</v>
      </c>
      <c r="AK123" s="39" t="n">
        <f aca="false">+'CCs # Master'!AI69</f>
        <v>0</v>
      </c>
      <c r="AL123" s="39" t="n">
        <f aca="false">+'CCs # Master'!AJ69</f>
        <v>0</v>
      </c>
      <c r="AM123" s="39" t="n">
        <f aca="false">+'CCs # Master'!AK69</f>
        <v>0</v>
      </c>
      <c r="AN123" s="39" t="n">
        <f aca="false">+'CCs # Master'!AL69</f>
        <v>0</v>
      </c>
      <c r="AO123" s="39" t="n">
        <f aca="false">+'CCs # Master'!AM69</f>
        <v>0</v>
      </c>
      <c r="AP123" s="39" t="n">
        <f aca="false">+'CCs # Master'!AN69</f>
        <v>0</v>
      </c>
      <c r="AQ123" s="39" t="n">
        <f aca="false">+'CCs # Master'!AO69</f>
        <v>0</v>
      </c>
      <c r="AR123" s="39" t="n">
        <f aca="false">+'CCs # Master'!AP69</f>
        <v>0</v>
      </c>
      <c r="AS123" s="39" t="n">
        <f aca="false">+'CCs # Master'!AQ69</f>
        <v>0</v>
      </c>
      <c r="AT123" s="39" t="n">
        <f aca="false">+'CCs # Master'!AR69</f>
        <v>0</v>
      </c>
      <c r="AU123" s="39" t="n">
        <f aca="false">+'CCs # Master'!AS69</f>
        <v>0</v>
      </c>
      <c r="AV123" s="39" t="n">
        <f aca="false">+'CCs # Master'!AT69</f>
        <v>0</v>
      </c>
      <c r="AW123" s="0"/>
      <c r="AX123" s="71" t="n">
        <f aca="false">SUM(N123:AW123)</f>
        <v>1738</v>
      </c>
      <c r="AY123" s="71" t="n">
        <f aca="false">+K123-AX123</f>
        <v>0</v>
      </c>
      <c r="AZ123" s="39"/>
      <c r="BA123" s="39" t="n">
        <f aca="false">+P123+Q123+T123+U123+V123+W123+X123+Y123</f>
        <v>0</v>
      </c>
      <c r="BB123" s="39" t="n">
        <f aca="false">N123</f>
        <v>1738</v>
      </c>
      <c r="BC123" s="39" t="n">
        <f aca="false">SUM(P123:AW123)</f>
        <v>0</v>
      </c>
      <c r="BD123" s="39"/>
      <c r="BE123" s="39" t="n">
        <f aca="false">SUM(BB123:BC123)</f>
        <v>1738</v>
      </c>
      <c r="BF123" s="39"/>
      <c r="BG123" s="48" t="n">
        <f aca="false">SUM(N123:AW123)</f>
        <v>1738</v>
      </c>
      <c r="BH123" s="39" t="n">
        <f aca="false">BE123-BG123</f>
        <v>0</v>
      </c>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c r="GI123" s="39"/>
      <c r="GJ123" s="39"/>
      <c r="GK123" s="39"/>
      <c r="GL123" s="39"/>
      <c r="GM123" s="39"/>
      <c r="GN123" s="39"/>
      <c r="GO123" s="39"/>
      <c r="GP123" s="39"/>
      <c r="GQ123" s="39"/>
      <c r="GR123" s="39"/>
      <c r="GS123" s="39"/>
      <c r="GT123" s="39"/>
      <c r="GU123" s="39"/>
      <c r="GV123" s="39"/>
      <c r="GW123" s="39"/>
      <c r="GX123" s="39"/>
      <c r="GY123" s="39"/>
      <c r="GZ123" s="39"/>
      <c r="HA123" s="39"/>
      <c r="HB123" s="39"/>
      <c r="HC123" s="39"/>
      <c r="HD123" s="39"/>
      <c r="HE123" s="39"/>
      <c r="HF123" s="39"/>
      <c r="HG123" s="39"/>
      <c r="HH123" s="39"/>
      <c r="HI123" s="39"/>
      <c r="HJ123" s="39"/>
      <c r="HK123" s="39"/>
      <c r="HL123" s="39"/>
      <c r="HM123" s="39"/>
      <c r="HN123" s="39"/>
      <c r="HO123" s="39"/>
      <c r="HP123" s="39"/>
      <c r="HQ123" s="39"/>
      <c r="HR123" s="39"/>
      <c r="HS123" s="39"/>
      <c r="HT123" s="39"/>
      <c r="HU123" s="39"/>
      <c r="HV123" s="39"/>
      <c r="HW123" s="39"/>
      <c r="HX123" s="39"/>
      <c r="HY123" s="39"/>
      <c r="HZ123" s="39"/>
      <c r="IA123" s="39"/>
      <c r="IB123" s="39"/>
      <c r="IC123" s="39"/>
      <c r="ID123" s="39"/>
      <c r="IE123" s="39"/>
      <c r="IF123" s="39"/>
      <c r="IG123" s="39"/>
      <c r="IH123" s="39"/>
      <c r="II123" s="39"/>
      <c r="IJ123" s="39"/>
      <c r="IK123" s="39"/>
      <c r="IL123" s="39"/>
      <c r="IM123" s="39"/>
      <c r="IN123" s="39"/>
      <c r="IO123" s="39"/>
      <c r="IP123" s="39"/>
      <c r="IQ123" s="39"/>
      <c r="IR123" s="39"/>
      <c r="IS123" s="39"/>
      <c r="IT123" s="39"/>
      <c r="IU123" s="39"/>
      <c r="IV123" s="39"/>
      <c r="IW123" s="39"/>
    </row>
    <row r="124" customFormat="false" ht="12.95" hidden="false" customHeight="true" outlineLevel="0" collapsed="false">
      <c r="A124" s="37" t="n">
        <f aca="false">+'CCs # Master'!A93</f>
        <v>11</v>
      </c>
      <c r="B124" s="39" t="str">
        <f aca="false">+'CCs # Master'!B93</f>
        <v>Public Relations - Employee Comm.</v>
      </c>
      <c r="C124" s="39" t="str">
        <f aca="false">+'CCs # Master'!C93</f>
        <v>Palmer, Mark</v>
      </c>
      <c r="D124" s="96" t="n">
        <f aca="false">+'CCs # Master'!D93</f>
        <v>100135</v>
      </c>
      <c r="E124" s="39" t="n">
        <f aca="false">+'CCs # Master'!E93</f>
        <v>0</v>
      </c>
      <c r="F124" s="39" t="n">
        <f aca="false">+'CCs # Master'!F93</f>
        <v>90</v>
      </c>
      <c r="G124" s="39" t="n">
        <f aca="false">+'CCs # Master'!G93</f>
        <v>10</v>
      </c>
      <c r="H124" s="39" t="n">
        <f aca="false">+'CCs # Master'!H93</f>
        <v>818</v>
      </c>
      <c r="I124" s="39" t="n">
        <f aca="false">+'CCs # Master'!I93</f>
        <v>3</v>
      </c>
      <c r="J124" s="39" t="n">
        <f aca="false">+'CCs # Master'!J93</f>
        <v>28</v>
      </c>
      <c r="K124" s="71" t="n">
        <f aca="false">SUM(E124:J124)</f>
        <v>949</v>
      </c>
      <c r="L124" s="39"/>
      <c r="M124" s="39" t="str">
        <f aca="false">+'CCs # Master'!M93</f>
        <v>% of Total Employees</v>
      </c>
      <c r="N124" s="39" t="n">
        <f aca="false">+'CCs # Master'!AW93</f>
        <v>0</v>
      </c>
      <c r="O124" s="39" t="n">
        <v>0</v>
      </c>
      <c r="P124" s="39" t="n">
        <f aca="false">+'CCs # Master'!N93</f>
        <v>1</v>
      </c>
      <c r="Q124" s="39" t="n">
        <f aca="false">+'CCs # Master'!O93</f>
        <v>20</v>
      </c>
      <c r="R124" s="39" t="n">
        <f aca="false">+'CCs # Master'!P93</f>
        <v>30</v>
      </c>
      <c r="S124" s="39" t="n">
        <f aca="false">+'CCs # Master'!Q93</f>
        <v>30</v>
      </c>
      <c r="T124" s="39" t="n">
        <f aca="false">+'CCs # Master'!R93</f>
        <v>2</v>
      </c>
      <c r="U124" s="39" t="n">
        <f aca="false">+'CCs # Master'!S93</f>
        <v>0</v>
      </c>
      <c r="V124" s="39" t="n">
        <f aca="false">+'CCs # Master'!T93</f>
        <v>10</v>
      </c>
      <c r="W124" s="39" t="n">
        <f aca="false">+'CCs # Master'!U93</f>
        <v>52</v>
      </c>
      <c r="X124" s="39" t="n">
        <f aca="false">+'CCs # Master'!V93</f>
        <v>20</v>
      </c>
      <c r="Y124" s="39" t="n">
        <f aca="false">+'CCs # Master'!W93</f>
        <v>0</v>
      </c>
      <c r="Z124" s="39" t="n">
        <f aca="false">+'CCs # Master'!X93</f>
        <v>105</v>
      </c>
      <c r="AA124" s="39" t="n">
        <f aca="false">+'CCs # Master'!Y93</f>
        <v>1</v>
      </c>
      <c r="AB124" s="39" t="n">
        <f aca="false">+'CCs # Master'!Z93</f>
        <v>10</v>
      </c>
      <c r="AC124" s="39" t="n">
        <f aca="false">+'CCs # Master'!AA93</f>
        <v>2</v>
      </c>
      <c r="AD124" s="39" t="n">
        <f aca="false">+'CCs # Master'!AB93</f>
        <v>105</v>
      </c>
      <c r="AE124" s="39" t="n">
        <f aca="false">+'CCs # Master'!AC93</f>
        <v>4</v>
      </c>
      <c r="AF124" s="39" t="n">
        <f aca="false">+'CCs # Master'!AD93</f>
        <v>71</v>
      </c>
      <c r="AG124" s="39" t="n">
        <f aca="false">+'CCs # Master'!AE93</f>
        <v>81</v>
      </c>
      <c r="AH124" s="39" t="n">
        <f aca="false">+'CCs # Master'!AF93</f>
        <v>51</v>
      </c>
      <c r="AI124" s="39" t="n">
        <f aca="false">+'CCs # Master'!AG93</f>
        <v>220</v>
      </c>
      <c r="AJ124" s="39" t="n">
        <f aca="false">+'CCs # Master'!AH93</f>
        <v>4</v>
      </c>
      <c r="AK124" s="39" t="n">
        <f aca="false">+'CCs # Master'!AI93</f>
        <v>10</v>
      </c>
      <c r="AL124" s="39" t="n">
        <f aca="false">+'CCs # Master'!AJ93</f>
        <v>10</v>
      </c>
      <c r="AM124" s="39" t="n">
        <f aca="false">+'CCs # Master'!AK93</f>
        <v>10</v>
      </c>
      <c r="AN124" s="39" t="n">
        <f aca="false">+'CCs # Master'!AL93</f>
        <v>0</v>
      </c>
      <c r="AO124" s="39" t="n">
        <f aca="false">+'CCs # Master'!AM93</f>
        <v>60</v>
      </c>
      <c r="AP124" s="39" t="n">
        <f aca="false">+'CCs # Master'!AN93</f>
        <v>0</v>
      </c>
      <c r="AQ124" s="39" t="n">
        <f aca="false">+'CCs # Master'!AO93</f>
        <v>30</v>
      </c>
      <c r="AR124" s="39" t="n">
        <f aca="false">+'CCs # Master'!AP93</f>
        <v>10</v>
      </c>
      <c r="AS124" s="39" t="n">
        <f aca="false">+'CCs # Master'!AQ93</f>
        <v>0</v>
      </c>
      <c r="AT124" s="39" t="n">
        <f aca="false">+'CCs # Master'!AR93</f>
        <v>0</v>
      </c>
      <c r="AU124" s="39" t="n">
        <f aca="false">+'CCs # Master'!AS93</f>
        <v>0</v>
      </c>
      <c r="AV124" s="39" t="n">
        <f aca="false">+'CCs # Master'!AT93</f>
        <v>0</v>
      </c>
      <c r="AW124" s="0"/>
      <c r="AX124" s="71" t="n">
        <f aca="false">SUM(N124:AW124)</f>
        <v>949</v>
      </c>
      <c r="AY124" s="71" t="n">
        <f aca="false">+K124-AX124</f>
        <v>0</v>
      </c>
      <c r="AZ124" s="39"/>
      <c r="BA124" s="39" t="n">
        <f aca="false">+P124+Q124+T124+U124+V124+W124+X124+Y124</f>
        <v>105</v>
      </c>
      <c r="BB124" s="39" t="n">
        <f aca="false">N124</f>
        <v>0</v>
      </c>
      <c r="BC124" s="39" t="n">
        <f aca="false">SUM(P124:AW124)</f>
        <v>949</v>
      </c>
      <c r="BD124" s="39"/>
      <c r="BE124" s="39" t="n">
        <f aca="false">SUM(BB124:BC124)</f>
        <v>949</v>
      </c>
      <c r="BF124" s="39"/>
      <c r="BG124" s="48" t="n">
        <f aca="false">SUM(N124:AW124)</f>
        <v>949</v>
      </c>
      <c r="BH124" s="39" t="n">
        <f aca="false">BE124-BG124</f>
        <v>0</v>
      </c>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c r="GI124" s="39"/>
      <c r="GJ124" s="39"/>
      <c r="GK124" s="39"/>
      <c r="GL124" s="39"/>
      <c r="GM124" s="39"/>
      <c r="GN124" s="39"/>
      <c r="GO124" s="39"/>
      <c r="GP124" s="39"/>
      <c r="GQ124" s="39"/>
      <c r="GR124" s="39"/>
      <c r="GS124" s="39"/>
      <c r="GT124" s="39"/>
      <c r="GU124" s="39"/>
      <c r="GV124" s="39"/>
      <c r="GW124" s="39"/>
      <c r="GX124" s="39"/>
      <c r="GY124" s="39"/>
      <c r="GZ124" s="39"/>
      <c r="HA124" s="39"/>
      <c r="HB124" s="39"/>
      <c r="HC124" s="39"/>
      <c r="HD124" s="39"/>
      <c r="HE124" s="39"/>
      <c r="HF124" s="39"/>
      <c r="HG124" s="39"/>
      <c r="HH124" s="39"/>
      <c r="HI124" s="39"/>
      <c r="HJ124" s="39"/>
      <c r="HK124" s="39"/>
      <c r="HL124" s="39"/>
      <c r="HM124" s="39"/>
      <c r="HN124" s="39"/>
      <c r="HO124" s="39"/>
      <c r="HP124" s="39"/>
      <c r="HQ124" s="39"/>
      <c r="HR124" s="39"/>
      <c r="HS124" s="39"/>
      <c r="HT124" s="39"/>
      <c r="HU124" s="39"/>
      <c r="HV124" s="39"/>
      <c r="HW124" s="39"/>
      <c r="HX124" s="39"/>
      <c r="HY124" s="39"/>
      <c r="HZ124" s="39"/>
      <c r="IA124" s="39"/>
      <c r="IB124" s="39"/>
      <c r="IC124" s="39"/>
      <c r="ID124" s="39"/>
      <c r="IE124" s="39"/>
      <c r="IF124" s="39"/>
      <c r="IG124" s="39"/>
      <c r="IH124" s="39"/>
      <c r="II124" s="39"/>
      <c r="IJ124" s="39"/>
      <c r="IK124" s="39"/>
      <c r="IL124" s="39"/>
      <c r="IM124" s="39"/>
      <c r="IN124" s="39"/>
      <c r="IO124" s="39"/>
      <c r="IP124" s="39"/>
      <c r="IQ124" s="39"/>
      <c r="IR124" s="39"/>
      <c r="IS124" s="39"/>
      <c r="IT124" s="39"/>
      <c r="IU124" s="39"/>
      <c r="IV124" s="39"/>
      <c r="IW124" s="39"/>
    </row>
    <row r="125" customFormat="false" ht="12.95" hidden="false" customHeight="true" outlineLevel="0" collapsed="false">
      <c r="A125" s="37" t="n">
        <f aca="false">+'CCs # Master'!A94</f>
        <v>11</v>
      </c>
      <c r="B125" s="39" t="str">
        <f aca="false">+'CCs # Master'!B94</f>
        <v>Public Relations - Annual Report</v>
      </c>
      <c r="C125" s="39" t="str">
        <f aca="false">+'CCs # Master'!C94</f>
        <v>Palmer, Mark</v>
      </c>
      <c r="D125" s="96" t="n">
        <f aca="false">+'CCs # Master'!D94</f>
        <v>100136</v>
      </c>
      <c r="E125" s="39" t="n">
        <f aca="false">+'CCs # Master'!E94</f>
        <v>0</v>
      </c>
      <c r="F125" s="39" t="n">
        <f aca="false">+'CCs # Master'!F94</f>
        <v>33</v>
      </c>
      <c r="G125" s="39" t="n">
        <f aca="false">+'CCs # Master'!G94</f>
        <v>0</v>
      </c>
      <c r="H125" s="39" t="n">
        <f aca="false">+'CCs # Master'!H94</f>
        <v>1380</v>
      </c>
      <c r="I125" s="39" t="n">
        <f aca="false">+'CCs # Master'!I94</f>
        <v>0</v>
      </c>
      <c r="J125" s="39" t="n">
        <f aca="false">+'CCs # Master'!J94</f>
        <v>2</v>
      </c>
      <c r="K125" s="71" t="n">
        <f aca="false">SUM(E125:J125)</f>
        <v>1415</v>
      </c>
      <c r="L125" s="39"/>
      <c r="M125" s="39" t="str">
        <f aca="false">+'CCs # Master'!M94</f>
        <v>MMF</v>
      </c>
      <c r="N125" s="39" t="n">
        <f aca="false">+'CCs # Master'!AW94</f>
        <v>1415</v>
      </c>
      <c r="O125" s="39" t="n">
        <v>0</v>
      </c>
      <c r="P125" s="39" t="n">
        <f aca="false">+'CCs # Master'!N94</f>
        <v>0</v>
      </c>
      <c r="Q125" s="39" t="n">
        <f aca="false">+'CCs # Master'!O94</f>
        <v>0</v>
      </c>
      <c r="R125" s="39" t="n">
        <f aca="false">+'CCs # Master'!P94</f>
        <v>0</v>
      </c>
      <c r="S125" s="39" t="n">
        <f aca="false">+'CCs # Master'!Q94</f>
        <v>0</v>
      </c>
      <c r="T125" s="39" t="n">
        <f aca="false">+'CCs # Master'!R94</f>
        <v>0</v>
      </c>
      <c r="U125" s="39" t="n">
        <f aca="false">+'CCs # Master'!S94</f>
        <v>0</v>
      </c>
      <c r="V125" s="39" t="n">
        <f aca="false">+'CCs # Master'!T94</f>
        <v>0</v>
      </c>
      <c r="W125" s="39" t="n">
        <f aca="false">+'CCs # Master'!U94</f>
        <v>0</v>
      </c>
      <c r="X125" s="39" t="n">
        <f aca="false">+'CCs # Master'!V94</f>
        <v>0</v>
      </c>
      <c r="Y125" s="39" t="n">
        <f aca="false">+'CCs # Master'!W94</f>
        <v>0</v>
      </c>
      <c r="Z125" s="39" t="n">
        <f aca="false">+'CCs # Master'!X94</f>
        <v>0</v>
      </c>
      <c r="AA125" s="39" t="n">
        <f aca="false">+'CCs # Master'!Y94</f>
        <v>0</v>
      </c>
      <c r="AB125" s="39" t="n">
        <f aca="false">+'CCs # Master'!Z94</f>
        <v>0</v>
      </c>
      <c r="AC125" s="39" t="n">
        <f aca="false">+'CCs # Master'!AA94</f>
        <v>0</v>
      </c>
      <c r="AD125" s="39" t="n">
        <f aca="false">+'CCs # Master'!AB94</f>
        <v>0</v>
      </c>
      <c r="AE125" s="39" t="n">
        <f aca="false">+'CCs # Master'!AC94</f>
        <v>0</v>
      </c>
      <c r="AF125" s="39" t="n">
        <f aca="false">+'CCs # Master'!AD94</f>
        <v>0</v>
      </c>
      <c r="AG125" s="39" t="n">
        <f aca="false">+'CCs # Master'!AE94</f>
        <v>0</v>
      </c>
      <c r="AH125" s="39" t="n">
        <f aca="false">+'CCs # Master'!AF94</f>
        <v>0</v>
      </c>
      <c r="AI125" s="39" t="n">
        <f aca="false">+'CCs # Master'!AG94</f>
        <v>0</v>
      </c>
      <c r="AJ125" s="39" t="n">
        <f aca="false">+'CCs # Master'!AH94</f>
        <v>0</v>
      </c>
      <c r="AK125" s="39" t="n">
        <f aca="false">+'CCs # Master'!AI94</f>
        <v>0</v>
      </c>
      <c r="AL125" s="39" t="n">
        <f aca="false">+'CCs # Master'!AJ94</f>
        <v>0</v>
      </c>
      <c r="AM125" s="39" t="n">
        <f aca="false">+'CCs # Master'!AK94</f>
        <v>0</v>
      </c>
      <c r="AN125" s="39" t="n">
        <f aca="false">+'CCs # Master'!AL94</f>
        <v>0</v>
      </c>
      <c r="AO125" s="39" t="n">
        <f aca="false">+'CCs # Master'!AM94</f>
        <v>0</v>
      </c>
      <c r="AP125" s="39" t="n">
        <f aca="false">+'CCs # Master'!AN94</f>
        <v>0</v>
      </c>
      <c r="AQ125" s="39" t="n">
        <f aca="false">+'CCs # Master'!AO94</f>
        <v>0</v>
      </c>
      <c r="AR125" s="39" t="n">
        <f aca="false">+'CCs # Master'!AP94</f>
        <v>0</v>
      </c>
      <c r="AS125" s="39" t="n">
        <f aca="false">+'CCs # Master'!AQ94</f>
        <v>0</v>
      </c>
      <c r="AT125" s="39" t="n">
        <f aca="false">+'CCs # Master'!AR94</f>
        <v>0</v>
      </c>
      <c r="AU125" s="39" t="n">
        <f aca="false">+'CCs # Master'!AS94</f>
        <v>0</v>
      </c>
      <c r="AV125" s="39" t="n">
        <f aca="false">+'CCs # Master'!AT94</f>
        <v>0</v>
      </c>
      <c r="AW125" s="0"/>
      <c r="AX125" s="71" t="n">
        <f aca="false">SUM(N125:AW125)</f>
        <v>1415</v>
      </c>
      <c r="AY125" s="71" t="n">
        <f aca="false">+K125-AX125</f>
        <v>0</v>
      </c>
      <c r="AZ125" s="39"/>
      <c r="BA125" s="39" t="n">
        <f aca="false">+P125+Q125+T125+U125+V125+W125+X125+Y125</f>
        <v>0</v>
      </c>
      <c r="BB125" s="39" t="n">
        <f aca="false">N125</f>
        <v>1415</v>
      </c>
      <c r="BC125" s="39" t="n">
        <f aca="false">SUM(P125:AW125)</f>
        <v>0</v>
      </c>
      <c r="BD125" s="39"/>
      <c r="BE125" s="39" t="n">
        <f aca="false">SUM(BB125:BC125)</f>
        <v>1415</v>
      </c>
      <c r="BF125" s="39"/>
      <c r="BG125" s="48" t="n">
        <f aca="false">SUM(N125:AW125)</f>
        <v>1415</v>
      </c>
      <c r="BH125" s="39" t="n">
        <f aca="false">BE125-BG125</f>
        <v>0</v>
      </c>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c r="GI125" s="39"/>
      <c r="GJ125" s="39"/>
      <c r="GK125" s="39"/>
      <c r="GL125" s="39"/>
      <c r="GM125" s="39"/>
      <c r="GN125" s="39"/>
      <c r="GO125" s="39"/>
      <c r="GP125" s="39"/>
      <c r="GQ125" s="39"/>
      <c r="GR125" s="39"/>
      <c r="GS125" s="39"/>
      <c r="GT125" s="39"/>
      <c r="GU125" s="39"/>
      <c r="GV125" s="39"/>
      <c r="GW125" s="39"/>
      <c r="GX125" s="39"/>
      <c r="GY125" s="39"/>
      <c r="GZ125" s="39"/>
      <c r="HA125" s="39"/>
      <c r="HB125" s="39"/>
      <c r="HC125" s="39"/>
      <c r="HD125" s="39"/>
      <c r="HE125" s="39"/>
      <c r="HF125" s="39"/>
      <c r="HG125" s="39"/>
      <c r="HH125" s="39"/>
      <c r="HI125" s="39"/>
      <c r="HJ125" s="39"/>
      <c r="HK125" s="39"/>
      <c r="HL125" s="39"/>
      <c r="HM125" s="39"/>
      <c r="HN125" s="39"/>
      <c r="HO125" s="39"/>
      <c r="HP125" s="39"/>
      <c r="HQ125" s="39"/>
      <c r="HR125" s="39"/>
      <c r="HS125" s="39"/>
      <c r="HT125" s="39"/>
      <c r="HU125" s="39"/>
      <c r="HV125" s="39"/>
      <c r="HW125" s="39"/>
      <c r="HX125" s="39"/>
      <c r="HY125" s="39"/>
      <c r="HZ125" s="39"/>
      <c r="IA125" s="39"/>
      <c r="IB125" s="39"/>
      <c r="IC125" s="39"/>
      <c r="ID125" s="39"/>
      <c r="IE125" s="39"/>
      <c r="IF125" s="39"/>
      <c r="IG125" s="39"/>
      <c r="IH125" s="39"/>
      <c r="II125" s="39"/>
      <c r="IJ125" s="39"/>
      <c r="IK125" s="39"/>
      <c r="IL125" s="39"/>
      <c r="IM125" s="39"/>
      <c r="IN125" s="39"/>
      <c r="IO125" s="39"/>
      <c r="IP125" s="39"/>
      <c r="IQ125" s="39"/>
      <c r="IR125" s="39"/>
      <c r="IS125" s="39"/>
      <c r="IT125" s="39"/>
      <c r="IU125" s="39"/>
      <c r="IV125" s="39"/>
      <c r="IW125" s="39"/>
    </row>
    <row r="126" customFormat="false" ht="12.95" hidden="false" customHeight="true" outlineLevel="0" collapsed="false">
      <c r="A126" s="37" t="n">
        <f aca="false">+'CCs # Master'!A95</f>
        <v>11</v>
      </c>
      <c r="B126" s="39" t="str">
        <f aca="false">+'CCs # Master'!B95</f>
        <v>Corp Communications</v>
      </c>
      <c r="C126" s="39" t="str">
        <f aca="false">+'CCs # Master'!C95</f>
        <v>Palmer, Mark</v>
      </c>
      <c r="D126" s="96" t="n">
        <f aca="false">+'CCs # Master'!D95</f>
        <v>100137</v>
      </c>
      <c r="E126" s="39" t="n">
        <f aca="false">+'CCs # Master'!E95</f>
        <v>1895</v>
      </c>
      <c r="F126" s="39" t="n">
        <f aca="false">+'CCs # Master'!F95</f>
        <v>249</v>
      </c>
      <c r="G126" s="39" t="n">
        <f aca="false">+'CCs # Master'!G95</f>
        <v>30</v>
      </c>
      <c r="H126" s="39" t="n">
        <f aca="false">+'CCs # Master'!H95</f>
        <v>387</v>
      </c>
      <c r="I126" s="39" t="n">
        <f aca="false">+'CCs # Master'!I95</f>
        <v>500</v>
      </c>
      <c r="J126" s="39" t="n">
        <f aca="false">+'CCs # Master'!J95</f>
        <v>119</v>
      </c>
      <c r="K126" s="71" t="n">
        <f aca="false">SUM(E126:J126)</f>
        <v>3180</v>
      </c>
      <c r="L126" s="39"/>
      <c r="M126" s="39" t="str">
        <f aca="false">+'CCs # Master'!M95</f>
        <v>MMF</v>
      </c>
      <c r="N126" s="39" t="n">
        <f aca="false">+'CCs # Master'!AW95</f>
        <v>3180</v>
      </c>
      <c r="O126" s="39" t="n">
        <v>0</v>
      </c>
      <c r="P126" s="39" t="n">
        <f aca="false">+'CCs # Master'!N95</f>
        <v>0</v>
      </c>
      <c r="Q126" s="39" t="n">
        <f aca="false">+'CCs # Master'!O95</f>
        <v>0</v>
      </c>
      <c r="R126" s="39" t="n">
        <f aca="false">+'CCs # Master'!P95</f>
        <v>0</v>
      </c>
      <c r="S126" s="39" t="n">
        <f aca="false">+'CCs # Master'!Q95</f>
        <v>0</v>
      </c>
      <c r="T126" s="39" t="n">
        <f aca="false">+'CCs # Master'!R95</f>
        <v>0</v>
      </c>
      <c r="U126" s="39" t="n">
        <f aca="false">+'CCs # Master'!S95</f>
        <v>0</v>
      </c>
      <c r="V126" s="39" t="n">
        <f aca="false">+'CCs # Master'!T95</f>
        <v>0</v>
      </c>
      <c r="W126" s="39" t="n">
        <f aca="false">+'CCs # Master'!U95</f>
        <v>0</v>
      </c>
      <c r="X126" s="39" t="n">
        <f aca="false">+'CCs # Master'!V95</f>
        <v>0</v>
      </c>
      <c r="Y126" s="39" t="n">
        <f aca="false">+'CCs # Master'!W95</f>
        <v>0</v>
      </c>
      <c r="Z126" s="39" t="n">
        <f aca="false">+'CCs # Master'!X95</f>
        <v>0</v>
      </c>
      <c r="AA126" s="39" t="n">
        <f aca="false">+'CCs # Master'!Y95</f>
        <v>0</v>
      </c>
      <c r="AB126" s="39" t="n">
        <f aca="false">+'CCs # Master'!Z95</f>
        <v>0</v>
      </c>
      <c r="AC126" s="39" t="n">
        <f aca="false">+'CCs # Master'!AA95</f>
        <v>0</v>
      </c>
      <c r="AD126" s="39" t="n">
        <f aca="false">+'CCs # Master'!AB95</f>
        <v>0</v>
      </c>
      <c r="AE126" s="39" t="n">
        <f aca="false">+'CCs # Master'!AC95</f>
        <v>0</v>
      </c>
      <c r="AF126" s="39" t="n">
        <f aca="false">+'CCs # Master'!AD95</f>
        <v>0</v>
      </c>
      <c r="AG126" s="39" t="n">
        <f aca="false">+'CCs # Master'!AE95</f>
        <v>0</v>
      </c>
      <c r="AH126" s="39" t="n">
        <f aca="false">+'CCs # Master'!AF95</f>
        <v>0</v>
      </c>
      <c r="AI126" s="39" t="n">
        <f aca="false">+'CCs # Master'!AG95</f>
        <v>0</v>
      </c>
      <c r="AJ126" s="39" t="n">
        <f aca="false">+'CCs # Master'!AH95</f>
        <v>0</v>
      </c>
      <c r="AK126" s="39" t="n">
        <f aca="false">+'CCs # Master'!AI95</f>
        <v>0</v>
      </c>
      <c r="AL126" s="39" t="n">
        <f aca="false">+'CCs # Master'!AJ95</f>
        <v>0</v>
      </c>
      <c r="AM126" s="39" t="n">
        <f aca="false">+'CCs # Master'!AK95</f>
        <v>0</v>
      </c>
      <c r="AN126" s="39" t="n">
        <f aca="false">+'CCs # Master'!AL95</f>
        <v>0</v>
      </c>
      <c r="AO126" s="39" t="n">
        <f aca="false">+'CCs # Master'!AM95</f>
        <v>0</v>
      </c>
      <c r="AP126" s="39" t="n">
        <f aca="false">+'CCs # Master'!AN95</f>
        <v>0</v>
      </c>
      <c r="AQ126" s="39" t="n">
        <f aca="false">+'CCs # Master'!AO95</f>
        <v>0</v>
      </c>
      <c r="AR126" s="39" t="n">
        <f aca="false">+'CCs # Master'!AP95</f>
        <v>0</v>
      </c>
      <c r="AS126" s="39" t="n">
        <f aca="false">+'CCs # Master'!AQ95</f>
        <v>0</v>
      </c>
      <c r="AT126" s="39" t="n">
        <f aca="false">+'CCs # Master'!AR95</f>
        <v>0</v>
      </c>
      <c r="AU126" s="39" t="n">
        <f aca="false">+'CCs # Master'!AS95</f>
        <v>0</v>
      </c>
      <c r="AV126" s="39" t="n">
        <f aca="false">+'CCs # Master'!AT95</f>
        <v>0</v>
      </c>
      <c r="AW126" s="0"/>
      <c r="AX126" s="71" t="n">
        <f aca="false">SUM(N126:AW126)</f>
        <v>3180</v>
      </c>
      <c r="AY126" s="71" t="n">
        <f aca="false">+K126-AX126</f>
        <v>0</v>
      </c>
      <c r="AZ126" s="39"/>
      <c r="BA126" s="39" t="n">
        <f aca="false">+P126+Q126+T126+U126+V126+W126+X126+Y126</f>
        <v>0</v>
      </c>
      <c r="BB126" s="39" t="n">
        <f aca="false">N126</f>
        <v>3180</v>
      </c>
      <c r="BC126" s="39" t="n">
        <f aca="false">SUM(P126:AW126)</f>
        <v>0</v>
      </c>
      <c r="BD126" s="39"/>
      <c r="BE126" s="39" t="n">
        <f aca="false">SUM(BB126:BC126)</f>
        <v>3180</v>
      </c>
      <c r="BF126" s="39"/>
      <c r="BG126" s="48" t="n">
        <f aca="false">SUM(N126:AW126)</f>
        <v>3180</v>
      </c>
      <c r="BH126" s="39" t="n">
        <f aca="false">BE126-BG126</f>
        <v>0</v>
      </c>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39"/>
      <c r="EU126" s="39"/>
      <c r="EV126" s="39"/>
      <c r="EW126" s="39"/>
      <c r="EX126" s="39"/>
      <c r="EY126" s="39"/>
      <c r="EZ126" s="39"/>
      <c r="FA126" s="39"/>
      <c r="FB126" s="39"/>
      <c r="FC126" s="39"/>
      <c r="FD126" s="39"/>
      <c r="FE126" s="39"/>
      <c r="FF126" s="39"/>
      <c r="FG126" s="39"/>
      <c r="FH126" s="39"/>
      <c r="FI126" s="39"/>
      <c r="FJ126" s="39"/>
      <c r="FK126" s="39"/>
      <c r="FL126" s="39"/>
      <c r="FM126" s="39"/>
      <c r="FN126" s="39"/>
      <c r="FO126" s="39"/>
      <c r="FP126" s="39"/>
      <c r="FQ126" s="39"/>
      <c r="FR126" s="39"/>
      <c r="FS126" s="39"/>
      <c r="FT126" s="39"/>
      <c r="FU126" s="39"/>
      <c r="FV126" s="39"/>
      <c r="FW126" s="39"/>
      <c r="FX126" s="39"/>
      <c r="FY126" s="39"/>
      <c r="FZ126" s="39"/>
      <c r="GA126" s="39"/>
      <c r="GB126" s="39"/>
      <c r="GC126" s="39"/>
      <c r="GD126" s="39"/>
      <c r="GE126" s="39"/>
      <c r="GF126" s="39"/>
      <c r="GG126" s="39"/>
      <c r="GH126" s="39"/>
      <c r="GI126" s="39"/>
      <c r="GJ126" s="39"/>
      <c r="GK126" s="39"/>
      <c r="GL126" s="39"/>
      <c r="GM126" s="39"/>
      <c r="GN126" s="39"/>
      <c r="GO126" s="39"/>
      <c r="GP126" s="39"/>
      <c r="GQ126" s="39"/>
      <c r="GR126" s="39"/>
      <c r="GS126" s="39"/>
      <c r="GT126" s="39"/>
      <c r="GU126" s="39"/>
      <c r="GV126" s="39"/>
      <c r="GW126" s="39"/>
      <c r="GX126" s="39"/>
      <c r="GY126" s="39"/>
      <c r="GZ126" s="39"/>
      <c r="HA126" s="39"/>
      <c r="HB126" s="39"/>
      <c r="HC126" s="39"/>
      <c r="HD126" s="39"/>
      <c r="HE126" s="39"/>
      <c r="HF126" s="39"/>
      <c r="HG126" s="39"/>
      <c r="HH126" s="39"/>
      <c r="HI126" s="39"/>
      <c r="HJ126" s="39"/>
      <c r="HK126" s="39"/>
      <c r="HL126" s="39"/>
      <c r="HM126" s="39"/>
      <c r="HN126" s="39"/>
      <c r="HO126" s="39"/>
      <c r="HP126" s="39"/>
      <c r="HQ126" s="39"/>
      <c r="HR126" s="39"/>
      <c r="HS126" s="39"/>
      <c r="HT126" s="39"/>
      <c r="HU126" s="39"/>
      <c r="HV126" s="39"/>
      <c r="HW126" s="39"/>
      <c r="HX126" s="39"/>
      <c r="HY126" s="39"/>
      <c r="HZ126" s="39"/>
      <c r="IA126" s="39"/>
      <c r="IB126" s="39"/>
      <c r="IC126" s="39"/>
      <c r="ID126" s="39"/>
      <c r="IE126" s="39"/>
      <c r="IF126" s="39"/>
      <c r="IG126" s="39"/>
      <c r="IH126" s="39"/>
      <c r="II126" s="39"/>
      <c r="IJ126" s="39"/>
      <c r="IK126" s="39"/>
      <c r="IL126" s="39"/>
      <c r="IM126" s="39"/>
      <c r="IN126" s="39"/>
      <c r="IO126" s="39"/>
      <c r="IP126" s="39"/>
      <c r="IQ126" s="39"/>
      <c r="IR126" s="39"/>
      <c r="IS126" s="39"/>
      <c r="IT126" s="39"/>
      <c r="IU126" s="39"/>
      <c r="IV126" s="39"/>
      <c r="IW126" s="39"/>
    </row>
    <row r="127" customFormat="false" ht="12.95" hidden="false" customHeight="true" outlineLevel="0" collapsed="false">
      <c r="A127" s="37" t="n">
        <f aca="false">+'CCs # Master'!A130</f>
        <v>11</v>
      </c>
      <c r="B127" s="39" t="str">
        <f aca="false">+'CCs # Master'!B130</f>
        <v>Marketing Services</v>
      </c>
      <c r="C127" s="39" t="str">
        <f aca="false">+'CCs # Master'!C130</f>
        <v>Feener, Lisa</v>
      </c>
      <c r="D127" s="96" t="n">
        <f aca="false">+'CCs # Master'!D130</f>
        <v>100144</v>
      </c>
      <c r="E127" s="39" t="n">
        <f aca="false">+'CCs # Master'!E130</f>
        <v>645</v>
      </c>
      <c r="F127" s="39" t="n">
        <f aca="false">+'CCs # Master'!F130</f>
        <v>127</v>
      </c>
      <c r="G127" s="39" t="n">
        <f aca="false">+'CCs # Master'!G130</f>
        <v>-1153</v>
      </c>
      <c r="H127" s="39" t="n">
        <f aca="false">+'CCs # Master'!H130</f>
        <v>440</v>
      </c>
      <c r="I127" s="39" t="n">
        <f aca="false">+'CCs # Master'!I130</f>
        <v>61</v>
      </c>
      <c r="J127" s="39" t="n">
        <f aca="false">+'CCs # Master'!J130</f>
        <v>46</v>
      </c>
      <c r="K127" s="71" t="n">
        <f aca="false">SUM(E127:J127)</f>
        <v>166</v>
      </c>
      <c r="L127" s="39"/>
      <c r="M127" s="39" t="str">
        <f aca="false">+'CCs # Master'!M130</f>
        <v>Direct Usage</v>
      </c>
      <c r="N127" s="39" t="n">
        <f aca="false">+'CCs # Master'!AW130</f>
        <v>166</v>
      </c>
      <c r="O127" s="39" t="n">
        <v>0</v>
      </c>
      <c r="P127" s="39" t="n">
        <f aca="false">+'CCs # Master'!N130</f>
        <v>0</v>
      </c>
      <c r="Q127" s="39" t="n">
        <f aca="false">+'CCs # Master'!O130</f>
        <v>0</v>
      </c>
      <c r="R127" s="39" t="n">
        <f aca="false">+'CCs # Master'!P130</f>
        <v>0</v>
      </c>
      <c r="S127" s="39" t="n">
        <f aca="false">+'CCs # Master'!Q130</f>
        <v>0</v>
      </c>
      <c r="T127" s="39" t="n">
        <f aca="false">+'CCs # Master'!R130</f>
        <v>0</v>
      </c>
      <c r="U127" s="39" t="n">
        <f aca="false">+'CCs # Master'!S130</f>
        <v>0</v>
      </c>
      <c r="V127" s="39" t="n">
        <f aca="false">+'CCs # Master'!T130</f>
        <v>0</v>
      </c>
      <c r="W127" s="39" t="n">
        <f aca="false">+'CCs # Master'!U130</f>
        <v>0</v>
      </c>
      <c r="X127" s="39" t="n">
        <f aca="false">+'CCs # Master'!V130</f>
        <v>0</v>
      </c>
      <c r="Y127" s="39" t="n">
        <f aca="false">+'CCs # Master'!W130</f>
        <v>0</v>
      </c>
      <c r="Z127" s="39" t="n">
        <f aca="false">+'CCs # Master'!X130</f>
        <v>0</v>
      </c>
      <c r="AA127" s="39" t="n">
        <f aca="false">+'CCs # Master'!Y130</f>
        <v>0</v>
      </c>
      <c r="AB127" s="39" t="n">
        <f aca="false">+'CCs # Master'!Z130</f>
        <v>0</v>
      </c>
      <c r="AC127" s="39" t="n">
        <f aca="false">+'CCs # Master'!AA130</f>
        <v>0</v>
      </c>
      <c r="AD127" s="39" t="n">
        <f aca="false">+'CCs # Master'!AB130</f>
        <v>0</v>
      </c>
      <c r="AE127" s="39" t="n">
        <f aca="false">+'CCs # Master'!AC130</f>
        <v>0</v>
      </c>
      <c r="AF127" s="39" t="n">
        <f aca="false">+'CCs # Master'!AD130</f>
        <v>0</v>
      </c>
      <c r="AG127" s="39" t="n">
        <f aca="false">+'CCs # Master'!AE130</f>
        <v>0</v>
      </c>
      <c r="AH127" s="39" t="n">
        <f aca="false">+'CCs # Master'!AF130</f>
        <v>0</v>
      </c>
      <c r="AI127" s="39" t="n">
        <f aca="false">+'CCs # Master'!AG130</f>
        <v>0</v>
      </c>
      <c r="AJ127" s="39" t="n">
        <f aca="false">+'CCs # Master'!AH130</f>
        <v>0</v>
      </c>
      <c r="AK127" s="39" t="n">
        <f aca="false">+'CCs # Master'!AI130</f>
        <v>0</v>
      </c>
      <c r="AL127" s="39" t="n">
        <f aca="false">+'CCs # Master'!AJ130</f>
        <v>0</v>
      </c>
      <c r="AM127" s="39" t="n">
        <f aca="false">+'CCs # Master'!AK130</f>
        <v>0</v>
      </c>
      <c r="AN127" s="39" t="n">
        <f aca="false">+'CCs # Master'!AL130</f>
        <v>0</v>
      </c>
      <c r="AO127" s="39" t="n">
        <f aca="false">+'CCs # Master'!AM130</f>
        <v>0</v>
      </c>
      <c r="AP127" s="39" t="n">
        <f aca="false">+'CCs # Master'!AN130</f>
        <v>0</v>
      </c>
      <c r="AQ127" s="39" t="n">
        <f aca="false">+'CCs # Master'!AO130</f>
        <v>0</v>
      </c>
      <c r="AR127" s="39" t="n">
        <f aca="false">+'CCs # Master'!AP130</f>
        <v>0</v>
      </c>
      <c r="AS127" s="39" t="n">
        <f aca="false">+'CCs # Master'!AQ130</f>
        <v>0</v>
      </c>
      <c r="AT127" s="39" t="n">
        <f aca="false">+'CCs # Master'!AR130</f>
        <v>0</v>
      </c>
      <c r="AU127" s="39" t="n">
        <f aca="false">+'CCs # Master'!AS130</f>
        <v>0</v>
      </c>
      <c r="AV127" s="39" t="n">
        <f aca="false">+'CCs # Master'!AT130</f>
        <v>0</v>
      </c>
      <c r="AW127" s="0"/>
      <c r="AX127" s="71" t="n">
        <f aca="false">SUM(N127:AW127)</f>
        <v>166</v>
      </c>
      <c r="AY127" s="71" t="n">
        <f aca="false">+K127-AX127</f>
        <v>0</v>
      </c>
      <c r="AZ127" s="39"/>
      <c r="BA127" s="39" t="n">
        <f aca="false">+P127+Q127+T127+U127+V127+W127+X127+Y127</f>
        <v>0</v>
      </c>
      <c r="BB127" s="39" t="n">
        <f aca="false">N127</f>
        <v>166</v>
      </c>
      <c r="BC127" s="39" t="n">
        <f aca="false">SUM(P127:AW127)</f>
        <v>0</v>
      </c>
      <c r="BD127" s="39"/>
      <c r="BE127" s="39" t="n">
        <f aca="false">SUM(BB127:BC127)</f>
        <v>166</v>
      </c>
      <c r="BF127" s="39"/>
      <c r="BG127" s="48" t="n">
        <f aca="false">SUM(N127:AW127)</f>
        <v>166</v>
      </c>
      <c r="BH127" s="39" t="n">
        <f aca="false">BE127-BG127</f>
        <v>0</v>
      </c>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c r="CH127" s="39"/>
      <c r="CI127" s="39"/>
      <c r="CJ127" s="39"/>
      <c r="CK127" s="39"/>
      <c r="CL127" s="39"/>
      <c r="CM127" s="39"/>
      <c r="CN127" s="39"/>
      <c r="CO127" s="39"/>
      <c r="CP127" s="39"/>
      <c r="CQ127" s="39"/>
      <c r="CR127" s="39"/>
      <c r="CS127" s="39"/>
      <c r="CT127" s="39"/>
      <c r="CU127" s="39"/>
      <c r="CV127" s="39"/>
      <c r="CW127" s="39"/>
      <c r="CX127" s="39"/>
      <c r="CY127" s="39"/>
      <c r="CZ127" s="39"/>
      <c r="DA127" s="39"/>
      <c r="DB127" s="39"/>
      <c r="DC127" s="39"/>
      <c r="DD127" s="39"/>
      <c r="DE127" s="39"/>
      <c r="DF127" s="39"/>
      <c r="DG127" s="39"/>
      <c r="DH127" s="39"/>
      <c r="DI127" s="39"/>
      <c r="DJ127" s="39"/>
      <c r="DK127" s="39"/>
      <c r="DL127" s="39"/>
      <c r="DM127" s="39"/>
      <c r="DN127" s="39"/>
      <c r="DO127" s="39"/>
      <c r="DP127" s="39"/>
      <c r="DQ127" s="39"/>
      <c r="DR127" s="39"/>
      <c r="DS127" s="39"/>
      <c r="DT127" s="39"/>
      <c r="DU127" s="39"/>
      <c r="DV127" s="39"/>
      <c r="DW127" s="39"/>
      <c r="DX127" s="39"/>
      <c r="DY127" s="39"/>
      <c r="DZ127" s="39"/>
      <c r="EA127" s="39"/>
      <c r="EB127" s="39"/>
      <c r="EC127" s="39"/>
      <c r="ED127" s="39"/>
      <c r="EE127" s="39"/>
      <c r="EF127" s="39"/>
      <c r="EG127" s="39"/>
      <c r="EH127" s="39"/>
      <c r="EI127" s="39"/>
      <c r="EJ127" s="39"/>
      <c r="EK127" s="39"/>
      <c r="EL127" s="39"/>
      <c r="EM127" s="39"/>
      <c r="EN127" s="39"/>
      <c r="EO127" s="39"/>
      <c r="EP127" s="39"/>
      <c r="EQ127" s="39"/>
      <c r="ER127" s="39"/>
      <c r="ES127" s="39"/>
      <c r="ET127" s="39"/>
      <c r="EU127" s="39"/>
      <c r="EV127" s="39"/>
      <c r="EW127" s="39"/>
      <c r="EX127" s="39"/>
      <c r="EY127" s="39"/>
      <c r="EZ127" s="39"/>
      <c r="FA127" s="39"/>
      <c r="FB127" s="39"/>
      <c r="FC127" s="39"/>
      <c r="FD127" s="39"/>
      <c r="FE127" s="39"/>
      <c r="FF127" s="39"/>
      <c r="FG127" s="39"/>
      <c r="FH127" s="39"/>
      <c r="FI127" s="39"/>
      <c r="FJ127" s="39"/>
      <c r="FK127" s="39"/>
      <c r="FL127" s="39"/>
      <c r="FM127" s="39"/>
      <c r="FN127" s="39"/>
      <c r="FO127" s="39"/>
      <c r="FP127" s="39"/>
      <c r="FQ127" s="39"/>
      <c r="FR127" s="39"/>
      <c r="FS127" s="39"/>
      <c r="FT127" s="39"/>
      <c r="FU127" s="39"/>
      <c r="FV127" s="39"/>
      <c r="FW127" s="39"/>
      <c r="FX127" s="39"/>
      <c r="FY127" s="39"/>
      <c r="FZ127" s="39"/>
      <c r="GA127" s="39"/>
      <c r="GB127" s="39"/>
      <c r="GC127" s="39"/>
      <c r="GD127" s="39"/>
      <c r="GE127" s="39"/>
      <c r="GF127" s="39"/>
      <c r="GG127" s="39"/>
      <c r="GH127" s="39"/>
      <c r="GI127" s="39"/>
      <c r="GJ127" s="39"/>
      <c r="GK127" s="39"/>
      <c r="GL127" s="39"/>
      <c r="GM127" s="39"/>
      <c r="GN127" s="39"/>
      <c r="GO127" s="39"/>
      <c r="GP127" s="39"/>
      <c r="GQ127" s="39"/>
      <c r="GR127" s="39"/>
      <c r="GS127" s="39"/>
      <c r="GT127" s="39"/>
      <c r="GU127" s="39"/>
      <c r="GV127" s="39"/>
      <c r="GW127" s="39"/>
      <c r="GX127" s="39"/>
      <c r="GY127" s="39"/>
      <c r="GZ127" s="39"/>
      <c r="HA127" s="39"/>
      <c r="HB127" s="39"/>
      <c r="HC127" s="39"/>
      <c r="HD127" s="39"/>
      <c r="HE127" s="39"/>
      <c r="HF127" s="39"/>
      <c r="HG127" s="39"/>
      <c r="HH127" s="39"/>
      <c r="HI127" s="39"/>
      <c r="HJ127" s="39"/>
      <c r="HK127" s="39"/>
      <c r="HL127" s="39"/>
      <c r="HM127" s="39"/>
      <c r="HN127" s="39"/>
      <c r="HO127" s="39"/>
      <c r="HP127" s="39"/>
      <c r="HQ127" s="39"/>
      <c r="HR127" s="39"/>
      <c r="HS127" s="39"/>
      <c r="HT127" s="39"/>
      <c r="HU127" s="39"/>
      <c r="HV127" s="39"/>
      <c r="HW127" s="39"/>
      <c r="HX127" s="39"/>
      <c r="HY127" s="39"/>
      <c r="HZ127" s="39"/>
      <c r="IA127" s="39"/>
      <c r="IB127" s="39"/>
      <c r="IC127" s="39"/>
      <c r="ID127" s="39"/>
      <c r="IE127" s="39"/>
      <c r="IF127" s="39"/>
      <c r="IG127" s="39"/>
      <c r="IH127" s="39"/>
      <c r="II127" s="39"/>
      <c r="IJ127" s="39"/>
      <c r="IK127" s="39"/>
      <c r="IL127" s="39"/>
      <c r="IM127" s="39"/>
      <c r="IN127" s="39"/>
      <c r="IO127" s="39"/>
      <c r="IP127" s="39"/>
      <c r="IQ127" s="39"/>
      <c r="IR127" s="39"/>
      <c r="IS127" s="39"/>
      <c r="IT127" s="39"/>
      <c r="IU127" s="39"/>
      <c r="IV127" s="39"/>
      <c r="IW127" s="39"/>
    </row>
    <row r="128" customFormat="false" ht="12.95" hidden="false" customHeight="true" outlineLevel="0" collapsed="false">
      <c r="A128" s="37" t="n">
        <f aca="false">+'CCs # Master'!A102</f>
        <v>11</v>
      </c>
      <c r="B128" s="39" t="str">
        <f aca="false">+'CCs # Master'!B102</f>
        <v>Intl PR, Marketing, &amp; Communications</v>
      </c>
      <c r="C128" s="39" t="str">
        <f aca="false">+'CCs # Master'!C102</f>
        <v>Kimberly, Kelly</v>
      </c>
      <c r="D128" s="96" t="n">
        <f aca="false">+'CCs # Master'!D102</f>
        <v>100145</v>
      </c>
      <c r="E128" s="39" t="n">
        <f aca="false">+'CCs # Master'!E102</f>
        <v>925</v>
      </c>
      <c r="F128" s="39" t="n">
        <f aca="false">+'CCs # Master'!F102</f>
        <v>509</v>
      </c>
      <c r="G128" s="39" t="n">
        <f aca="false">+'CCs # Master'!G102</f>
        <v>29</v>
      </c>
      <c r="H128" s="39" t="n">
        <f aca="false">+'CCs # Master'!H102</f>
        <v>1124</v>
      </c>
      <c r="I128" s="39" t="n">
        <f aca="false">+'CCs # Master'!I102</f>
        <v>77</v>
      </c>
      <c r="J128" s="39" t="n">
        <f aca="false">+'CCs # Master'!J102</f>
        <v>139</v>
      </c>
      <c r="K128" s="71" t="n">
        <f aca="false">SUM(E128:J128)</f>
        <v>2803</v>
      </c>
      <c r="L128" s="39"/>
      <c r="M128" s="39" t="str">
        <f aca="false">+'CCs # Master'!M102</f>
        <v>Direct Usage</v>
      </c>
      <c r="N128" s="39" t="n">
        <f aca="false">+'CCs # Master'!AW102</f>
        <v>414</v>
      </c>
      <c r="O128" s="39" t="n">
        <v>0</v>
      </c>
      <c r="P128" s="39" t="n">
        <f aca="false">+'CCs # Master'!N102</f>
        <v>0</v>
      </c>
      <c r="Q128" s="39" t="n">
        <f aca="false">+'CCs # Master'!O102</f>
        <v>0</v>
      </c>
      <c r="R128" s="39" t="n">
        <f aca="false">+'CCs # Master'!P102</f>
        <v>0</v>
      </c>
      <c r="S128" s="39" t="n">
        <f aca="false">+'CCs # Master'!Q102</f>
        <v>0</v>
      </c>
      <c r="T128" s="39" t="n">
        <f aca="false">+'CCs # Master'!R102</f>
        <v>0</v>
      </c>
      <c r="U128" s="39" t="n">
        <f aca="false">+'CCs # Master'!S102</f>
        <v>0</v>
      </c>
      <c r="V128" s="39" t="n">
        <f aca="false">+'CCs # Master'!T102</f>
        <v>0</v>
      </c>
      <c r="W128" s="39" t="n">
        <f aca="false">+'CCs # Master'!U102</f>
        <v>0</v>
      </c>
      <c r="X128" s="39" t="n">
        <f aca="false">+'CCs # Master'!V102</f>
        <v>0</v>
      </c>
      <c r="Y128" s="39" t="n">
        <f aca="false">+'CCs # Master'!W102</f>
        <v>0</v>
      </c>
      <c r="Z128" s="39" t="n">
        <f aca="false">+'CCs # Master'!X102</f>
        <v>0</v>
      </c>
      <c r="AA128" s="39" t="n">
        <f aca="false">+'CCs # Master'!Y102</f>
        <v>0</v>
      </c>
      <c r="AB128" s="39" t="n">
        <f aca="false">+'CCs # Master'!Z102</f>
        <v>0</v>
      </c>
      <c r="AC128" s="39" t="n">
        <f aca="false">+'CCs # Master'!AA102</f>
        <v>0</v>
      </c>
      <c r="AD128" s="39" t="n">
        <f aca="false">+'CCs # Master'!AB102</f>
        <v>0</v>
      </c>
      <c r="AE128" s="39" t="n">
        <f aca="false">+'CCs # Master'!AC102</f>
        <v>0</v>
      </c>
      <c r="AF128" s="39" t="n">
        <f aca="false">+'CCs # Master'!AD102</f>
        <v>0</v>
      </c>
      <c r="AG128" s="39" t="n">
        <f aca="false">+'CCs # Master'!AE102</f>
        <v>0</v>
      </c>
      <c r="AH128" s="39" t="n">
        <f aca="false">+'CCs # Master'!AF102</f>
        <v>62</v>
      </c>
      <c r="AI128" s="39" t="n">
        <f aca="false">+'CCs # Master'!AG102</f>
        <v>0</v>
      </c>
      <c r="AJ128" s="39" t="n">
        <f aca="false">+'CCs # Master'!AH102</f>
        <v>372</v>
      </c>
      <c r="AK128" s="39" t="n">
        <f aca="false">+'CCs # Master'!AI102</f>
        <v>776</v>
      </c>
      <c r="AL128" s="39" t="n">
        <f aca="false">+'CCs # Master'!AJ102</f>
        <v>217</v>
      </c>
      <c r="AM128" s="39" t="n">
        <f aca="false">+'CCs # Master'!AK102</f>
        <v>124</v>
      </c>
      <c r="AN128" s="39" t="n">
        <f aca="false">+'CCs # Master'!AL102</f>
        <v>217</v>
      </c>
      <c r="AO128" s="39" t="n">
        <f aca="false">+'CCs # Master'!AM102</f>
        <v>0</v>
      </c>
      <c r="AP128" s="39" t="n">
        <f aca="false">+'CCs # Master'!AN102</f>
        <v>0</v>
      </c>
      <c r="AQ128" s="39" t="n">
        <f aca="false">+'CCs # Master'!AO102</f>
        <v>621</v>
      </c>
      <c r="AR128" s="39" t="n">
        <f aca="false">+'CCs # Master'!AP102</f>
        <v>0</v>
      </c>
      <c r="AS128" s="39" t="n">
        <f aca="false">+'CCs # Master'!AQ102</f>
        <v>0</v>
      </c>
      <c r="AT128" s="39" t="n">
        <f aca="false">+'CCs # Master'!AR102</f>
        <v>0</v>
      </c>
      <c r="AU128" s="39" t="n">
        <f aca="false">+'CCs # Master'!AS102</f>
        <v>0</v>
      </c>
      <c r="AV128" s="39" t="n">
        <f aca="false">+'CCs # Master'!AT102</f>
        <v>0</v>
      </c>
      <c r="AW128" s="0"/>
      <c r="AX128" s="71" t="n">
        <f aca="false">SUM(N128:AW128)</f>
        <v>2803</v>
      </c>
      <c r="AY128" s="71" t="n">
        <f aca="false">+K128-AX128</f>
        <v>0</v>
      </c>
      <c r="AZ128" s="39"/>
      <c r="BA128" s="39" t="n">
        <f aca="false">+P128+Q128+T128+U128+V128+W128+X128+Y128</f>
        <v>0</v>
      </c>
      <c r="BB128" s="39" t="n">
        <f aca="false">N128</f>
        <v>414</v>
      </c>
      <c r="BC128" s="39" t="n">
        <f aca="false">SUM(P128:AW128)</f>
        <v>2389</v>
      </c>
      <c r="BD128" s="39"/>
      <c r="BE128" s="39" t="n">
        <f aca="false">SUM(BB128:BC128)</f>
        <v>2803</v>
      </c>
      <c r="BF128" s="39"/>
      <c r="BG128" s="48" t="n">
        <f aca="false">SUM(N128:AW128)</f>
        <v>2803</v>
      </c>
      <c r="BH128" s="39" t="n">
        <f aca="false">BE128-BG128</f>
        <v>0</v>
      </c>
      <c r="BI128" s="39"/>
      <c r="BJ128" s="39"/>
      <c r="BK128" s="39"/>
      <c r="BL128" s="39"/>
      <c r="BM128" s="39"/>
      <c r="BN128" s="39"/>
      <c r="BO128" s="39"/>
      <c r="BP128" s="39"/>
      <c r="BQ128" s="39"/>
      <c r="BR128" s="39"/>
      <c r="BS128" s="39"/>
      <c r="BT128" s="39"/>
      <c r="BU128" s="39"/>
      <c r="BV128" s="39"/>
      <c r="BW128" s="39"/>
      <c r="BX128" s="39"/>
      <c r="BY128" s="39"/>
      <c r="BZ128" s="39"/>
      <c r="CA128" s="39"/>
      <c r="CB128" s="39"/>
      <c r="CC128" s="39"/>
      <c r="CD128" s="39"/>
      <c r="CE128" s="39"/>
      <c r="CF128" s="39"/>
      <c r="CG128" s="39"/>
      <c r="CH128" s="39"/>
      <c r="CI128" s="39"/>
      <c r="CJ128" s="39"/>
      <c r="CK128" s="39"/>
      <c r="CL128" s="39"/>
      <c r="CM128" s="39"/>
      <c r="CN128" s="39"/>
      <c r="CO128" s="39"/>
      <c r="CP128" s="39"/>
      <c r="CQ128" s="39"/>
      <c r="CR128" s="39"/>
      <c r="CS128" s="39"/>
      <c r="CT128" s="39"/>
      <c r="CU128" s="39"/>
      <c r="CV128" s="39"/>
      <c r="CW128" s="39"/>
      <c r="CX128" s="39"/>
      <c r="CY128" s="39"/>
      <c r="CZ128" s="39"/>
      <c r="DA128" s="39"/>
      <c r="DB128" s="39"/>
      <c r="DC128" s="39"/>
      <c r="DD128" s="39"/>
      <c r="DE128" s="39"/>
      <c r="DF128" s="39"/>
      <c r="DG128" s="39"/>
      <c r="DH128" s="39"/>
      <c r="DI128" s="39"/>
      <c r="DJ128" s="39"/>
      <c r="DK128" s="39"/>
      <c r="DL128" s="39"/>
      <c r="DM128" s="39"/>
      <c r="DN128" s="39"/>
      <c r="DO128" s="39"/>
      <c r="DP128" s="39"/>
      <c r="DQ128" s="39"/>
      <c r="DR128" s="39"/>
      <c r="DS128" s="39"/>
      <c r="DT128" s="39"/>
      <c r="DU128" s="39"/>
      <c r="DV128" s="39"/>
      <c r="DW128" s="39"/>
      <c r="DX128" s="39"/>
      <c r="DY128" s="39"/>
      <c r="DZ128" s="39"/>
      <c r="EA128" s="39"/>
      <c r="EB128" s="39"/>
      <c r="EC128" s="39"/>
      <c r="ED128" s="39"/>
      <c r="EE128" s="39"/>
      <c r="EF128" s="39"/>
      <c r="EG128" s="39"/>
      <c r="EH128" s="39"/>
      <c r="EI128" s="39"/>
      <c r="EJ128" s="39"/>
      <c r="EK128" s="39"/>
      <c r="EL128" s="39"/>
      <c r="EM128" s="39"/>
      <c r="EN128" s="39"/>
      <c r="EO128" s="39"/>
      <c r="EP128" s="39"/>
      <c r="EQ128" s="39"/>
      <c r="ER128" s="39"/>
      <c r="ES128" s="39"/>
      <c r="ET128" s="39"/>
      <c r="EU128" s="39"/>
      <c r="EV128" s="39"/>
      <c r="EW128" s="39"/>
      <c r="EX128" s="39"/>
      <c r="EY128" s="39"/>
      <c r="EZ128" s="39"/>
      <c r="FA128" s="39"/>
      <c r="FB128" s="39"/>
      <c r="FC128" s="39"/>
      <c r="FD128" s="39"/>
      <c r="FE128" s="39"/>
      <c r="FF128" s="39"/>
      <c r="FG128" s="39"/>
      <c r="FH128" s="39"/>
      <c r="FI128" s="39"/>
      <c r="FJ128" s="39"/>
      <c r="FK128" s="39"/>
      <c r="FL128" s="39"/>
      <c r="FM128" s="39"/>
      <c r="FN128" s="39"/>
      <c r="FO128" s="39"/>
      <c r="FP128" s="39"/>
      <c r="FQ128" s="39"/>
      <c r="FR128" s="39"/>
      <c r="FS128" s="39"/>
      <c r="FT128" s="39"/>
      <c r="FU128" s="39"/>
      <c r="FV128" s="39"/>
      <c r="FW128" s="39"/>
      <c r="FX128" s="39"/>
      <c r="FY128" s="39"/>
      <c r="FZ128" s="39"/>
      <c r="GA128" s="39"/>
      <c r="GB128" s="39"/>
      <c r="GC128" s="39"/>
      <c r="GD128" s="39"/>
      <c r="GE128" s="39"/>
      <c r="GF128" s="39"/>
      <c r="GG128" s="39"/>
      <c r="GH128" s="39"/>
      <c r="GI128" s="39"/>
      <c r="GJ128" s="39"/>
      <c r="GK128" s="39"/>
      <c r="GL128" s="39"/>
      <c r="GM128" s="39"/>
      <c r="GN128" s="39"/>
      <c r="GO128" s="39"/>
      <c r="GP128" s="39"/>
      <c r="GQ128" s="39"/>
      <c r="GR128" s="39"/>
      <c r="GS128" s="39"/>
      <c r="GT128" s="39"/>
      <c r="GU128" s="39"/>
      <c r="GV128" s="39"/>
      <c r="GW128" s="39"/>
      <c r="GX128" s="39"/>
      <c r="GY128" s="39"/>
      <c r="GZ128" s="39"/>
      <c r="HA128" s="39"/>
      <c r="HB128" s="39"/>
      <c r="HC128" s="39"/>
      <c r="HD128" s="39"/>
      <c r="HE128" s="39"/>
      <c r="HF128" s="39"/>
      <c r="HG128" s="39"/>
      <c r="HH128" s="39"/>
      <c r="HI128" s="39"/>
      <c r="HJ128" s="39"/>
      <c r="HK128" s="39"/>
      <c r="HL128" s="39"/>
      <c r="HM128" s="39"/>
      <c r="HN128" s="39"/>
      <c r="HO128" s="39"/>
      <c r="HP128" s="39"/>
      <c r="HQ128" s="39"/>
      <c r="HR128" s="39"/>
      <c r="HS128" s="39"/>
      <c r="HT128" s="39"/>
      <c r="HU128" s="39"/>
      <c r="HV128" s="39"/>
      <c r="HW128" s="39"/>
      <c r="HX128" s="39"/>
      <c r="HY128" s="39"/>
      <c r="HZ128" s="39"/>
      <c r="IA128" s="39"/>
      <c r="IB128" s="39"/>
      <c r="IC128" s="39"/>
      <c r="ID128" s="39"/>
      <c r="IE128" s="39"/>
      <c r="IF128" s="39"/>
      <c r="IG128" s="39"/>
      <c r="IH128" s="39"/>
      <c r="II128" s="39"/>
      <c r="IJ128" s="39"/>
      <c r="IK128" s="39"/>
      <c r="IL128" s="39"/>
      <c r="IM128" s="39"/>
      <c r="IN128" s="39"/>
      <c r="IO128" s="39"/>
      <c r="IP128" s="39"/>
      <c r="IQ128" s="39"/>
      <c r="IR128" s="39"/>
      <c r="IS128" s="39"/>
      <c r="IT128" s="39"/>
      <c r="IU128" s="39"/>
      <c r="IV128" s="39"/>
      <c r="IW128" s="39"/>
    </row>
    <row r="129" customFormat="false" ht="12.95" hidden="false" customHeight="true" outlineLevel="0" collapsed="false">
      <c r="A129" s="37" t="n">
        <f aca="false">+'CCs # Master'!A184</f>
        <v>11</v>
      </c>
      <c r="B129" s="99" t="str">
        <f aca="false">+'CCs # Master'!B184</f>
        <v>Experience Enron</v>
      </c>
      <c r="C129" s="99" t="str">
        <f aca="false">+'CCs # Master'!C184</f>
        <v>Palmer, Mark</v>
      </c>
      <c r="D129" s="37" t="n">
        <f aca="false">+'CCs # Master'!D184</f>
        <v>103243</v>
      </c>
      <c r="E129" s="39" t="n">
        <f aca="false">+'CCs # Master'!E184</f>
        <v>0</v>
      </c>
      <c r="F129" s="39" t="n">
        <f aca="false">+'CCs # Master'!F184</f>
        <v>15</v>
      </c>
      <c r="G129" s="39" t="n">
        <f aca="false">+'CCs # Master'!G184</f>
        <v>36</v>
      </c>
      <c r="H129" s="39" t="n">
        <f aca="false">+'CCs # Master'!H184</f>
        <v>110</v>
      </c>
      <c r="I129" s="39" t="n">
        <f aca="false">+'CCs # Master'!I184</f>
        <v>0</v>
      </c>
      <c r="J129" s="39" t="n">
        <f aca="false">+'CCs # Master'!J184</f>
        <v>4</v>
      </c>
      <c r="K129" s="71" t="n">
        <f aca="false">SUM(E129:J129)</f>
        <v>165</v>
      </c>
      <c r="L129" s="39"/>
      <c r="M129" s="39" t="str">
        <f aca="false">+'CCs # Master'!M184</f>
        <v>Retained at Corp</v>
      </c>
      <c r="N129" s="39" t="n">
        <f aca="false">+'CCs # Master'!AW184</f>
        <v>165</v>
      </c>
      <c r="O129" s="39" t="n">
        <v>0</v>
      </c>
      <c r="P129" s="39" t="n">
        <f aca="false">+'CCs # Master'!N184</f>
        <v>0</v>
      </c>
      <c r="Q129" s="39" t="n">
        <f aca="false">+'CCs # Master'!O184</f>
        <v>0</v>
      </c>
      <c r="R129" s="39" t="n">
        <f aca="false">+'CCs # Master'!P184</f>
        <v>0</v>
      </c>
      <c r="S129" s="39" t="n">
        <f aca="false">+'CCs # Master'!Q184</f>
        <v>0</v>
      </c>
      <c r="T129" s="39" t="n">
        <f aca="false">+'CCs # Master'!R184</f>
        <v>0</v>
      </c>
      <c r="U129" s="39" t="n">
        <f aca="false">+'CCs # Master'!S184</f>
        <v>0</v>
      </c>
      <c r="V129" s="39" t="n">
        <f aca="false">+'CCs # Master'!T184</f>
        <v>0</v>
      </c>
      <c r="W129" s="39" t="n">
        <f aca="false">+'CCs # Master'!U184</f>
        <v>0</v>
      </c>
      <c r="X129" s="39" t="n">
        <f aca="false">+'CCs # Master'!V184</f>
        <v>0</v>
      </c>
      <c r="Y129" s="39" t="n">
        <f aca="false">+'CCs # Master'!W184</f>
        <v>0</v>
      </c>
      <c r="Z129" s="39" t="n">
        <f aca="false">+'CCs # Master'!X184</f>
        <v>0</v>
      </c>
      <c r="AA129" s="39" t="n">
        <f aca="false">+'CCs # Master'!Y184</f>
        <v>0</v>
      </c>
      <c r="AB129" s="39" t="n">
        <f aca="false">+'CCs # Master'!Z184</f>
        <v>0</v>
      </c>
      <c r="AC129" s="39" t="n">
        <f aca="false">+'CCs # Master'!AA184</f>
        <v>0</v>
      </c>
      <c r="AD129" s="39" t="n">
        <f aca="false">+'CCs # Master'!AB184</f>
        <v>0</v>
      </c>
      <c r="AE129" s="39" t="n">
        <f aca="false">+'CCs # Master'!AC184</f>
        <v>0</v>
      </c>
      <c r="AF129" s="39" t="n">
        <f aca="false">+'CCs # Master'!AD184</f>
        <v>0</v>
      </c>
      <c r="AG129" s="39" t="n">
        <f aca="false">+'CCs # Master'!AE184</f>
        <v>0</v>
      </c>
      <c r="AH129" s="39" t="n">
        <f aca="false">+'CCs # Master'!AF184</f>
        <v>0</v>
      </c>
      <c r="AI129" s="39" t="n">
        <f aca="false">+'CCs # Master'!AG184</f>
        <v>0</v>
      </c>
      <c r="AJ129" s="39" t="n">
        <f aca="false">+'CCs # Master'!AH184</f>
        <v>0</v>
      </c>
      <c r="AK129" s="39" t="n">
        <f aca="false">+'CCs # Master'!AI184</f>
        <v>0</v>
      </c>
      <c r="AL129" s="39" t="n">
        <f aca="false">+'CCs # Master'!AJ184</f>
        <v>0</v>
      </c>
      <c r="AM129" s="39" t="n">
        <f aca="false">+'CCs # Master'!AK184</f>
        <v>0</v>
      </c>
      <c r="AN129" s="39" t="n">
        <f aca="false">+'CCs # Master'!AL184</f>
        <v>0</v>
      </c>
      <c r="AO129" s="39" t="n">
        <f aca="false">+'CCs # Master'!AM184</f>
        <v>0</v>
      </c>
      <c r="AP129" s="39" t="n">
        <f aca="false">+'CCs # Master'!AN184</f>
        <v>0</v>
      </c>
      <c r="AQ129" s="39" t="n">
        <f aca="false">+'CCs # Master'!AO184</f>
        <v>0</v>
      </c>
      <c r="AR129" s="39" t="n">
        <f aca="false">+'CCs # Master'!AP184</f>
        <v>0</v>
      </c>
      <c r="AS129" s="39" t="n">
        <f aca="false">+'CCs # Master'!AQ184</f>
        <v>0</v>
      </c>
      <c r="AT129" s="39" t="n">
        <f aca="false">+'CCs # Master'!AR184</f>
        <v>0</v>
      </c>
      <c r="AU129" s="39" t="n">
        <f aca="false">+'CCs # Master'!AS184</f>
        <v>0</v>
      </c>
      <c r="AV129" s="39" t="n">
        <f aca="false">+'CCs # Master'!AT184</f>
        <v>0</v>
      </c>
      <c r="AW129" s="0"/>
      <c r="AX129" s="71" t="n">
        <f aca="false">SUM(N129:AW129)</f>
        <v>165</v>
      </c>
      <c r="AY129" s="71" t="n">
        <f aca="false">+K129-AX129</f>
        <v>0</v>
      </c>
      <c r="AZ129" s="39"/>
      <c r="BA129" s="39" t="n">
        <f aca="false">+P129+Q129+T129+U129+V129+W129+X129+Y129</f>
        <v>0</v>
      </c>
      <c r="BB129" s="39" t="n">
        <f aca="false">N129</f>
        <v>165</v>
      </c>
      <c r="BC129" s="39" t="n">
        <f aca="false">SUM(P129:AW129)</f>
        <v>0</v>
      </c>
      <c r="BD129" s="39"/>
      <c r="BE129" s="39" t="n">
        <f aca="false">SUM(BB129:BC129)</f>
        <v>165</v>
      </c>
      <c r="BF129" s="39"/>
      <c r="BG129" s="48" t="n">
        <f aca="false">SUM(N129:AW129)</f>
        <v>165</v>
      </c>
      <c r="BH129" s="39" t="n">
        <f aca="false">BE129-BG129</f>
        <v>0</v>
      </c>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39"/>
      <c r="DD129" s="39"/>
      <c r="DE129" s="39"/>
      <c r="DF129" s="39"/>
      <c r="DG129" s="39"/>
      <c r="DH129" s="39"/>
      <c r="DI129" s="39"/>
      <c r="DJ129" s="39"/>
      <c r="DK129" s="39"/>
      <c r="DL129" s="39"/>
      <c r="DM129" s="39"/>
      <c r="DN129" s="39"/>
      <c r="DO129" s="39"/>
      <c r="DP129" s="39"/>
      <c r="DQ129" s="39"/>
      <c r="DR129" s="39"/>
      <c r="DS129" s="39"/>
      <c r="DT129" s="39"/>
      <c r="DU129" s="39"/>
      <c r="DV129" s="39"/>
      <c r="DW129" s="39"/>
      <c r="DX129" s="39"/>
      <c r="DY129" s="39"/>
      <c r="DZ129" s="39"/>
      <c r="EA129" s="39"/>
      <c r="EB129" s="39"/>
      <c r="EC129" s="39"/>
      <c r="ED129" s="39"/>
      <c r="EE129" s="39"/>
      <c r="EF129" s="39"/>
      <c r="EG129" s="39"/>
      <c r="EH129" s="39"/>
      <c r="EI129" s="39"/>
      <c r="EJ129" s="39"/>
      <c r="EK129" s="39"/>
      <c r="EL129" s="39"/>
      <c r="EM129" s="39"/>
      <c r="EN129" s="39"/>
      <c r="EO129" s="39"/>
      <c r="EP129" s="39"/>
      <c r="EQ129" s="39"/>
      <c r="ER129" s="39"/>
      <c r="ES129" s="39"/>
      <c r="ET129" s="39"/>
      <c r="EU129" s="39"/>
      <c r="EV129" s="39"/>
      <c r="EW129" s="39"/>
      <c r="EX129" s="39"/>
      <c r="EY129" s="39"/>
      <c r="EZ129" s="39"/>
      <c r="FA129" s="39"/>
      <c r="FB129" s="39"/>
      <c r="FC129" s="39"/>
      <c r="FD129" s="39"/>
      <c r="FE129" s="39"/>
      <c r="FF129" s="39"/>
      <c r="FG129" s="39"/>
      <c r="FH129" s="39"/>
      <c r="FI129" s="39"/>
      <c r="FJ129" s="39"/>
      <c r="FK129" s="39"/>
      <c r="FL129" s="39"/>
      <c r="FM129" s="39"/>
      <c r="FN129" s="39"/>
      <c r="FO129" s="39"/>
      <c r="FP129" s="39"/>
      <c r="FQ129" s="39"/>
      <c r="FR129" s="39"/>
      <c r="FS129" s="39"/>
      <c r="FT129" s="39"/>
      <c r="FU129" s="39"/>
      <c r="FV129" s="39"/>
      <c r="FW129" s="39"/>
      <c r="FX129" s="39"/>
      <c r="FY129" s="39"/>
      <c r="FZ129" s="39"/>
      <c r="GA129" s="39"/>
      <c r="GB129" s="39"/>
      <c r="GC129" s="39"/>
      <c r="GD129" s="39"/>
      <c r="GE129" s="39"/>
      <c r="GF129" s="39"/>
      <c r="GG129" s="39"/>
      <c r="GH129" s="39"/>
      <c r="GI129" s="39"/>
      <c r="GJ129" s="39"/>
      <c r="GK129" s="39"/>
      <c r="GL129" s="39"/>
      <c r="GM129" s="39"/>
      <c r="GN129" s="39"/>
      <c r="GO129" s="39"/>
      <c r="GP129" s="39"/>
      <c r="GQ129" s="39"/>
      <c r="GR129" s="39"/>
      <c r="GS129" s="39"/>
      <c r="GT129" s="39"/>
      <c r="GU129" s="39"/>
      <c r="GV129" s="39"/>
      <c r="GW129" s="39"/>
      <c r="GX129" s="39"/>
      <c r="GY129" s="39"/>
      <c r="GZ129" s="39"/>
      <c r="HA129" s="39"/>
      <c r="HB129" s="39"/>
      <c r="HC129" s="39"/>
      <c r="HD129" s="39"/>
      <c r="HE129" s="39"/>
      <c r="HF129" s="39"/>
      <c r="HG129" s="39"/>
      <c r="HH129" s="39"/>
      <c r="HI129" s="39"/>
      <c r="HJ129" s="39"/>
      <c r="HK129" s="39"/>
      <c r="HL129" s="39"/>
      <c r="HM129" s="39"/>
      <c r="HN129" s="39"/>
      <c r="HO129" s="39"/>
      <c r="HP129" s="39"/>
      <c r="HQ129" s="39"/>
      <c r="HR129" s="39"/>
      <c r="HS129" s="39"/>
      <c r="HT129" s="39"/>
      <c r="HU129" s="39"/>
      <c r="HV129" s="39"/>
      <c r="HW129" s="39"/>
      <c r="HX129" s="39"/>
      <c r="HY129" s="39"/>
      <c r="HZ129" s="39"/>
      <c r="IA129" s="39"/>
      <c r="IB129" s="39"/>
      <c r="IC129" s="39"/>
      <c r="ID129" s="39"/>
      <c r="IE129" s="39"/>
      <c r="IF129" s="39"/>
      <c r="IG129" s="39"/>
      <c r="IH129" s="39"/>
      <c r="II129" s="39"/>
      <c r="IJ129" s="39"/>
      <c r="IK129" s="39"/>
      <c r="IL129" s="39"/>
      <c r="IM129" s="39"/>
      <c r="IN129" s="39"/>
      <c r="IO129" s="39"/>
      <c r="IP129" s="39"/>
      <c r="IQ129" s="39"/>
      <c r="IR129" s="39"/>
      <c r="IS129" s="39"/>
      <c r="IT129" s="39"/>
      <c r="IU129" s="39"/>
      <c r="IV129" s="39"/>
      <c r="IW129" s="39"/>
    </row>
    <row r="130" customFormat="false" ht="12.95" hidden="false" customHeight="true" outlineLevel="0" collapsed="false">
      <c r="A130" s="37" t="n">
        <f aca="false">+'CCs # Master'!A185</f>
        <v>11</v>
      </c>
      <c r="B130" s="99" t="str">
        <f aca="false">+'CCs # Master'!B185</f>
        <v>Brand</v>
      </c>
      <c r="C130" s="99" t="str">
        <f aca="false">+'CCs # Master'!C185</f>
        <v>Palmer, Mark</v>
      </c>
      <c r="D130" s="37" t="n">
        <f aca="false">+'CCs # Master'!D185</f>
        <v>103244</v>
      </c>
      <c r="E130" s="39" t="n">
        <f aca="false">+'CCs # Master'!E185</f>
        <v>0</v>
      </c>
      <c r="F130" s="39" t="n">
        <f aca="false">+'CCs # Master'!F185</f>
        <v>0</v>
      </c>
      <c r="G130" s="39" t="n">
        <f aca="false">+'CCs # Master'!G185</f>
        <v>0</v>
      </c>
      <c r="H130" s="39" t="n">
        <f aca="false">+'CCs # Master'!H185</f>
        <v>0</v>
      </c>
      <c r="I130" s="39" t="n">
        <f aca="false">+'CCs # Master'!I185</f>
        <v>0</v>
      </c>
      <c r="J130" s="39" t="n">
        <f aca="false">+'CCs # Master'!J185</f>
        <v>0</v>
      </c>
      <c r="K130" s="71" t="n">
        <f aca="false">SUM(E130:J130)</f>
        <v>0</v>
      </c>
      <c r="L130" s="39"/>
      <c r="M130" s="39" t="str">
        <f aca="false">+'CCs # Master'!M185</f>
        <v>Retained at Corp</v>
      </c>
      <c r="N130" s="39" t="n">
        <f aca="false">+'CCs # Master'!AW185</f>
        <v>0</v>
      </c>
      <c r="O130" s="39" t="n">
        <v>0</v>
      </c>
      <c r="P130" s="39" t="n">
        <f aca="false">+'CCs # Master'!N185</f>
        <v>0</v>
      </c>
      <c r="Q130" s="39" t="n">
        <f aca="false">+'CCs # Master'!O185</f>
        <v>0</v>
      </c>
      <c r="R130" s="39" t="n">
        <f aca="false">+'CCs # Master'!P185</f>
        <v>0</v>
      </c>
      <c r="S130" s="39" t="n">
        <f aca="false">+'CCs # Master'!Q185</f>
        <v>0</v>
      </c>
      <c r="T130" s="39" t="n">
        <f aca="false">+'CCs # Master'!R185</f>
        <v>0</v>
      </c>
      <c r="U130" s="39" t="n">
        <f aca="false">+'CCs # Master'!S185</f>
        <v>0</v>
      </c>
      <c r="V130" s="39" t="n">
        <f aca="false">+'CCs # Master'!T185</f>
        <v>0</v>
      </c>
      <c r="W130" s="39" t="n">
        <f aca="false">+'CCs # Master'!U185</f>
        <v>0</v>
      </c>
      <c r="X130" s="39" t="n">
        <f aca="false">+'CCs # Master'!V185</f>
        <v>0</v>
      </c>
      <c r="Y130" s="39" t="n">
        <f aca="false">+'CCs # Master'!W185</f>
        <v>0</v>
      </c>
      <c r="Z130" s="39" t="n">
        <f aca="false">+'CCs # Master'!X185</f>
        <v>0</v>
      </c>
      <c r="AA130" s="39" t="n">
        <f aca="false">+'CCs # Master'!Y185</f>
        <v>0</v>
      </c>
      <c r="AB130" s="39" t="n">
        <f aca="false">+'CCs # Master'!Z185</f>
        <v>0</v>
      </c>
      <c r="AC130" s="39" t="n">
        <f aca="false">+'CCs # Master'!AA185</f>
        <v>0</v>
      </c>
      <c r="AD130" s="39" t="n">
        <f aca="false">+'CCs # Master'!AB185</f>
        <v>0</v>
      </c>
      <c r="AE130" s="39" t="n">
        <f aca="false">+'CCs # Master'!AC185</f>
        <v>0</v>
      </c>
      <c r="AF130" s="39" t="n">
        <f aca="false">+'CCs # Master'!AD185</f>
        <v>0</v>
      </c>
      <c r="AG130" s="39" t="n">
        <f aca="false">+'CCs # Master'!AE185</f>
        <v>0</v>
      </c>
      <c r="AH130" s="39" t="n">
        <f aca="false">+'CCs # Master'!AF185</f>
        <v>0</v>
      </c>
      <c r="AI130" s="39" t="n">
        <f aca="false">+'CCs # Master'!AG185</f>
        <v>0</v>
      </c>
      <c r="AJ130" s="39" t="n">
        <f aca="false">+'CCs # Master'!AH185</f>
        <v>0</v>
      </c>
      <c r="AK130" s="39" t="n">
        <f aca="false">+'CCs # Master'!AI185</f>
        <v>0</v>
      </c>
      <c r="AL130" s="39" t="n">
        <f aca="false">+'CCs # Master'!AJ185</f>
        <v>0</v>
      </c>
      <c r="AM130" s="39" t="n">
        <f aca="false">+'CCs # Master'!AK185</f>
        <v>0</v>
      </c>
      <c r="AN130" s="39" t="n">
        <f aca="false">+'CCs # Master'!AL185</f>
        <v>0</v>
      </c>
      <c r="AO130" s="39" t="n">
        <f aca="false">+'CCs # Master'!AM185</f>
        <v>0</v>
      </c>
      <c r="AP130" s="39" t="n">
        <f aca="false">+'CCs # Master'!AN185</f>
        <v>0</v>
      </c>
      <c r="AQ130" s="39" t="n">
        <f aca="false">+'CCs # Master'!AO185</f>
        <v>0</v>
      </c>
      <c r="AR130" s="39" t="n">
        <f aca="false">+'CCs # Master'!AP185</f>
        <v>0</v>
      </c>
      <c r="AS130" s="39" t="n">
        <f aca="false">+'CCs # Master'!AQ185</f>
        <v>0</v>
      </c>
      <c r="AT130" s="39" t="n">
        <f aca="false">+'CCs # Master'!AR185</f>
        <v>0</v>
      </c>
      <c r="AU130" s="39" t="n">
        <f aca="false">+'CCs # Master'!AS185</f>
        <v>0</v>
      </c>
      <c r="AV130" s="39" t="n">
        <f aca="false">+'CCs # Master'!AT185</f>
        <v>0</v>
      </c>
      <c r="AW130" s="0"/>
      <c r="AX130" s="71" t="n">
        <f aca="false">SUM(N130:AW130)</f>
        <v>0</v>
      </c>
      <c r="AY130" s="71" t="n">
        <f aca="false">+K130-AX130</f>
        <v>0</v>
      </c>
      <c r="AZ130" s="39"/>
      <c r="BA130" s="39" t="n">
        <f aca="false">+P130+Q130+T130+U130+V130+W130+X130+Y130</f>
        <v>0</v>
      </c>
      <c r="BB130" s="39" t="n">
        <f aca="false">N130</f>
        <v>0</v>
      </c>
      <c r="BC130" s="39" t="n">
        <f aca="false">SUM(P130:AW130)</f>
        <v>0</v>
      </c>
      <c r="BD130" s="39"/>
      <c r="BE130" s="39" t="n">
        <f aca="false">SUM(BB130:BC130)</f>
        <v>0</v>
      </c>
      <c r="BF130" s="39"/>
      <c r="BG130" s="48" t="n">
        <f aca="false">SUM(N130:AW130)</f>
        <v>0</v>
      </c>
      <c r="BH130" s="39" t="n">
        <f aca="false">BE130-BG130</f>
        <v>0</v>
      </c>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c r="GI130" s="39"/>
      <c r="GJ130" s="39"/>
      <c r="GK130" s="39"/>
      <c r="GL130" s="39"/>
      <c r="GM130" s="39"/>
      <c r="GN130" s="39"/>
      <c r="GO130" s="39"/>
      <c r="GP130" s="39"/>
      <c r="GQ130" s="39"/>
      <c r="GR130" s="39"/>
      <c r="GS130" s="39"/>
      <c r="GT130" s="39"/>
      <c r="GU130" s="39"/>
      <c r="GV130" s="39"/>
      <c r="GW130" s="39"/>
      <c r="GX130" s="39"/>
      <c r="GY130" s="39"/>
      <c r="GZ130" s="39"/>
      <c r="HA130" s="39"/>
      <c r="HB130" s="39"/>
      <c r="HC130" s="39"/>
      <c r="HD130" s="39"/>
      <c r="HE130" s="39"/>
      <c r="HF130" s="39"/>
      <c r="HG130" s="39"/>
      <c r="HH130" s="39"/>
      <c r="HI130" s="39"/>
      <c r="HJ130" s="39"/>
      <c r="HK130" s="39"/>
      <c r="HL130" s="39"/>
      <c r="HM130" s="39"/>
      <c r="HN130" s="39"/>
      <c r="HO130" s="39"/>
      <c r="HP130" s="39"/>
      <c r="HQ130" s="39"/>
      <c r="HR130" s="39"/>
      <c r="HS130" s="39"/>
      <c r="HT130" s="39"/>
      <c r="HU130" s="39"/>
      <c r="HV130" s="39"/>
      <c r="HW130" s="39"/>
      <c r="HX130" s="39"/>
      <c r="HY130" s="39"/>
      <c r="HZ130" s="39"/>
      <c r="IA130" s="39"/>
      <c r="IB130" s="39"/>
      <c r="IC130" s="39"/>
      <c r="ID130" s="39"/>
      <c r="IE130" s="39"/>
      <c r="IF130" s="39"/>
      <c r="IG130" s="39"/>
      <c r="IH130" s="39"/>
      <c r="II130" s="39"/>
      <c r="IJ130" s="39"/>
      <c r="IK130" s="39"/>
      <c r="IL130" s="39"/>
      <c r="IM130" s="39"/>
      <c r="IN130" s="39"/>
      <c r="IO130" s="39"/>
      <c r="IP130" s="39"/>
      <c r="IQ130" s="39"/>
      <c r="IR130" s="39"/>
      <c r="IS130" s="39"/>
      <c r="IT130" s="39"/>
      <c r="IU130" s="39"/>
      <c r="IV130" s="39"/>
      <c r="IW130" s="39"/>
    </row>
    <row r="131" customFormat="false" ht="12.95" hidden="false" customHeight="true" outlineLevel="0" collapsed="false">
      <c r="A131" s="37" t="n">
        <f aca="false">+'CCs # Master'!A186</f>
        <v>11</v>
      </c>
      <c r="B131" s="99" t="str">
        <f aca="false">+'CCs # Master'!B186</f>
        <v>Oral History</v>
      </c>
      <c r="C131" s="99" t="str">
        <f aca="false">+'CCs # Master'!C186</f>
        <v>Palmer, Mark</v>
      </c>
      <c r="D131" s="37" t="n">
        <f aca="false">+'CCs # Master'!D186</f>
        <v>103245</v>
      </c>
      <c r="E131" s="39" t="n">
        <f aca="false">+'CCs # Master'!E186</f>
        <v>0</v>
      </c>
      <c r="F131" s="39" t="n">
        <f aca="false">+'CCs # Master'!F186</f>
        <v>30</v>
      </c>
      <c r="G131" s="39" t="n">
        <f aca="false">+'CCs # Master'!G186</f>
        <v>25</v>
      </c>
      <c r="H131" s="39" t="n">
        <f aca="false">+'CCs # Master'!H186</f>
        <v>160</v>
      </c>
      <c r="I131" s="39" t="n">
        <f aca="false">+'CCs # Master'!I186</f>
        <v>0</v>
      </c>
      <c r="J131" s="39" t="n">
        <f aca="false">+'CCs # Master'!J186</f>
        <v>0</v>
      </c>
      <c r="K131" s="71" t="n">
        <f aca="false">SUM(E131:J131)</f>
        <v>215</v>
      </c>
      <c r="L131" s="39"/>
      <c r="M131" s="39" t="str">
        <f aca="false">+'CCs # Master'!M186</f>
        <v>Retained at Corp</v>
      </c>
      <c r="N131" s="39" t="n">
        <f aca="false">+'CCs # Master'!AW186</f>
        <v>215</v>
      </c>
      <c r="O131" s="39" t="n">
        <v>0</v>
      </c>
      <c r="P131" s="39" t="n">
        <f aca="false">+'CCs # Master'!N186</f>
        <v>0</v>
      </c>
      <c r="Q131" s="39" t="n">
        <f aca="false">+'CCs # Master'!O186</f>
        <v>0</v>
      </c>
      <c r="R131" s="39" t="n">
        <f aca="false">+'CCs # Master'!P186</f>
        <v>0</v>
      </c>
      <c r="S131" s="39" t="n">
        <f aca="false">+'CCs # Master'!Q186</f>
        <v>0</v>
      </c>
      <c r="T131" s="39" t="n">
        <f aca="false">+'CCs # Master'!R186</f>
        <v>0</v>
      </c>
      <c r="U131" s="39" t="n">
        <f aca="false">+'CCs # Master'!S186</f>
        <v>0</v>
      </c>
      <c r="V131" s="39" t="n">
        <f aca="false">+'CCs # Master'!T186</f>
        <v>0</v>
      </c>
      <c r="W131" s="39" t="n">
        <f aca="false">+'CCs # Master'!U186</f>
        <v>0</v>
      </c>
      <c r="X131" s="39" t="n">
        <f aca="false">+'CCs # Master'!V186</f>
        <v>0</v>
      </c>
      <c r="Y131" s="39" t="n">
        <f aca="false">+'CCs # Master'!W186</f>
        <v>0</v>
      </c>
      <c r="Z131" s="39" t="n">
        <f aca="false">+'CCs # Master'!X186</f>
        <v>0</v>
      </c>
      <c r="AA131" s="39" t="n">
        <f aca="false">+'CCs # Master'!Y186</f>
        <v>0</v>
      </c>
      <c r="AB131" s="39" t="n">
        <f aca="false">+'CCs # Master'!Z186</f>
        <v>0</v>
      </c>
      <c r="AC131" s="39" t="n">
        <f aca="false">+'CCs # Master'!AA186</f>
        <v>0</v>
      </c>
      <c r="AD131" s="39" t="n">
        <f aca="false">+'CCs # Master'!AB186</f>
        <v>0</v>
      </c>
      <c r="AE131" s="39" t="n">
        <f aca="false">+'CCs # Master'!AC186</f>
        <v>0</v>
      </c>
      <c r="AF131" s="39" t="n">
        <f aca="false">+'CCs # Master'!AD186</f>
        <v>0</v>
      </c>
      <c r="AG131" s="39" t="n">
        <f aca="false">+'CCs # Master'!AE186</f>
        <v>0</v>
      </c>
      <c r="AH131" s="39" t="n">
        <f aca="false">+'CCs # Master'!AF186</f>
        <v>0</v>
      </c>
      <c r="AI131" s="39" t="n">
        <f aca="false">+'CCs # Master'!AG186</f>
        <v>0</v>
      </c>
      <c r="AJ131" s="39" t="n">
        <f aca="false">+'CCs # Master'!AH186</f>
        <v>0</v>
      </c>
      <c r="AK131" s="39" t="n">
        <f aca="false">+'CCs # Master'!AI186</f>
        <v>0</v>
      </c>
      <c r="AL131" s="39" t="n">
        <f aca="false">+'CCs # Master'!AJ186</f>
        <v>0</v>
      </c>
      <c r="AM131" s="39" t="n">
        <f aca="false">+'CCs # Master'!AK186</f>
        <v>0</v>
      </c>
      <c r="AN131" s="39" t="n">
        <f aca="false">+'CCs # Master'!AL186</f>
        <v>0</v>
      </c>
      <c r="AO131" s="39" t="n">
        <f aca="false">+'CCs # Master'!AM186</f>
        <v>0</v>
      </c>
      <c r="AP131" s="39" t="n">
        <f aca="false">+'CCs # Master'!AN186</f>
        <v>0</v>
      </c>
      <c r="AQ131" s="39" t="n">
        <f aca="false">+'CCs # Master'!AO186</f>
        <v>0</v>
      </c>
      <c r="AR131" s="39" t="n">
        <f aca="false">+'CCs # Master'!AP186</f>
        <v>0</v>
      </c>
      <c r="AS131" s="39" t="n">
        <f aca="false">+'CCs # Master'!AQ186</f>
        <v>0</v>
      </c>
      <c r="AT131" s="39" t="n">
        <f aca="false">+'CCs # Master'!AR186</f>
        <v>0</v>
      </c>
      <c r="AU131" s="39" t="n">
        <f aca="false">+'CCs # Master'!AS186</f>
        <v>0</v>
      </c>
      <c r="AV131" s="39" t="n">
        <f aca="false">+'CCs # Master'!AT186</f>
        <v>0</v>
      </c>
      <c r="AW131" s="0"/>
      <c r="AX131" s="71" t="n">
        <f aca="false">SUM(N131:AW131)</f>
        <v>215</v>
      </c>
      <c r="AY131" s="71" t="n">
        <f aca="false">+K131-AX131</f>
        <v>0</v>
      </c>
      <c r="AZ131" s="39"/>
      <c r="BA131" s="39" t="n">
        <f aca="false">+P131+Q131+T131+U131+V131+W131+X131+Y131</f>
        <v>0</v>
      </c>
      <c r="BB131" s="39" t="n">
        <f aca="false">N131</f>
        <v>215</v>
      </c>
      <c r="BC131" s="39" t="n">
        <f aca="false">SUM(P131:AW131)</f>
        <v>0</v>
      </c>
      <c r="BD131" s="39"/>
      <c r="BE131" s="39" t="n">
        <f aca="false">SUM(BB131:BC131)</f>
        <v>215</v>
      </c>
      <c r="BF131" s="39"/>
      <c r="BG131" s="48" t="n">
        <f aca="false">SUM(N131:AW131)</f>
        <v>215</v>
      </c>
      <c r="BH131" s="39" t="n">
        <f aca="false">BE131-BG131</f>
        <v>0</v>
      </c>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c r="DW131" s="39"/>
      <c r="DX131" s="39"/>
      <c r="DY131" s="39"/>
      <c r="DZ131" s="39"/>
      <c r="EA131" s="39"/>
      <c r="EB131" s="39"/>
      <c r="EC131" s="39"/>
      <c r="ED131" s="39"/>
      <c r="EE131" s="39"/>
      <c r="EF131" s="39"/>
      <c r="EG131" s="39"/>
      <c r="EH131" s="39"/>
      <c r="EI131" s="39"/>
      <c r="EJ131" s="39"/>
      <c r="EK131" s="39"/>
      <c r="EL131" s="39"/>
      <c r="EM131" s="39"/>
      <c r="EN131" s="39"/>
      <c r="EO131" s="39"/>
      <c r="EP131" s="39"/>
      <c r="EQ131" s="39"/>
      <c r="ER131" s="39"/>
      <c r="ES131" s="39"/>
      <c r="ET131" s="39"/>
      <c r="EU131" s="39"/>
      <c r="EV131" s="39"/>
      <c r="EW131" s="39"/>
      <c r="EX131" s="39"/>
      <c r="EY131" s="39"/>
      <c r="EZ131" s="39"/>
      <c r="FA131" s="39"/>
      <c r="FB131" s="39"/>
      <c r="FC131" s="39"/>
      <c r="FD131" s="39"/>
      <c r="FE131" s="39"/>
      <c r="FF131" s="39"/>
      <c r="FG131" s="39"/>
      <c r="FH131" s="39"/>
      <c r="FI131" s="39"/>
      <c r="FJ131" s="39"/>
      <c r="FK131" s="39"/>
      <c r="FL131" s="39"/>
      <c r="FM131" s="39"/>
      <c r="FN131" s="39"/>
      <c r="FO131" s="39"/>
      <c r="FP131" s="39"/>
      <c r="FQ131" s="39"/>
      <c r="FR131" s="39"/>
      <c r="FS131" s="39"/>
      <c r="FT131" s="39"/>
      <c r="FU131" s="39"/>
      <c r="FV131" s="39"/>
      <c r="FW131" s="39"/>
      <c r="FX131" s="39"/>
      <c r="FY131" s="39"/>
      <c r="FZ131" s="39"/>
      <c r="GA131" s="39"/>
      <c r="GB131" s="39"/>
      <c r="GC131" s="39"/>
      <c r="GD131" s="39"/>
      <c r="GE131" s="39"/>
      <c r="GF131" s="39"/>
      <c r="GG131" s="39"/>
      <c r="GH131" s="39"/>
      <c r="GI131" s="39"/>
      <c r="GJ131" s="39"/>
      <c r="GK131" s="39"/>
      <c r="GL131" s="39"/>
      <c r="GM131" s="39"/>
      <c r="GN131" s="39"/>
      <c r="GO131" s="39"/>
      <c r="GP131" s="39"/>
      <c r="GQ131" s="39"/>
      <c r="GR131" s="39"/>
      <c r="GS131" s="39"/>
      <c r="GT131" s="39"/>
      <c r="GU131" s="39"/>
      <c r="GV131" s="39"/>
      <c r="GW131" s="39"/>
      <c r="GX131" s="39"/>
      <c r="GY131" s="39"/>
      <c r="GZ131" s="39"/>
      <c r="HA131" s="39"/>
      <c r="HB131" s="39"/>
      <c r="HC131" s="39"/>
      <c r="HD131" s="39"/>
      <c r="HE131" s="39"/>
      <c r="HF131" s="39"/>
      <c r="HG131" s="39"/>
      <c r="HH131" s="39"/>
      <c r="HI131" s="39"/>
      <c r="HJ131" s="39"/>
      <c r="HK131" s="39"/>
      <c r="HL131" s="39"/>
      <c r="HM131" s="39"/>
      <c r="HN131" s="39"/>
      <c r="HO131" s="39"/>
      <c r="HP131" s="39"/>
      <c r="HQ131" s="39"/>
      <c r="HR131" s="39"/>
      <c r="HS131" s="39"/>
      <c r="HT131" s="39"/>
      <c r="HU131" s="39"/>
      <c r="HV131" s="39"/>
      <c r="HW131" s="39"/>
      <c r="HX131" s="39"/>
      <c r="HY131" s="39"/>
      <c r="HZ131" s="39"/>
      <c r="IA131" s="39"/>
      <c r="IB131" s="39"/>
      <c r="IC131" s="39"/>
      <c r="ID131" s="39"/>
      <c r="IE131" s="39"/>
      <c r="IF131" s="39"/>
      <c r="IG131" s="39"/>
      <c r="IH131" s="39"/>
      <c r="II131" s="39"/>
      <c r="IJ131" s="39"/>
      <c r="IK131" s="39"/>
      <c r="IL131" s="39"/>
      <c r="IM131" s="39"/>
      <c r="IN131" s="39"/>
      <c r="IO131" s="39"/>
      <c r="IP131" s="39"/>
      <c r="IQ131" s="39"/>
      <c r="IR131" s="39"/>
      <c r="IS131" s="39"/>
      <c r="IT131" s="39"/>
      <c r="IU131" s="39"/>
      <c r="IV131" s="39"/>
      <c r="IW131" s="39"/>
    </row>
    <row r="132" customFormat="false" ht="12.95" hidden="false" customHeight="true" outlineLevel="0" collapsed="false">
      <c r="A132" s="37" t="n">
        <f aca="false">+'CCs # Master'!A190</f>
        <v>11</v>
      </c>
      <c r="B132" s="99" t="str">
        <f aca="false">'CCs # Master'!B188</f>
        <v>University Relations</v>
      </c>
      <c r="C132" s="99" t="str">
        <f aca="false">'CCs # Master'!C188</f>
        <v>Palmer, Mark</v>
      </c>
      <c r="D132" s="37" t="n">
        <f aca="false">'CCs # Master'!D188</f>
        <v>103247</v>
      </c>
      <c r="E132" s="39" t="n">
        <f aca="false">+'CCs # Master'!E188</f>
        <v>367</v>
      </c>
      <c r="F132" s="39" t="n">
        <f aca="false">+'CCs # Master'!F188</f>
        <v>170</v>
      </c>
      <c r="G132" s="39" t="n">
        <f aca="false">+'CCs # Master'!G188</f>
        <v>5</v>
      </c>
      <c r="H132" s="39" t="n">
        <f aca="false">+'CCs # Master'!H188</f>
        <v>530</v>
      </c>
      <c r="I132" s="39" t="n">
        <f aca="false">+'CCs # Master'!I188</f>
        <v>42</v>
      </c>
      <c r="J132" s="39" t="n">
        <f aca="false">+'CCs # Master'!J188</f>
        <v>532</v>
      </c>
      <c r="K132" s="71" t="n">
        <f aca="false">SUM(E132:J132)</f>
        <v>1646</v>
      </c>
      <c r="L132" s="39"/>
      <c r="M132" s="39" t="str">
        <f aca="false">+'CCs # Master'!M188</f>
        <v>Retained at Corp</v>
      </c>
      <c r="N132" s="39" t="n">
        <f aca="false">+'CCs # Master'!AW188</f>
        <v>1646</v>
      </c>
      <c r="O132" s="39" t="n">
        <f aca="false">+'CCs # Master'!AX188</f>
        <v>0</v>
      </c>
      <c r="P132" s="39" t="n">
        <f aca="false">+'CCs # Master'!N188</f>
        <v>0</v>
      </c>
      <c r="Q132" s="39" t="n">
        <f aca="false">+'CCs # Master'!O188</f>
        <v>0</v>
      </c>
      <c r="R132" s="39" t="n">
        <f aca="false">+'CCs # Master'!P188</f>
        <v>0</v>
      </c>
      <c r="S132" s="39" t="n">
        <f aca="false">+'CCs # Master'!Q188</f>
        <v>0</v>
      </c>
      <c r="T132" s="39" t="n">
        <f aca="false">+'CCs # Master'!R188</f>
        <v>0</v>
      </c>
      <c r="U132" s="39" t="n">
        <f aca="false">+'CCs # Master'!S188</f>
        <v>0</v>
      </c>
      <c r="V132" s="39" t="n">
        <f aca="false">+'CCs # Master'!T188</f>
        <v>0</v>
      </c>
      <c r="W132" s="39" t="n">
        <f aca="false">+'CCs # Master'!U188</f>
        <v>0</v>
      </c>
      <c r="X132" s="39" t="n">
        <f aca="false">+'CCs # Master'!V188</f>
        <v>0</v>
      </c>
      <c r="Y132" s="39" t="n">
        <f aca="false">+'CCs # Master'!W188</f>
        <v>0</v>
      </c>
      <c r="Z132" s="39" t="n">
        <f aca="false">+'CCs # Master'!X188</f>
        <v>0</v>
      </c>
      <c r="AA132" s="39" t="n">
        <f aca="false">+'CCs # Master'!Y188</f>
        <v>0</v>
      </c>
      <c r="AB132" s="39" t="n">
        <f aca="false">+'CCs # Master'!Z188</f>
        <v>0</v>
      </c>
      <c r="AC132" s="39" t="n">
        <f aca="false">+'CCs # Master'!AA188</f>
        <v>0</v>
      </c>
      <c r="AD132" s="39" t="n">
        <f aca="false">+'CCs # Master'!AB188</f>
        <v>0</v>
      </c>
      <c r="AE132" s="39" t="n">
        <f aca="false">+'CCs # Master'!AC188</f>
        <v>0</v>
      </c>
      <c r="AF132" s="39" t="n">
        <f aca="false">+'CCs # Master'!AD188</f>
        <v>0</v>
      </c>
      <c r="AG132" s="39" t="n">
        <f aca="false">+'CCs # Master'!AE188</f>
        <v>0</v>
      </c>
      <c r="AH132" s="39" t="n">
        <f aca="false">+'CCs # Master'!AF188</f>
        <v>0</v>
      </c>
      <c r="AI132" s="39" t="n">
        <f aca="false">+'CCs # Master'!AG188</f>
        <v>0</v>
      </c>
      <c r="AJ132" s="39" t="n">
        <f aca="false">+'CCs # Master'!AH188</f>
        <v>0</v>
      </c>
      <c r="AK132" s="39" t="n">
        <f aca="false">+'CCs # Master'!AI188</f>
        <v>0</v>
      </c>
      <c r="AL132" s="39" t="n">
        <f aca="false">+'CCs # Master'!AJ188</f>
        <v>0</v>
      </c>
      <c r="AM132" s="39" t="n">
        <f aca="false">+'CCs # Master'!AK188</f>
        <v>0</v>
      </c>
      <c r="AN132" s="39" t="n">
        <f aca="false">+'CCs # Master'!AL188</f>
        <v>0</v>
      </c>
      <c r="AO132" s="39" t="n">
        <f aca="false">+'CCs # Master'!AM188</f>
        <v>0</v>
      </c>
      <c r="AP132" s="39" t="n">
        <f aca="false">+'CCs # Master'!AN188</f>
        <v>0</v>
      </c>
      <c r="AQ132" s="39" t="n">
        <f aca="false">+'CCs # Master'!AO188</f>
        <v>0</v>
      </c>
      <c r="AR132" s="39" t="n">
        <f aca="false">+'CCs # Master'!AP188</f>
        <v>0</v>
      </c>
      <c r="AS132" s="39" t="n">
        <f aca="false">+'CCs # Master'!AQ188</f>
        <v>0</v>
      </c>
      <c r="AT132" s="39" t="n">
        <f aca="false">+'CCs # Master'!AR188</f>
        <v>0</v>
      </c>
      <c r="AU132" s="39" t="n">
        <f aca="false">+'CCs # Master'!AS188</f>
        <v>0</v>
      </c>
      <c r="AV132" s="39" t="n">
        <f aca="false">+'CCs # Master'!AT188</f>
        <v>0</v>
      </c>
      <c r="AW132" s="0"/>
      <c r="AX132" s="71" t="n">
        <f aca="false">SUM(N132:AW132)</f>
        <v>1646</v>
      </c>
      <c r="AY132" s="71" t="n">
        <f aca="false">+K132-AX132</f>
        <v>0</v>
      </c>
      <c r="AZ132" s="39"/>
      <c r="BA132" s="39" t="n">
        <f aca="false">+P132+Q132+T132+U132+V132+W132+X132+Y132</f>
        <v>0</v>
      </c>
      <c r="BB132" s="39" t="n">
        <f aca="false">N132</f>
        <v>1646</v>
      </c>
      <c r="BC132" s="97" t="n">
        <f aca="false">SUM(P132:AW132)</f>
        <v>0</v>
      </c>
      <c r="BD132" s="39"/>
      <c r="BE132" s="97" t="n">
        <f aca="false">SUM(BB132:BC132)</f>
        <v>1646</v>
      </c>
      <c r="BF132" s="39"/>
      <c r="BG132" s="98" t="n">
        <f aca="false">SUM(N132:AW132)</f>
        <v>1646</v>
      </c>
      <c r="BH132" s="39" t="n">
        <f aca="false">BE132-BG132</f>
        <v>0</v>
      </c>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CZ132" s="39"/>
      <c r="DA132" s="39"/>
      <c r="DB132" s="39"/>
      <c r="DC132" s="39"/>
      <c r="DD132" s="39"/>
      <c r="DE132" s="39"/>
      <c r="DF132" s="39"/>
      <c r="DG132" s="39"/>
      <c r="DH132" s="39"/>
      <c r="DI132" s="39"/>
      <c r="DJ132" s="39"/>
      <c r="DK132" s="39"/>
      <c r="DL132" s="39"/>
      <c r="DM132" s="39"/>
      <c r="DN132" s="39"/>
      <c r="DO132" s="39"/>
      <c r="DP132" s="39"/>
      <c r="DQ132" s="39"/>
      <c r="DR132" s="39"/>
      <c r="DS132" s="39"/>
      <c r="DT132" s="39"/>
      <c r="DU132" s="39"/>
      <c r="DV132" s="39"/>
      <c r="DW132" s="39"/>
      <c r="DX132" s="39"/>
      <c r="DY132" s="39"/>
      <c r="DZ132" s="39"/>
      <c r="EA132" s="39"/>
      <c r="EB132" s="39"/>
      <c r="EC132" s="39"/>
      <c r="ED132" s="39"/>
      <c r="EE132" s="39"/>
      <c r="EF132" s="39"/>
      <c r="EG132" s="39"/>
      <c r="EH132" s="39"/>
      <c r="EI132" s="39"/>
      <c r="EJ132" s="39"/>
      <c r="EK132" s="39"/>
      <c r="EL132" s="39"/>
      <c r="EM132" s="39"/>
      <c r="EN132" s="39"/>
      <c r="EO132" s="39"/>
      <c r="EP132" s="39"/>
      <c r="EQ132" s="39"/>
      <c r="ER132" s="39"/>
      <c r="ES132" s="39"/>
      <c r="ET132" s="39"/>
      <c r="EU132" s="39"/>
      <c r="EV132" s="39"/>
      <c r="EW132" s="39"/>
      <c r="EX132" s="39"/>
      <c r="EY132" s="39"/>
      <c r="EZ132" s="39"/>
      <c r="FA132" s="39"/>
      <c r="FB132" s="39"/>
      <c r="FC132" s="39"/>
      <c r="FD132" s="39"/>
      <c r="FE132" s="39"/>
      <c r="FF132" s="39"/>
      <c r="FG132" s="39"/>
      <c r="FH132" s="39"/>
      <c r="FI132" s="39"/>
      <c r="FJ132" s="39"/>
      <c r="FK132" s="39"/>
      <c r="FL132" s="39"/>
      <c r="FM132" s="39"/>
      <c r="FN132" s="39"/>
      <c r="FO132" s="39"/>
      <c r="FP132" s="39"/>
      <c r="FQ132" s="39"/>
      <c r="FR132" s="39"/>
      <c r="FS132" s="39"/>
      <c r="FT132" s="39"/>
      <c r="FU132" s="39"/>
      <c r="FV132" s="39"/>
      <c r="FW132" s="39"/>
      <c r="FX132" s="39"/>
      <c r="FY132" s="39"/>
      <c r="FZ132" s="39"/>
      <c r="GA132" s="39"/>
      <c r="GB132" s="39"/>
      <c r="GC132" s="39"/>
      <c r="GD132" s="39"/>
      <c r="GE132" s="39"/>
      <c r="GF132" s="39"/>
      <c r="GG132" s="39"/>
      <c r="GH132" s="39"/>
      <c r="GI132" s="39"/>
      <c r="GJ132" s="39"/>
      <c r="GK132" s="39"/>
      <c r="GL132" s="39"/>
      <c r="GM132" s="39"/>
      <c r="GN132" s="39"/>
      <c r="GO132" s="39"/>
      <c r="GP132" s="39"/>
      <c r="GQ132" s="39"/>
      <c r="GR132" s="39"/>
      <c r="GS132" s="39"/>
      <c r="GT132" s="39"/>
      <c r="GU132" s="39"/>
      <c r="GV132" s="39"/>
      <c r="GW132" s="39"/>
      <c r="GX132" s="39"/>
      <c r="GY132" s="39"/>
      <c r="GZ132" s="39"/>
      <c r="HA132" s="39"/>
      <c r="HB132" s="39"/>
      <c r="HC132" s="39"/>
      <c r="HD132" s="39"/>
      <c r="HE132" s="39"/>
      <c r="HF132" s="39"/>
      <c r="HG132" s="39"/>
      <c r="HH132" s="39"/>
      <c r="HI132" s="39"/>
      <c r="HJ132" s="39"/>
      <c r="HK132" s="39"/>
      <c r="HL132" s="39"/>
      <c r="HM132" s="39"/>
      <c r="HN132" s="39"/>
      <c r="HO132" s="39"/>
      <c r="HP132" s="39"/>
      <c r="HQ132" s="39"/>
      <c r="HR132" s="39"/>
      <c r="HS132" s="39"/>
      <c r="HT132" s="39"/>
      <c r="HU132" s="39"/>
      <c r="HV132" s="39"/>
      <c r="HW132" s="39"/>
      <c r="HX132" s="39"/>
      <c r="HY132" s="39"/>
      <c r="HZ132" s="39"/>
      <c r="IA132" s="39"/>
      <c r="IB132" s="39"/>
      <c r="IC132" s="39"/>
      <c r="ID132" s="39"/>
      <c r="IE132" s="39"/>
      <c r="IF132" s="39"/>
      <c r="IG132" s="39"/>
      <c r="IH132" s="39"/>
      <c r="II132" s="39"/>
      <c r="IJ132" s="39"/>
      <c r="IK132" s="39"/>
      <c r="IL132" s="39"/>
      <c r="IM132" s="39"/>
      <c r="IN132" s="39"/>
      <c r="IO132" s="39"/>
      <c r="IP132" s="39"/>
      <c r="IQ132" s="39"/>
      <c r="IR132" s="39"/>
      <c r="IS132" s="39"/>
      <c r="IT132" s="39"/>
      <c r="IU132" s="39"/>
      <c r="IV132" s="39"/>
      <c r="IW132" s="39"/>
    </row>
    <row r="133" customFormat="false" ht="8.1" hidden="false" customHeight="true" outlineLevel="0" collapsed="false">
      <c r="A133" s="39"/>
      <c r="B133" s="39"/>
      <c r="C133" s="39"/>
      <c r="D133" s="39"/>
      <c r="E133" s="91"/>
      <c r="F133" s="91"/>
      <c r="G133" s="91"/>
      <c r="H133" s="91"/>
      <c r="I133" s="91"/>
      <c r="J133" s="91"/>
      <c r="K133" s="91"/>
      <c r="L133" s="39"/>
      <c r="M133" s="39"/>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0"/>
      <c r="AX133" s="91"/>
      <c r="AY133" s="91"/>
      <c r="AZ133" s="39"/>
      <c r="BA133" s="91"/>
      <c r="BB133" s="91"/>
      <c r="BC133" s="39"/>
      <c r="BD133" s="39"/>
      <c r="BE133" s="39"/>
      <c r="BF133" s="39"/>
      <c r="BG133" s="48"/>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c r="DW133" s="39"/>
      <c r="DX133" s="39"/>
      <c r="DY133" s="39"/>
      <c r="DZ133" s="39"/>
      <c r="EA133" s="39"/>
      <c r="EB133" s="39"/>
      <c r="EC133" s="39"/>
      <c r="ED133" s="39"/>
      <c r="EE133" s="39"/>
      <c r="EF133" s="39"/>
      <c r="EG133" s="39"/>
      <c r="EH133" s="39"/>
      <c r="EI133" s="39"/>
      <c r="EJ133" s="39"/>
      <c r="EK133" s="39"/>
      <c r="EL133" s="39"/>
      <c r="EM133" s="39"/>
      <c r="EN133" s="39"/>
      <c r="EO133" s="39"/>
      <c r="EP133" s="39"/>
      <c r="EQ133" s="39"/>
      <c r="ER133" s="39"/>
      <c r="ES133" s="39"/>
      <c r="ET133" s="39"/>
      <c r="EU133" s="39"/>
      <c r="EV133" s="39"/>
      <c r="EW133" s="39"/>
      <c r="EX133" s="39"/>
      <c r="EY133" s="39"/>
      <c r="EZ133" s="39"/>
      <c r="FA133" s="39"/>
      <c r="FB133" s="39"/>
      <c r="FC133" s="39"/>
      <c r="FD133" s="39"/>
      <c r="FE133" s="39"/>
      <c r="FF133" s="39"/>
      <c r="FG133" s="39"/>
      <c r="FH133" s="39"/>
      <c r="FI133" s="39"/>
      <c r="FJ133" s="39"/>
      <c r="FK133" s="39"/>
      <c r="FL133" s="39"/>
      <c r="FM133" s="39"/>
      <c r="FN133" s="39"/>
      <c r="FO133" s="39"/>
      <c r="FP133" s="39"/>
      <c r="FQ133" s="39"/>
      <c r="FR133" s="39"/>
      <c r="FS133" s="39"/>
      <c r="FT133" s="39"/>
      <c r="FU133" s="39"/>
      <c r="FV133" s="39"/>
      <c r="FW133" s="39"/>
      <c r="FX133" s="39"/>
      <c r="FY133" s="39"/>
      <c r="FZ133" s="39"/>
      <c r="GA133" s="39"/>
      <c r="GB133" s="39"/>
      <c r="GC133" s="39"/>
      <c r="GD133" s="39"/>
      <c r="GE133" s="39"/>
      <c r="GF133" s="39"/>
      <c r="GG133" s="39"/>
      <c r="GH133" s="39"/>
      <c r="GI133" s="39"/>
      <c r="GJ133" s="39"/>
      <c r="GK133" s="39"/>
      <c r="GL133" s="39"/>
      <c r="GM133" s="39"/>
      <c r="GN133" s="39"/>
      <c r="GO133" s="39"/>
      <c r="GP133" s="39"/>
      <c r="GQ133" s="39"/>
      <c r="GR133" s="39"/>
      <c r="GS133" s="39"/>
      <c r="GT133" s="39"/>
      <c r="GU133" s="39"/>
      <c r="GV133" s="39"/>
      <c r="GW133" s="39"/>
      <c r="GX133" s="39"/>
      <c r="GY133" s="39"/>
      <c r="GZ133" s="39"/>
      <c r="HA133" s="39"/>
      <c r="HB133" s="39"/>
      <c r="HC133" s="39"/>
      <c r="HD133" s="39"/>
      <c r="HE133" s="39"/>
      <c r="HF133" s="39"/>
      <c r="HG133" s="39"/>
      <c r="HH133" s="39"/>
      <c r="HI133" s="39"/>
      <c r="HJ133" s="39"/>
      <c r="HK133" s="39"/>
      <c r="HL133" s="39"/>
      <c r="HM133" s="39"/>
      <c r="HN133" s="39"/>
      <c r="HO133" s="39"/>
      <c r="HP133" s="39"/>
      <c r="HQ133" s="39"/>
      <c r="HR133" s="39"/>
      <c r="HS133" s="39"/>
      <c r="HT133" s="39"/>
      <c r="HU133" s="39"/>
      <c r="HV133" s="39"/>
      <c r="HW133" s="39"/>
      <c r="HX133" s="39"/>
      <c r="HY133" s="39"/>
      <c r="HZ133" s="39"/>
      <c r="IA133" s="39"/>
      <c r="IB133" s="39"/>
      <c r="IC133" s="39"/>
      <c r="ID133" s="39"/>
      <c r="IE133" s="39"/>
      <c r="IF133" s="39"/>
      <c r="IG133" s="39"/>
      <c r="IH133" s="39"/>
      <c r="II133" s="39"/>
      <c r="IJ133" s="39"/>
      <c r="IK133" s="39"/>
      <c r="IL133" s="39"/>
      <c r="IM133" s="39"/>
      <c r="IN133" s="39"/>
      <c r="IO133" s="39"/>
      <c r="IP133" s="39"/>
      <c r="IQ133" s="39"/>
      <c r="IR133" s="39"/>
      <c r="IS133" s="39"/>
      <c r="IT133" s="39"/>
      <c r="IU133" s="39"/>
      <c r="IV133" s="39"/>
      <c r="IW133" s="39"/>
    </row>
    <row r="134" customFormat="false" ht="12.95" hidden="false" customHeight="true" outlineLevel="0" collapsed="false">
      <c r="A134" s="39"/>
      <c r="B134" s="39"/>
      <c r="C134" s="39"/>
      <c r="D134" s="39"/>
      <c r="E134" s="97" t="n">
        <f aca="false">SUM(E121:E133)</f>
        <v>4640</v>
      </c>
      <c r="F134" s="97" t="n">
        <f aca="false">SUM(F121:F133)</f>
        <v>1460</v>
      </c>
      <c r="G134" s="97" t="n">
        <f aca="false">SUM(G121:G133)</f>
        <v>-1001</v>
      </c>
      <c r="H134" s="97" t="n">
        <f aca="false">SUM(H121:H133)</f>
        <v>27470</v>
      </c>
      <c r="I134" s="97" t="n">
        <f aca="false">SUM(I121:I133)</f>
        <v>683</v>
      </c>
      <c r="J134" s="97" t="n">
        <f aca="false">SUM(J121:J133)</f>
        <v>901</v>
      </c>
      <c r="K134" s="97" t="n">
        <f aca="false">SUM(K121:K133)</f>
        <v>34153</v>
      </c>
      <c r="L134" s="39"/>
      <c r="M134" s="39"/>
      <c r="N134" s="97" t="n">
        <f aca="false">SUM(N121:N133)</f>
        <v>28164</v>
      </c>
      <c r="O134" s="97" t="n">
        <f aca="false">SUM(O121:O133)</f>
        <v>0</v>
      </c>
      <c r="P134" s="97" t="n">
        <f aca="false">SUM(P121:P133)</f>
        <v>1</v>
      </c>
      <c r="Q134" s="97" t="n">
        <f aca="false">SUM(Q121:Q133)</f>
        <v>20</v>
      </c>
      <c r="R134" s="97" t="n">
        <f aca="false">SUM(R121:R133)</f>
        <v>30</v>
      </c>
      <c r="S134" s="97" t="n">
        <f aca="false">SUM(S121:S133)</f>
        <v>30</v>
      </c>
      <c r="T134" s="97" t="n">
        <f aca="false">SUM(T121:T133)</f>
        <v>2</v>
      </c>
      <c r="U134" s="97" t="n">
        <f aca="false">SUM(U121:U133)</f>
        <v>0</v>
      </c>
      <c r="V134" s="97" t="n">
        <f aca="false">SUM(V121:V133)</f>
        <v>10</v>
      </c>
      <c r="W134" s="97" t="n">
        <f aca="false">SUM(W121:W133)</f>
        <v>52</v>
      </c>
      <c r="X134" s="97" t="n">
        <f aca="false">SUM(X121:X133)</f>
        <v>207</v>
      </c>
      <c r="Y134" s="97" t="n">
        <f aca="false">SUM(Y121:Y133)</f>
        <v>0</v>
      </c>
      <c r="Z134" s="97" t="n">
        <f aca="false">SUM(Z121:Z133)</f>
        <v>267</v>
      </c>
      <c r="AA134" s="97" t="n">
        <f aca="false">SUM(AA121:AA133)</f>
        <v>1</v>
      </c>
      <c r="AB134" s="97" t="n">
        <f aca="false">SUM(AB121:AB133)</f>
        <v>10</v>
      </c>
      <c r="AC134" s="97" t="n">
        <f aca="false">SUM(AC121:AC133)</f>
        <v>2</v>
      </c>
      <c r="AD134" s="97" t="n">
        <f aca="false">SUM(AD121:AD133)</f>
        <v>292</v>
      </c>
      <c r="AE134" s="97" t="n">
        <f aca="false">SUM(AE121:AE133)</f>
        <v>4</v>
      </c>
      <c r="AF134" s="97" t="n">
        <f aca="false">SUM(AF121:AF133)</f>
        <v>1973</v>
      </c>
      <c r="AG134" s="97" t="n">
        <f aca="false">SUM(AG121:AG133)</f>
        <v>81</v>
      </c>
      <c r="AH134" s="97" t="n">
        <f aca="false">SUM(AH121:AH133)</f>
        <v>113</v>
      </c>
      <c r="AI134" s="97" t="n">
        <f aca="false">SUM(AI121:AI133)</f>
        <v>220</v>
      </c>
      <c r="AJ134" s="97" t="n">
        <f aca="false">SUM(AJ121:AJ133)</f>
        <v>423</v>
      </c>
      <c r="AK134" s="97" t="n">
        <f aca="false">SUM(AK121:AK133)</f>
        <v>833</v>
      </c>
      <c r="AL134" s="97" t="n">
        <f aca="false">SUM(AL121:AL133)</f>
        <v>274</v>
      </c>
      <c r="AM134" s="97" t="n">
        <f aca="false">SUM(AM121:AM133)</f>
        <v>134</v>
      </c>
      <c r="AN134" s="97" t="n">
        <f aca="false">SUM(AN121:AN133)</f>
        <v>238</v>
      </c>
      <c r="AO134" s="97" t="n">
        <f aca="false">SUM(AO121:AO133)</f>
        <v>60</v>
      </c>
      <c r="AP134" s="97" t="n">
        <f aca="false">SUM(AP121:AP133)</f>
        <v>0</v>
      </c>
      <c r="AQ134" s="97" t="n">
        <f aca="false">SUM(AQ121:AQ133)</f>
        <v>692</v>
      </c>
      <c r="AR134" s="97" t="n">
        <f aca="false">SUM(AR121:AR133)</f>
        <v>20</v>
      </c>
      <c r="AS134" s="97" t="n">
        <f aca="false">SUM(AS121:AS133)</f>
        <v>0</v>
      </c>
      <c r="AT134" s="97" t="n">
        <f aca="false">SUM(AT121:AT133)</f>
        <v>0</v>
      </c>
      <c r="AU134" s="97" t="n">
        <f aca="false">SUM(AU121:AU133)</f>
        <v>0</v>
      </c>
      <c r="AV134" s="97" t="n">
        <f aca="false">SUM(AV121:AV133)</f>
        <v>0</v>
      </c>
      <c r="AW134" s="0"/>
      <c r="AX134" s="97" t="n">
        <f aca="false">SUM(AX121:AX133)</f>
        <v>34153</v>
      </c>
      <c r="AY134" s="97" t="n">
        <f aca="false">SUM(AY121:AY133)</f>
        <v>0</v>
      </c>
      <c r="AZ134" s="39"/>
      <c r="BA134" s="97" t="n">
        <f aca="false">SUM(BA121:BA133)</f>
        <v>292</v>
      </c>
      <c r="BB134" s="97" t="n">
        <f aca="false">SUM(BB121:BB133)</f>
        <v>28164</v>
      </c>
      <c r="BC134" s="97" t="n">
        <f aca="false">SUM(BC121:BC133)</f>
        <v>5989</v>
      </c>
      <c r="BD134" s="39"/>
      <c r="BE134" s="97" t="n">
        <f aca="false">SUM(BE121:BE133)</f>
        <v>34153</v>
      </c>
      <c r="BF134" s="39"/>
      <c r="BG134" s="97" t="n">
        <f aca="false">SUM(BG121:BG133)</f>
        <v>34153</v>
      </c>
      <c r="BH134" s="39" t="n">
        <f aca="false">SUM(BH121:BH133)</f>
        <v>0</v>
      </c>
      <c r="BI134" s="39"/>
      <c r="BJ134" s="39"/>
      <c r="BK134" s="39"/>
      <c r="BL134" s="39"/>
      <c r="BM134" s="39"/>
      <c r="BN134" s="39"/>
      <c r="BO134" s="39"/>
      <c r="BP134" s="39"/>
      <c r="BQ134" s="39"/>
      <c r="BR134" s="39"/>
      <c r="BS134" s="39"/>
      <c r="BT134" s="39"/>
      <c r="BU134" s="39"/>
      <c r="BV134" s="39"/>
      <c r="BW134" s="39"/>
      <c r="BX134" s="39"/>
      <c r="BY134" s="39"/>
      <c r="BZ134" s="39"/>
      <c r="CA134" s="39"/>
      <c r="CB134" s="39"/>
      <c r="CC134" s="39"/>
      <c r="CD134" s="39"/>
      <c r="CE134" s="39"/>
      <c r="CF134" s="39"/>
      <c r="CG134" s="39"/>
      <c r="CH134" s="39"/>
      <c r="CI134" s="39"/>
      <c r="CJ134" s="39"/>
      <c r="CK134" s="39"/>
      <c r="CL134" s="39"/>
      <c r="CM134" s="39"/>
      <c r="CN134" s="39"/>
      <c r="CO134" s="39"/>
      <c r="CP134" s="39"/>
      <c r="CQ134" s="39"/>
      <c r="CR134" s="39"/>
      <c r="CS134" s="39"/>
      <c r="CT134" s="39"/>
      <c r="CU134" s="39"/>
      <c r="CV134" s="39"/>
      <c r="CW134" s="39"/>
      <c r="CX134" s="39"/>
      <c r="CY134" s="39"/>
      <c r="CZ134" s="39"/>
      <c r="DA134" s="39"/>
      <c r="DB134" s="39"/>
      <c r="DC134" s="39"/>
      <c r="DD134" s="39"/>
      <c r="DE134" s="39"/>
      <c r="DF134" s="39"/>
      <c r="DG134" s="39"/>
      <c r="DH134" s="39"/>
      <c r="DI134" s="39"/>
      <c r="DJ134" s="39"/>
      <c r="DK134" s="39"/>
      <c r="DL134" s="39"/>
      <c r="DM134" s="39"/>
      <c r="DN134" s="39"/>
      <c r="DO134" s="39"/>
      <c r="DP134" s="39"/>
      <c r="DQ134" s="39"/>
      <c r="DR134" s="39"/>
      <c r="DS134" s="39"/>
      <c r="DT134" s="39"/>
      <c r="DU134" s="39"/>
      <c r="DV134" s="39"/>
      <c r="DW134" s="39"/>
      <c r="DX134" s="39"/>
      <c r="DY134" s="39"/>
      <c r="DZ134" s="39"/>
      <c r="EA134" s="39"/>
      <c r="EB134" s="39"/>
      <c r="EC134" s="39"/>
      <c r="ED134" s="39"/>
      <c r="EE134" s="39"/>
      <c r="EF134" s="39"/>
      <c r="EG134" s="39"/>
      <c r="EH134" s="39"/>
      <c r="EI134" s="39"/>
      <c r="EJ134" s="39"/>
      <c r="EK134" s="39"/>
      <c r="EL134" s="39"/>
      <c r="EM134" s="39"/>
      <c r="EN134" s="39"/>
      <c r="EO134" s="39"/>
      <c r="EP134" s="39"/>
      <c r="EQ134" s="39"/>
      <c r="ER134" s="39"/>
      <c r="ES134" s="39"/>
      <c r="ET134" s="39"/>
      <c r="EU134" s="39"/>
      <c r="EV134" s="39"/>
      <c r="EW134" s="39"/>
      <c r="EX134" s="39"/>
      <c r="EY134" s="39"/>
      <c r="EZ134" s="39"/>
      <c r="FA134" s="39"/>
      <c r="FB134" s="39"/>
      <c r="FC134" s="39"/>
      <c r="FD134" s="39"/>
      <c r="FE134" s="39"/>
      <c r="FF134" s="39"/>
      <c r="FG134" s="39"/>
      <c r="FH134" s="39"/>
      <c r="FI134" s="39"/>
      <c r="FJ134" s="39"/>
      <c r="FK134" s="39"/>
      <c r="FL134" s="39"/>
      <c r="FM134" s="39"/>
      <c r="FN134" s="39"/>
      <c r="FO134" s="39"/>
      <c r="FP134" s="39"/>
      <c r="FQ134" s="39"/>
      <c r="FR134" s="39"/>
      <c r="FS134" s="39"/>
      <c r="FT134" s="39"/>
      <c r="FU134" s="39"/>
      <c r="FV134" s="39"/>
      <c r="FW134" s="39"/>
      <c r="FX134" s="39"/>
      <c r="FY134" s="39"/>
      <c r="FZ134" s="39"/>
      <c r="GA134" s="39"/>
      <c r="GB134" s="39"/>
      <c r="GC134" s="39"/>
      <c r="GD134" s="39"/>
      <c r="GE134" s="39"/>
      <c r="GF134" s="39"/>
      <c r="GG134" s="39"/>
      <c r="GH134" s="39"/>
      <c r="GI134" s="39"/>
      <c r="GJ134" s="39"/>
      <c r="GK134" s="39"/>
      <c r="GL134" s="39"/>
      <c r="GM134" s="39"/>
      <c r="GN134" s="39"/>
      <c r="GO134" s="39"/>
      <c r="GP134" s="39"/>
      <c r="GQ134" s="39"/>
      <c r="GR134" s="39"/>
      <c r="GS134" s="39"/>
      <c r="GT134" s="39"/>
      <c r="GU134" s="39"/>
      <c r="GV134" s="39"/>
      <c r="GW134" s="39"/>
      <c r="GX134" s="39"/>
      <c r="GY134" s="39"/>
      <c r="GZ134" s="39"/>
      <c r="HA134" s="39"/>
      <c r="HB134" s="39"/>
      <c r="HC134" s="39"/>
      <c r="HD134" s="39"/>
      <c r="HE134" s="39"/>
      <c r="HF134" s="39"/>
      <c r="HG134" s="39"/>
      <c r="HH134" s="39"/>
      <c r="HI134" s="39"/>
      <c r="HJ134" s="39"/>
      <c r="HK134" s="39"/>
      <c r="HL134" s="39"/>
      <c r="HM134" s="39"/>
      <c r="HN134" s="39"/>
      <c r="HO134" s="39"/>
      <c r="HP134" s="39"/>
      <c r="HQ134" s="39"/>
      <c r="HR134" s="39"/>
      <c r="HS134" s="39"/>
      <c r="HT134" s="39"/>
      <c r="HU134" s="39"/>
      <c r="HV134" s="39"/>
      <c r="HW134" s="39"/>
      <c r="HX134" s="39"/>
      <c r="HY134" s="39"/>
      <c r="HZ134" s="39"/>
      <c r="IA134" s="39"/>
      <c r="IB134" s="39"/>
      <c r="IC134" s="39"/>
      <c r="ID134" s="39"/>
      <c r="IE134" s="39"/>
      <c r="IF134" s="39"/>
      <c r="IG134" s="39"/>
      <c r="IH134" s="39"/>
      <c r="II134" s="39"/>
      <c r="IJ134" s="39"/>
      <c r="IK134" s="39"/>
      <c r="IL134" s="39"/>
      <c r="IM134" s="39"/>
      <c r="IN134" s="39"/>
      <c r="IO134" s="39"/>
      <c r="IP134" s="39"/>
      <c r="IQ134" s="39"/>
      <c r="IR134" s="39"/>
      <c r="IS134" s="39"/>
      <c r="IT134" s="39"/>
      <c r="IU134" s="39"/>
      <c r="IV134" s="39"/>
      <c r="IW134" s="39"/>
    </row>
    <row r="135" customFormat="false" ht="8.1" hidden="false" customHeight="true" outlineLevel="0" collapsed="false">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0"/>
      <c r="AX135" s="39"/>
      <c r="AY135" s="39"/>
      <c r="AZ135" s="39"/>
      <c r="BA135" s="39"/>
      <c r="BB135" s="39"/>
      <c r="BC135" s="39"/>
      <c r="BD135" s="39"/>
      <c r="BE135" s="39"/>
      <c r="BF135" s="39"/>
      <c r="BG135" s="48"/>
      <c r="BH135" s="39"/>
      <c r="BI135" s="39"/>
      <c r="BJ135" s="39"/>
      <c r="BK135" s="39"/>
      <c r="BL135" s="39"/>
      <c r="BM135" s="39"/>
      <c r="BN135" s="39"/>
      <c r="BO135" s="39"/>
      <c r="BP135" s="39"/>
      <c r="BQ135" s="39"/>
      <c r="BR135" s="39"/>
      <c r="BS135" s="39"/>
      <c r="BT135" s="39"/>
      <c r="BU135" s="39"/>
      <c r="BV135" s="39"/>
      <c r="BW135" s="39"/>
      <c r="BX135" s="39"/>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c r="CX135" s="39"/>
      <c r="CY135" s="39"/>
      <c r="CZ135" s="39"/>
      <c r="DA135" s="39"/>
      <c r="DB135" s="39"/>
      <c r="DC135" s="39"/>
      <c r="DD135" s="39"/>
      <c r="DE135" s="39"/>
      <c r="DF135" s="39"/>
      <c r="DG135" s="39"/>
      <c r="DH135" s="39"/>
      <c r="DI135" s="39"/>
      <c r="DJ135" s="39"/>
      <c r="DK135" s="39"/>
      <c r="DL135" s="39"/>
      <c r="DM135" s="39"/>
      <c r="DN135" s="39"/>
      <c r="DO135" s="39"/>
      <c r="DP135" s="39"/>
      <c r="DQ135" s="39"/>
      <c r="DR135" s="39"/>
      <c r="DS135" s="39"/>
      <c r="DT135" s="39"/>
      <c r="DU135" s="39"/>
      <c r="DV135" s="39"/>
      <c r="DW135" s="39"/>
      <c r="DX135" s="39"/>
      <c r="DY135" s="39"/>
      <c r="DZ135" s="39"/>
      <c r="EA135" s="39"/>
      <c r="EB135" s="39"/>
      <c r="EC135" s="39"/>
      <c r="ED135" s="39"/>
      <c r="EE135" s="39"/>
      <c r="EF135" s="39"/>
      <c r="EG135" s="39"/>
      <c r="EH135" s="39"/>
      <c r="EI135" s="39"/>
      <c r="EJ135" s="39"/>
      <c r="EK135" s="39"/>
      <c r="EL135" s="39"/>
      <c r="EM135" s="39"/>
      <c r="EN135" s="39"/>
      <c r="EO135" s="39"/>
      <c r="EP135" s="39"/>
      <c r="EQ135" s="39"/>
      <c r="ER135" s="39"/>
      <c r="ES135" s="39"/>
      <c r="ET135" s="39"/>
      <c r="EU135" s="39"/>
      <c r="EV135" s="39"/>
      <c r="EW135" s="39"/>
      <c r="EX135" s="39"/>
      <c r="EY135" s="39"/>
      <c r="EZ135" s="39"/>
      <c r="FA135" s="39"/>
      <c r="FB135" s="39"/>
      <c r="FC135" s="39"/>
      <c r="FD135" s="39"/>
      <c r="FE135" s="39"/>
      <c r="FF135" s="39"/>
      <c r="FG135" s="39"/>
      <c r="FH135" s="39"/>
      <c r="FI135" s="39"/>
      <c r="FJ135" s="39"/>
      <c r="FK135" s="39"/>
      <c r="FL135" s="39"/>
      <c r="FM135" s="39"/>
      <c r="FN135" s="39"/>
      <c r="FO135" s="39"/>
      <c r="FP135" s="39"/>
      <c r="FQ135" s="39"/>
      <c r="FR135" s="39"/>
      <c r="FS135" s="39"/>
      <c r="FT135" s="39"/>
      <c r="FU135" s="39"/>
      <c r="FV135" s="39"/>
      <c r="FW135" s="39"/>
      <c r="FX135" s="39"/>
      <c r="FY135" s="39"/>
      <c r="FZ135" s="39"/>
      <c r="GA135" s="39"/>
      <c r="GB135" s="39"/>
      <c r="GC135" s="39"/>
      <c r="GD135" s="39"/>
      <c r="GE135" s="39"/>
      <c r="GF135" s="39"/>
      <c r="GG135" s="39"/>
      <c r="GH135" s="39"/>
      <c r="GI135" s="39"/>
      <c r="GJ135" s="39"/>
      <c r="GK135" s="39"/>
      <c r="GL135" s="39"/>
      <c r="GM135" s="39"/>
      <c r="GN135" s="39"/>
      <c r="GO135" s="39"/>
      <c r="GP135" s="39"/>
      <c r="GQ135" s="39"/>
      <c r="GR135" s="39"/>
      <c r="GS135" s="39"/>
      <c r="GT135" s="39"/>
      <c r="GU135" s="39"/>
      <c r="GV135" s="39"/>
      <c r="GW135" s="39"/>
      <c r="GX135" s="39"/>
      <c r="GY135" s="39"/>
      <c r="GZ135" s="39"/>
      <c r="HA135" s="39"/>
      <c r="HB135" s="39"/>
      <c r="HC135" s="39"/>
      <c r="HD135" s="39"/>
      <c r="HE135" s="39"/>
      <c r="HF135" s="39"/>
      <c r="HG135" s="39"/>
      <c r="HH135" s="39"/>
      <c r="HI135" s="39"/>
      <c r="HJ135" s="39"/>
      <c r="HK135" s="39"/>
      <c r="HL135" s="39"/>
      <c r="HM135" s="39"/>
      <c r="HN135" s="39"/>
      <c r="HO135" s="39"/>
      <c r="HP135" s="39"/>
      <c r="HQ135" s="39"/>
      <c r="HR135" s="39"/>
      <c r="HS135" s="39"/>
      <c r="HT135" s="39"/>
      <c r="HU135" s="39"/>
      <c r="HV135" s="39"/>
      <c r="HW135" s="39"/>
      <c r="HX135" s="39"/>
      <c r="HY135" s="39"/>
      <c r="HZ135" s="39"/>
      <c r="IA135" s="39"/>
      <c r="IB135" s="39"/>
      <c r="IC135" s="39"/>
      <c r="ID135" s="39"/>
      <c r="IE135" s="39"/>
      <c r="IF135" s="39"/>
      <c r="IG135" s="39"/>
      <c r="IH135" s="39"/>
      <c r="II135" s="39"/>
      <c r="IJ135" s="39"/>
      <c r="IK135" s="39"/>
      <c r="IL135" s="39"/>
      <c r="IM135" s="39"/>
      <c r="IN135" s="39"/>
      <c r="IO135" s="39"/>
      <c r="IP135" s="39"/>
      <c r="IQ135" s="39"/>
      <c r="IR135" s="39"/>
      <c r="IS135" s="39"/>
      <c r="IT135" s="39"/>
      <c r="IU135" s="39"/>
      <c r="IV135" s="39"/>
      <c r="IW135" s="39"/>
    </row>
    <row r="137" customFormat="false" ht="12.95" hidden="false" customHeight="true" outlineLevel="0" collapsed="false">
      <c r="A137" s="61" t="s">
        <v>424</v>
      </c>
    </row>
    <row r="138" customFormat="false" ht="12.95" hidden="false" customHeight="true" outlineLevel="0" collapsed="false">
      <c r="A138" s="37" t="n">
        <f aca="false">+'CCs # Master'!A21</f>
        <v>11</v>
      </c>
      <c r="B138" s="39" t="str">
        <f aca="false">+'CCs # Master'!B21</f>
        <v>Community Relations</v>
      </c>
      <c r="C138" s="39" t="str">
        <f aca="false">+'CCs # Master'!C21</f>
        <v>Olson, Cindy</v>
      </c>
      <c r="D138" s="96" t="n">
        <f aca="false">+'CCs # Master'!D21</f>
        <v>100019</v>
      </c>
      <c r="E138" s="39" t="n">
        <f aca="false">+'CCs # Master'!E21</f>
        <v>1031</v>
      </c>
      <c r="F138" s="39" t="n">
        <f aca="false">+'CCs # Master'!F21</f>
        <v>174</v>
      </c>
      <c r="G138" s="39" t="n">
        <f aca="false">+'CCs # Master'!G21</f>
        <v>60</v>
      </c>
      <c r="H138" s="39" t="n">
        <f aca="false">+'CCs # Master'!H21</f>
        <v>220</v>
      </c>
      <c r="I138" s="39" t="n">
        <f aca="false">+'CCs # Master'!I21</f>
        <v>0</v>
      </c>
      <c r="J138" s="39" t="n">
        <f aca="false">+'CCs # Master'!J21</f>
        <v>53</v>
      </c>
      <c r="K138" s="71" t="n">
        <f aca="false">SUM(E138:J138)</f>
        <v>1538</v>
      </c>
      <c r="L138" s="39"/>
      <c r="M138" s="39" t="str">
        <f aca="false">+'CCs # Master'!M21</f>
        <v>MMF</v>
      </c>
      <c r="N138" s="39" t="n">
        <f aca="false">+'CCs # Master'!AW21</f>
        <v>1538</v>
      </c>
      <c r="O138" s="39" t="n">
        <v>0</v>
      </c>
      <c r="P138" s="39" t="n">
        <f aca="false">+'CCs # Master'!N21</f>
        <v>0</v>
      </c>
      <c r="Q138" s="39" t="n">
        <f aca="false">+'CCs # Master'!O21</f>
        <v>0</v>
      </c>
      <c r="R138" s="39" t="n">
        <f aca="false">+'CCs # Master'!P21</f>
        <v>0</v>
      </c>
      <c r="S138" s="39" t="n">
        <f aca="false">+'CCs # Master'!Q21</f>
        <v>0</v>
      </c>
      <c r="T138" s="39" t="n">
        <f aca="false">+'CCs # Master'!R21</f>
        <v>0</v>
      </c>
      <c r="U138" s="39" t="n">
        <f aca="false">+'CCs # Master'!S21</f>
        <v>0</v>
      </c>
      <c r="V138" s="39" t="n">
        <f aca="false">+'CCs # Master'!T21</f>
        <v>0</v>
      </c>
      <c r="W138" s="39" t="n">
        <f aca="false">+'CCs # Master'!U21</f>
        <v>0</v>
      </c>
      <c r="X138" s="39" t="n">
        <f aca="false">+'CCs # Master'!V21</f>
        <v>0</v>
      </c>
      <c r="Y138" s="39" t="n">
        <f aca="false">+'CCs # Master'!W21</f>
        <v>0</v>
      </c>
      <c r="Z138" s="39" t="n">
        <f aca="false">+'CCs # Master'!X21</f>
        <v>0</v>
      </c>
      <c r="AA138" s="39" t="n">
        <f aca="false">+'CCs # Master'!Y21</f>
        <v>0</v>
      </c>
      <c r="AB138" s="39" t="n">
        <f aca="false">+'CCs # Master'!Z21</f>
        <v>0</v>
      </c>
      <c r="AC138" s="39" t="n">
        <f aca="false">+'CCs # Master'!AA21</f>
        <v>0</v>
      </c>
      <c r="AD138" s="39" t="n">
        <f aca="false">+'CCs # Master'!AB21</f>
        <v>0</v>
      </c>
      <c r="AE138" s="39" t="n">
        <f aca="false">+'CCs # Master'!AC21</f>
        <v>0</v>
      </c>
      <c r="AF138" s="39" t="n">
        <f aca="false">+'CCs # Master'!AD21</f>
        <v>0</v>
      </c>
      <c r="AG138" s="39" t="n">
        <f aca="false">+'CCs # Master'!AE21</f>
        <v>0</v>
      </c>
      <c r="AH138" s="39" t="n">
        <f aca="false">+'CCs # Master'!AF21</f>
        <v>0</v>
      </c>
      <c r="AI138" s="39" t="n">
        <f aca="false">+'CCs # Master'!AG21</f>
        <v>0</v>
      </c>
      <c r="AJ138" s="39" t="n">
        <f aca="false">+'CCs # Master'!AH21</f>
        <v>0</v>
      </c>
      <c r="AK138" s="39" t="n">
        <f aca="false">+'CCs # Master'!AI21</f>
        <v>0</v>
      </c>
      <c r="AL138" s="39" t="n">
        <f aca="false">+'CCs # Master'!AJ21</f>
        <v>0</v>
      </c>
      <c r="AM138" s="39" t="n">
        <f aca="false">+'CCs # Master'!AK21</f>
        <v>0</v>
      </c>
      <c r="AN138" s="39" t="n">
        <f aca="false">+'CCs # Master'!AL21</f>
        <v>0</v>
      </c>
      <c r="AO138" s="39" t="n">
        <f aca="false">+'CCs # Master'!AM21</f>
        <v>0</v>
      </c>
      <c r="AP138" s="39" t="n">
        <f aca="false">+'CCs # Master'!AN21</f>
        <v>0</v>
      </c>
      <c r="AQ138" s="39" t="n">
        <f aca="false">+'CCs # Master'!AO21</f>
        <v>0</v>
      </c>
      <c r="AR138" s="39" t="n">
        <f aca="false">+'CCs # Master'!AP21</f>
        <v>0</v>
      </c>
      <c r="AS138" s="39" t="n">
        <f aca="false">+'CCs # Master'!AQ21</f>
        <v>0</v>
      </c>
      <c r="AT138" s="39" t="n">
        <f aca="false">+'CCs # Master'!AR21</f>
        <v>0</v>
      </c>
      <c r="AU138" s="39" t="n">
        <f aca="false">+'CCs # Master'!AS21</f>
        <v>0</v>
      </c>
      <c r="AV138" s="39" t="n">
        <f aca="false">+'CCs # Master'!AT21</f>
        <v>0</v>
      </c>
      <c r="AW138" s="100"/>
      <c r="AX138" s="71" t="n">
        <f aca="false">SUM(N138:AW138)</f>
        <v>1538</v>
      </c>
      <c r="AY138" s="71" t="n">
        <f aca="false">+K138-AX138</f>
        <v>0</v>
      </c>
      <c r="AZ138" s="39"/>
      <c r="BA138" s="39" t="n">
        <f aca="false">+P138+Q138+T138+U138+V138+W138+X138+Y138</f>
        <v>0</v>
      </c>
      <c r="BB138" s="39" t="n">
        <f aca="false">N138</f>
        <v>1538</v>
      </c>
      <c r="BC138" s="39" t="n">
        <f aca="false">SUM(P138:AW138)</f>
        <v>0</v>
      </c>
      <c r="BD138" s="39"/>
      <c r="BE138" s="39" t="n">
        <f aca="false">SUM(BB138:BC138)</f>
        <v>1538</v>
      </c>
      <c r="BF138" s="39"/>
      <c r="BG138" s="48" t="n">
        <f aca="false">SUM(N138:AW138)</f>
        <v>1538</v>
      </c>
      <c r="BH138" s="39" t="n">
        <f aca="false">BE138-BG138</f>
        <v>0</v>
      </c>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39"/>
      <c r="EF138" s="39"/>
      <c r="EG138" s="39"/>
      <c r="EH138" s="39"/>
      <c r="EI138" s="39"/>
      <c r="EJ138" s="39"/>
      <c r="EK138" s="39"/>
      <c r="EL138" s="39"/>
      <c r="EM138" s="39"/>
      <c r="EN138" s="39"/>
      <c r="EO138" s="39"/>
      <c r="EP138" s="39"/>
      <c r="EQ138" s="39"/>
      <c r="ER138" s="39"/>
      <c r="ES138" s="39"/>
      <c r="ET138" s="39"/>
      <c r="EU138" s="39"/>
      <c r="EV138" s="39"/>
      <c r="EW138" s="39"/>
      <c r="EX138" s="39"/>
      <c r="EY138" s="39"/>
      <c r="EZ138" s="39"/>
      <c r="FA138" s="39"/>
      <c r="FB138" s="39"/>
      <c r="FC138" s="39"/>
      <c r="FD138" s="39"/>
      <c r="FE138" s="39"/>
      <c r="FF138" s="39"/>
      <c r="FG138" s="39"/>
      <c r="FH138" s="39"/>
      <c r="FI138" s="39"/>
      <c r="FJ138" s="39"/>
      <c r="FK138" s="39"/>
      <c r="FL138" s="39"/>
      <c r="FM138" s="39"/>
      <c r="FN138" s="39"/>
      <c r="FO138" s="39"/>
      <c r="FP138" s="39"/>
      <c r="FQ138" s="39"/>
      <c r="FR138" s="39"/>
      <c r="FS138" s="39"/>
      <c r="FT138" s="39"/>
      <c r="FU138" s="39"/>
      <c r="FV138" s="39"/>
      <c r="FW138" s="39"/>
      <c r="FX138" s="39"/>
      <c r="FY138" s="39"/>
      <c r="FZ138" s="39"/>
      <c r="GA138" s="39"/>
      <c r="GB138" s="39"/>
      <c r="GC138" s="39"/>
      <c r="GD138" s="39"/>
      <c r="GE138" s="39"/>
      <c r="GF138" s="39"/>
      <c r="GG138" s="39"/>
      <c r="GH138" s="39"/>
      <c r="GI138" s="39"/>
      <c r="GJ138" s="39"/>
      <c r="GK138" s="39"/>
      <c r="GL138" s="39"/>
      <c r="GM138" s="39"/>
      <c r="GN138" s="39"/>
      <c r="GO138" s="39"/>
      <c r="GP138" s="39"/>
      <c r="GQ138" s="39"/>
      <c r="GR138" s="39"/>
      <c r="GS138" s="39"/>
      <c r="GT138" s="39"/>
      <c r="GU138" s="39"/>
      <c r="GV138" s="39"/>
      <c r="GW138" s="39"/>
      <c r="GX138" s="39"/>
      <c r="GY138" s="39"/>
      <c r="GZ138" s="39"/>
      <c r="HA138" s="39"/>
      <c r="HB138" s="39"/>
      <c r="HC138" s="39"/>
      <c r="HD138" s="39"/>
      <c r="HE138" s="39"/>
      <c r="HF138" s="39"/>
      <c r="HG138" s="39"/>
      <c r="HH138" s="39"/>
      <c r="HI138" s="39"/>
      <c r="HJ138" s="39"/>
      <c r="HK138" s="39"/>
      <c r="HL138" s="39"/>
      <c r="HM138" s="39"/>
      <c r="HN138" s="39"/>
      <c r="HO138" s="39"/>
      <c r="HP138" s="39"/>
      <c r="HQ138" s="39"/>
      <c r="HR138" s="39"/>
      <c r="HS138" s="39"/>
      <c r="HT138" s="39"/>
      <c r="HU138" s="39"/>
      <c r="HV138" s="39"/>
      <c r="HW138" s="39"/>
      <c r="HX138" s="39"/>
      <c r="HY138" s="39"/>
      <c r="HZ138" s="39"/>
      <c r="IA138" s="39"/>
      <c r="IB138" s="39"/>
      <c r="IC138" s="39"/>
      <c r="ID138" s="39"/>
      <c r="IE138" s="39"/>
      <c r="IF138" s="39"/>
      <c r="IG138" s="39"/>
      <c r="IH138" s="39"/>
      <c r="II138" s="39"/>
      <c r="IJ138" s="39"/>
      <c r="IK138" s="39"/>
      <c r="IL138" s="39"/>
      <c r="IM138" s="39"/>
      <c r="IN138" s="39"/>
      <c r="IO138" s="39"/>
      <c r="IP138" s="39"/>
      <c r="IQ138" s="39"/>
      <c r="IR138" s="39"/>
      <c r="IS138" s="39"/>
      <c r="IT138" s="39"/>
      <c r="IU138" s="39"/>
      <c r="IV138" s="39"/>
      <c r="IW138" s="39"/>
    </row>
    <row r="139" customFormat="false" ht="12.95" hidden="false" customHeight="true" outlineLevel="0" collapsed="false">
      <c r="A139" s="37" t="n">
        <f aca="false">+'CCs # Master'!A47</f>
        <v>11</v>
      </c>
      <c r="B139" s="39" t="str">
        <f aca="false">+'CCs # Master'!B47</f>
        <v>Community Relations Programs</v>
      </c>
      <c r="C139" s="39" t="str">
        <f aca="false">+'CCs # Master'!C47</f>
        <v>Olson, Cindy</v>
      </c>
      <c r="D139" s="96" t="n">
        <f aca="false">+'CCs # Master'!D47</f>
        <v>100056</v>
      </c>
      <c r="E139" s="39" t="n">
        <f aca="false">+'CCs # Master'!E47</f>
        <v>0</v>
      </c>
      <c r="F139" s="39" t="n">
        <f aca="false">+'CCs # Master'!F47</f>
        <v>0</v>
      </c>
      <c r="G139" s="39" t="n">
        <f aca="false">+'CCs # Master'!G47</f>
        <v>0</v>
      </c>
      <c r="H139" s="39" t="n">
        <f aca="false">+'CCs # Master'!H47</f>
        <v>0</v>
      </c>
      <c r="I139" s="39" t="n">
        <f aca="false">+'CCs # Master'!I47</f>
        <v>0</v>
      </c>
      <c r="J139" s="39" t="n">
        <f aca="false">+'CCs # Master'!J47</f>
        <v>1195</v>
      </c>
      <c r="K139" s="71" t="n">
        <f aca="false">SUM(E139:J139)</f>
        <v>1195</v>
      </c>
      <c r="L139" s="39"/>
      <c r="M139" s="39" t="str">
        <f aca="false">+'CCs # Master'!M47</f>
        <v>% of DT Headcount</v>
      </c>
      <c r="N139" s="39" t="n">
        <f aca="false">+'CCs # Master'!AW47</f>
        <v>121</v>
      </c>
      <c r="O139" s="39" t="n">
        <v>0</v>
      </c>
      <c r="P139" s="39" t="n">
        <f aca="false">+'CCs # Master'!N47</f>
        <v>19</v>
      </c>
      <c r="Q139" s="39" t="n">
        <f aca="false">+'CCs # Master'!O47</f>
        <v>36</v>
      </c>
      <c r="R139" s="39" t="n">
        <f aca="false">+'CCs # Master'!P47</f>
        <v>38</v>
      </c>
      <c r="S139" s="39" t="n">
        <f aca="false">+'CCs # Master'!Q47</f>
        <v>41</v>
      </c>
      <c r="T139" s="39" t="n">
        <f aca="false">+'CCs # Master'!R47</f>
        <v>4</v>
      </c>
      <c r="U139" s="39" t="n">
        <f aca="false">+'CCs # Master'!S47</f>
        <v>0</v>
      </c>
      <c r="V139" s="39" t="n">
        <f aca="false">+'CCs # Master'!T47</f>
        <v>22</v>
      </c>
      <c r="W139" s="39" t="n">
        <f aca="false">+'CCs # Master'!U47</f>
        <v>140</v>
      </c>
      <c r="X139" s="39" t="n">
        <f aca="false">+'CCs # Master'!V47</f>
        <v>26</v>
      </c>
      <c r="Y139" s="39" t="n">
        <f aca="false">+'CCs # Master'!W47</f>
        <v>11</v>
      </c>
      <c r="Z139" s="39" t="n">
        <f aca="false">+'CCs # Master'!X47</f>
        <v>194</v>
      </c>
      <c r="AA139" s="39" t="n">
        <f aca="false">+'CCs # Master'!Y47</f>
        <v>2</v>
      </c>
      <c r="AB139" s="39" t="n">
        <f aca="false">+'CCs # Master'!Z47</f>
        <v>22</v>
      </c>
      <c r="AC139" s="39" t="n">
        <f aca="false">+'CCs # Master'!AA47</f>
        <v>4</v>
      </c>
      <c r="AD139" s="39" t="n">
        <f aca="false">+'CCs # Master'!AB47</f>
        <v>1</v>
      </c>
      <c r="AE139" s="39" t="n">
        <f aca="false">+'CCs # Master'!AC47</f>
        <v>9</v>
      </c>
      <c r="AF139" s="39" t="n">
        <f aca="false">+'CCs # Master'!AD47</f>
        <v>172</v>
      </c>
      <c r="AG139" s="39" t="n">
        <f aca="false">+'CCs # Master'!AE47</f>
        <v>138</v>
      </c>
      <c r="AH139" s="39" t="n">
        <f aca="false">+'CCs # Master'!AF47</f>
        <v>2</v>
      </c>
      <c r="AI139" s="39" t="n">
        <f aca="false">+'CCs # Master'!AG47</f>
        <v>0</v>
      </c>
      <c r="AJ139" s="39" t="n">
        <f aca="false">+'CCs # Master'!AH47</f>
        <v>10</v>
      </c>
      <c r="AK139" s="39" t="n">
        <f aca="false">+'CCs # Master'!AI47</f>
        <v>9</v>
      </c>
      <c r="AL139" s="39" t="n">
        <f aca="false">+'CCs # Master'!AJ47</f>
        <v>4</v>
      </c>
      <c r="AM139" s="39" t="n">
        <f aca="false">+'CCs # Master'!AK47</f>
        <v>11</v>
      </c>
      <c r="AN139" s="39" t="n">
        <f aca="false">+'CCs # Master'!AL47</f>
        <v>4</v>
      </c>
      <c r="AO139" s="39" t="n">
        <f aca="false">+'CCs # Master'!AM47</f>
        <v>89</v>
      </c>
      <c r="AP139" s="39" t="n">
        <f aca="false">+'CCs # Master'!AN47</f>
        <v>0</v>
      </c>
      <c r="AQ139" s="39" t="n">
        <f aca="false">+'CCs # Master'!AO47</f>
        <v>52</v>
      </c>
      <c r="AR139" s="39" t="n">
        <f aca="false">+'CCs # Master'!AP47</f>
        <v>14</v>
      </c>
      <c r="AS139" s="39" t="n">
        <f aca="false">+'CCs # Master'!AQ47</f>
        <v>0</v>
      </c>
      <c r="AT139" s="39" t="n">
        <f aca="false">+'CCs # Master'!AR47</f>
        <v>0</v>
      </c>
      <c r="AU139" s="39" t="n">
        <f aca="false">+'CCs # Master'!AS47</f>
        <v>0</v>
      </c>
      <c r="AV139" s="39" t="n">
        <f aca="false">+'CCs # Master'!AT47</f>
        <v>0</v>
      </c>
      <c r="AW139" s="100"/>
      <c r="AX139" s="71" t="n">
        <f aca="false">SUM(N139:AW139)</f>
        <v>1195</v>
      </c>
      <c r="AY139" s="71" t="n">
        <f aca="false">+K139-AX139</f>
        <v>0</v>
      </c>
      <c r="AZ139" s="39"/>
      <c r="BA139" s="39" t="n">
        <f aca="false">+P139+Q139+T139+U139+V139+W139+X139+Y139</f>
        <v>258</v>
      </c>
      <c r="BB139" s="39" t="n">
        <f aca="false">N139</f>
        <v>121</v>
      </c>
      <c r="BC139" s="39" t="n">
        <f aca="false">SUM(P139:AW139)</f>
        <v>1074</v>
      </c>
      <c r="BD139" s="39"/>
      <c r="BE139" s="39" t="n">
        <f aca="false">SUM(BB139:BC139)</f>
        <v>1195</v>
      </c>
      <c r="BF139" s="39"/>
      <c r="BG139" s="48" t="n">
        <f aca="false">SUM(N139:AW139)</f>
        <v>1195</v>
      </c>
      <c r="BH139" s="39" t="n">
        <f aca="false">BE139-BG139</f>
        <v>0</v>
      </c>
      <c r="BI139" s="39"/>
      <c r="BJ139" s="39"/>
      <c r="BK139" s="39"/>
      <c r="BL139" s="39"/>
      <c r="BM139" s="39"/>
      <c r="BN139" s="39"/>
      <c r="BO139" s="39"/>
      <c r="BP139" s="39"/>
      <c r="BQ139" s="39"/>
      <c r="BR139" s="39"/>
      <c r="BS139" s="39"/>
      <c r="BT139" s="39"/>
      <c r="BU139" s="39"/>
      <c r="BV139" s="39"/>
      <c r="BW139" s="39"/>
      <c r="BX139" s="39"/>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c r="DO139" s="39"/>
      <c r="DP139" s="39"/>
      <c r="DQ139" s="39"/>
      <c r="DR139" s="39"/>
      <c r="DS139" s="39"/>
      <c r="DT139" s="39"/>
      <c r="DU139" s="39"/>
      <c r="DV139" s="39"/>
      <c r="DW139" s="39"/>
      <c r="DX139" s="39"/>
      <c r="DY139" s="39"/>
      <c r="DZ139" s="39"/>
      <c r="EA139" s="39"/>
      <c r="EB139" s="39"/>
      <c r="EC139" s="39"/>
      <c r="ED139" s="39"/>
      <c r="EE139" s="39"/>
      <c r="EF139" s="39"/>
      <c r="EG139" s="39"/>
      <c r="EH139" s="39"/>
      <c r="EI139" s="39"/>
      <c r="EJ139" s="39"/>
      <c r="EK139" s="39"/>
      <c r="EL139" s="39"/>
      <c r="EM139" s="39"/>
      <c r="EN139" s="39"/>
      <c r="EO139" s="39"/>
      <c r="EP139" s="39"/>
      <c r="EQ139" s="39"/>
      <c r="ER139" s="39"/>
      <c r="ES139" s="39"/>
      <c r="ET139" s="39"/>
      <c r="EU139" s="39"/>
      <c r="EV139" s="39"/>
      <c r="EW139" s="39"/>
      <c r="EX139" s="39"/>
      <c r="EY139" s="39"/>
      <c r="EZ139" s="39"/>
      <c r="FA139" s="39"/>
      <c r="FB139" s="39"/>
      <c r="FC139" s="39"/>
      <c r="FD139" s="39"/>
      <c r="FE139" s="39"/>
      <c r="FF139" s="39"/>
      <c r="FG139" s="39"/>
      <c r="FH139" s="39"/>
      <c r="FI139" s="39"/>
      <c r="FJ139" s="39"/>
      <c r="FK139" s="39"/>
      <c r="FL139" s="39"/>
      <c r="FM139" s="39"/>
      <c r="FN139" s="39"/>
      <c r="FO139" s="39"/>
      <c r="FP139" s="39"/>
      <c r="FQ139" s="39"/>
      <c r="FR139" s="39"/>
      <c r="FS139" s="39"/>
      <c r="FT139" s="39"/>
      <c r="FU139" s="39"/>
      <c r="FV139" s="39"/>
      <c r="FW139" s="39"/>
      <c r="FX139" s="39"/>
      <c r="FY139" s="39"/>
      <c r="FZ139" s="39"/>
      <c r="GA139" s="39"/>
      <c r="GB139" s="39"/>
      <c r="GC139" s="39"/>
      <c r="GD139" s="39"/>
      <c r="GE139" s="39"/>
      <c r="GF139" s="39"/>
      <c r="GG139" s="39"/>
      <c r="GH139" s="39"/>
      <c r="GI139" s="39"/>
      <c r="GJ139" s="39"/>
      <c r="GK139" s="39"/>
      <c r="GL139" s="39"/>
      <c r="GM139" s="39"/>
      <c r="GN139" s="39"/>
      <c r="GO139" s="39"/>
      <c r="GP139" s="39"/>
      <c r="GQ139" s="39"/>
      <c r="GR139" s="39"/>
      <c r="GS139" s="39"/>
      <c r="GT139" s="39"/>
      <c r="GU139" s="39"/>
      <c r="GV139" s="39"/>
      <c r="GW139" s="39"/>
      <c r="GX139" s="39"/>
      <c r="GY139" s="39"/>
      <c r="GZ139" s="39"/>
      <c r="HA139" s="39"/>
      <c r="HB139" s="39"/>
      <c r="HC139" s="39"/>
      <c r="HD139" s="39"/>
      <c r="HE139" s="39"/>
      <c r="HF139" s="39"/>
      <c r="HG139" s="39"/>
      <c r="HH139" s="39"/>
      <c r="HI139" s="39"/>
      <c r="HJ139" s="39"/>
      <c r="HK139" s="39"/>
      <c r="HL139" s="39"/>
      <c r="HM139" s="39"/>
      <c r="HN139" s="39"/>
      <c r="HO139" s="39"/>
      <c r="HP139" s="39"/>
      <c r="HQ139" s="39"/>
      <c r="HR139" s="39"/>
      <c r="HS139" s="39"/>
      <c r="HT139" s="39"/>
      <c r="HU139" s="39"/>
      <c r="HV139" s="39"/>
      <c r="HW139" s="39"/>
      <c r="HX139" s="39"/>
      <c r="HY139" s="39"/>
      <c r="HZ139" s="39"/>
      <c r="IA139" s="39"/>
      <c r="IB139" s="39"/>
      <c r="IC139" s="39"/>
      <c r="ID139" s="39"/>
      <c r="IE139" s="39"/>
      <c r="IF139" s="39"/>
      <c r="IG139" s="39"/>
      <c r="IH139" s="39"/>
      <c r="II139" s="39"/>
      <c r="IJ139" s="39"/>
      <c r="IK139" s="39"/>
      <c r="IL139" s="39"/>
      <c r="IM139" s="39"/>
      <c r="IN139" s="39"/>
      <c r="IO139" s="39"/>
      <c r="IP139" s="39"/>
      <c r="IQ139" s="39"/>
      <c r="IR139" s="39"/>
      <c r="IS139" s="39"/>
      <c r="IT139" s="39"/>
      <c r="IU139" s="39"/>
      <c r="IV139" s="39"/>
      <c r="IW139" s="39"/>
    </row>
    <row r="140" customFormat="false" ht="12.95" hidden="false" customHeight="true" outlineLevel="0" collapsed="false">
      <c r="A140" s="37" t="n">
        <f aca="false">+'CCs # Master'!A56</f>
        <v>11</v>
      </c>
      <c r="B140" s="39" t="str">
        <f aca="false">+'CCs # Master'!B56</f>
        <v>United Way Campaign</v>
      </c>
      <c r="C140" s="39" t="str">
        <f aca="false">+'CCs # Master'!C56</f>
        <v>Olson, Cindy</v>
      </c>
      <c r="D140" s="96" t="n">
        <f aca="false">+'CCs # Master'!D56</f>
        <v>100069</v>
      </c>
      <c r="E140" s="39" t="n">
        <f aca="false">+'CCs # Master'!E56</f>
        <v>0</v>
      </c>
      <c r="F140" s="39" t="n">
        <f aca="false">+'CCs # Master'!F56</f>
        <v>0</v>
      </c>
      <c r="G140" s="39" t="n">
        <f aca="false">+'CCs # Master'!G56</f>
        <v>0</v>
      </c>
      <c r="H140" s="39" t="n">
        <f aca="false">+'CCs # Master'!H56</f>
        <v>0</v>
      </c>
      <c r="I140" s="39" t="n">
        <f aca="false">+'CCs # Master'!I56</f>
        <v>0</v>
      </c>
      <c r="J140" s="39" t="n">
        <f aca="false">+'CCs # Master'!J56</f>
        <v>3000</v>
      </c>
      <c r="K140" s="71" t="n">
        <f aca="false">SUM(E140:J140)</f>
        <v>3000</v>
      </c>
      <c r="L140" s="39"/>
      <c r="M140" s="39" t="str">
        <f aca="false">+'CCs # Master'!M56</f>
        <v>Estimated on 2000 Matching</v>
      </c>
      <c r="N140" s="39" t="n">
        <f aca="false">+'CCs # Master'!AW56</f>
        <v>304</v>
      </c>
      <c r="O140" s="39" t="n">
        <v>0</v>
      </c>
      <c r="P140" s="39" t="n">
        <f aca="false">+'CCs # Master'!N56</f>
        <v>48</v>
      </c>
      <c r="Q140" s="39" t="n">
        <f aca="false">+'CCs # Master'!O56</f>
        <v>90</v>
      </c>
      <c r="R140" s="39" t="n">
        <f aca="false">+'CCs # Master'!P56</f>
        <v>96</v>
      </c>
      <c r="S140" s="39" t="n">
        <f aca="false">+'CCs # Master'!Q56</f>
        <v>102</v>
      </c>
      <c r="T140" s="39" t="n">
        <f aca="false">+'CCs # Master'!R56</f>
        <v>9</v>
      </c>
      <c r="U140" s="39" t="n">
        <f aca="false">+'CCs # Master'!S56</f>
        <v>0</v>
      </c>
      <c r="V140" s="39" t="n">
        <f aca="false">+'CCs # Master'!T56</f>
        <v>54</v>
      </c>
      <c r="W140" s="39" t="n">
        <f aca="false">+'CCs # Master'!U56</f>
        <v>350</v>
      </c>
      <c r="X140" s="39" t="n">
        <f aca="false">+'CCs # Master'!V56</f>
        <v>68</v>
      </c>
      <c r="Y140" s="39" t="n">
        <f aca="false">+'CCs # Master'!W56</f>
        <v>27</v>
      </c>
      <c r="Z140" s="39" t="n">
        <f aca="false">+'CCs # Master'!X56</f>
        <v>488</v>
      </c>
      <c r="AA140" s="39" t="n">
        <f aca="false">+'CCs # Master'!Y56</f>
        <v>4</v>
      </c>
      <c r="AB140" s="39" t="n">
        <f aca="false">+'CCs # Master'!Z56</f>
        <v>54</v>
      </c>
      <c r="AC140" s="39" t="n">
        <f aca="false">+'CCs # Master'!AA56</f>
        <v>11</v>
      </c>
      <c r="AD140" s="39" t="n">
        <f aca="false">+'CCs # Master'!AB56</f>
        <v>3</v>
      </c>
      <c r="AE140" s="39" t="n">
        <f aca="false">+'CCs # Master'!AC56</f>
        <v>22</v>
      </c>
      <c r="AF140" s="39" t="n">
        <f aca="false">+'CCs # Master'!AD56</f>
        <v>434</v>
      </c>
      <c r="AG140" s="39" t="n">
        <f aca="false">+'CCs # Master'!AE56</f>
        <v>347</v>
      </c>
      <c r="AH140" s="39" t="n">
        <f aca="false">+'CCs # Master'!AF56</f>
        <v>5</v>
      </c>
      <c r="AI140" s="39" t="n">
        <f aca="false">+'CCs # Master'!AG56</f>
        <v>0</v>
      </c>
      <c r="AJ140" s="39" t="n">
        <f aca="false">+'CCs # Master'!AH56</f>
        <v>24</v>
      </c>
      <c r="AK140" s="39" t="n">
        <f aca="false">+'CCs # Master'!AI56</f>
        <v>23</v>
      </c>
      <c r="AL140" s="39" t="n">
        <f aca="false">+'CCs # Master'!AJ56</f>
        <v>11</v>
      </c>
      <c r="AM140" s="39" t="n">
        <f aca="false">+'CCs # Master'!AK56</f>
        <v>28</v>
      </c>
      <c r="AN140" s="39" t="n">
        <f aca="false">+'CCs # Master'!AL56</f>
        <v>10</v>
      </c>
      <c r="AO140" s="39" t="n">
        <f aca="false">+'CCs # Master'!AM56</f>
        <v>223</v>
      </c>
      <c r="AP140" s="39" t="n">
        <f aca="false">+'CCs # Master'!AN56</f>
        <v>0</v>
      </c>
      <c r="AQ140" s="39" t="n">
        <f aca="false">+'CCs # Master'!AO56</f>
        <v>130</v>
      </c>
      <c r="AR140" s="39" t="n">
        <f aca="false">+'CCs # Master'!AP56</f>
        <v>35</v>
      </c>
      <c r="AS140" s="39" t="n">
        <f aca="false">+'CCs # Master'!AQ56</f>
        <v>0</v>
      </c>
      <c r="AT140" s="39" t="n">
        <f aca="false">+'CCs # Master'!AR56</f>
        <v>0</v>
      </c>
      <c r="AU140" s="39" t="n">
        <f aca="false">+'CCs # Master'!AS56</f>
        <v>0</v>
      </c>
      <c r="AV140" s="39" t="n">
        <f aca="false">+'CCs # Master'!AT56</f>
        <v>0</v>
      </c>
      <c r="AW140" s="100"/>
      <c r="AX140" s="71" t="n">
        <f aca="false">SUM(N140:AW140)</f>
        <v>3000</v>
      </c>
      <c r="AY140" s="71" t="n">
        <f aca="false">+K140-AX140</f>
        <v>0</v>
      </c>
      <c r="AZ140" s="39"/>
      <c r="BA140" s="39" t="n">
        <f aca="false">+P140+Q140+T140+U140+V140+W140+X140+Y140</f>
        <v>646</v>
      </c>
      <c r="BB140" s="39" t="n">
        <f aca="false">N140</f>
        <v>304</v>
      </c>
      <c r="BC140" s="39" t="n">
        <f aca="false">SUM(P140:AW140)</f>
        <v>2696</v>
      </c>
      <c r="BD140" s="39"/>
      <c r="BE140" s="39" t="n">
        <f aca="false">SUM(BB140:BC140)</f>
        <v>3000</v>
      </c>
      <c r="BF140" s="39"/>
      <c r="BG140" s="48" t="n">
        <f aca="false">SUM(N140:AW140)</f>
        <v>3000</v>
      </c>
      <c r="BH140" s="39" t="n">
        <f aca="false">BE140-BG140</f>
        <v>0</v>
      </c>
      <c r="BI140" s="39"/>
      <c r="BJ140" s="39"/>
      <c r="BK140" s="39"/>
      <c r="BL140" s="39"/>
      <c r="BM140" s="39"/>
      <c r="BN140" s="39"/>
      <c r="BO140" s="39"/>
      <c r="BP140" s="39"/>
      <c r="BQ140" s="39"/>
      <c r="BR140" s="39"/>
      <c r="BS140" s="39"/>
      <c r="BT140" s="39"/>
      <c r="BU140" s="39"/>
      <c r="BV140" s="39"/>
      <c r="BW140" s="39"/>
      <c r="BX140" s="39"/>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c r="DO140" s="39"/>
      <c r="DP140" s="39"/>
      <c r="DQ140" s="39"/>
      <c r="DR140" s="39"/>
      <c r="DS140" s="39"/>
      <c r="DT140" s="39"/>
      <c r="DU140" s="39"/>
      <c r="DV140" s="39"/>
      <c r="DW140" s="39"/>
      <c r="DX140" s="39"/>
      <c r="DY140" s="39"/>
      <c r="DZ140" s="39"/>
      <c r="EA140" s="39"/>
      <c r="EB140" s="39"/>
      <c r="EC140" s="39"/>
      <c r="ED140" s="39"/>
      <c r="EE140" s="39"/>
      <c r="EF140" s="39"/>
      <c r="EG140" s="39"/>
      <c r="EH140" s="39"/>
      <c r="EI140" s="39"/>
      <c r="EJ140" s="39"/>
      <c r="EK140" s="39"/>
      <c r="EL140" s="39"/>
      <c r="EM140" s="39"/>
      <c r="EN140" s="39"/>
      <c r="EO140" s="39"/>
      <c r="EP140" s="39"/>
      <c r="EQ140" s="39"/>
      <c r="ER140" s="39"/>
      <c r="ES140" s="39"/>
      <c r="ET140" s="39"/>
      <c r="EU140" s="39"/>
      <c r="EV140" s="39"/>
      <c r="EW140" s="39"/>
      <c r="EX140" s="39"/>
      <c r="EY140" s="39"/>
      <c r="EZ140" s="39"/>
      <c r="FA140" s="39"/>
      <c r="FB140" s="39"/>
      <c r="FC140" s="39"/>
      <c r="FD140" s="39"/>
      <c r="FE140" s="39"/>
      <c r="FF140" s="39"/>
      <c r="FG140" s="39"/>
      <c r="FH140" s="39"/>
      <c r="FI140" s="39"/>
      <c r="FJ140" s="39"/>
      <c r="FK140" s="39"/>
      <c r="FL140" s="39"/>
      <c r="FM140" s="39"/>
      <c r="FN140" s="39"/>
      <c r="FO140" s="39"/>
      <c r="FP140" s="39"/>
      <c r="FQ140" s="39"/>
      <c r="FR140" s="39"/>
      <c r="FS140" s="39"/>
      <c r="FT140" s="39"/>
      <c r="FU140" s="39"/>
      <c r="FV140" s="39"/>
      <c r="FW140" s="39"/>
      <c r="FX140" s="39"/>
      <c r="FY140" s="39"/>
      <c r="FZ140" s="39"/>
      <c r="GA140" s="39"/>
      <c r="GB140" s="39"/>
      <c r="GC140" s="39"/>
      <c r="GD140" s="39"/>
      <c r="GE140" s="39"/>
      <c r="GF140" s="39"/>
      <c r="GG140" s="39"/>
      <c r="GH140" s="39"/>
      <c r="GI140" s="39"/>
      <c r="GJ140" s="39"/>
      <c r="GK140" s="39"/>
      <c r="GL140" s="39"/>
      <c r="GM140" s="39"/>
      <c r="GN140" s="39"/>
      <c r="GO140" s="39"/>
      <c r="GP140" s="39"/>
      <c r="GQ140" s="39"/>
      <c r="GR140" s="39"/>
      <c r="GS140" s="39"/>
      <c r="GT140" s="39"/>
      <c r="GU140" s="39"/>
      <c r="GV140" s="39"/>
      <c r="GW140" s="39"/>
      <c r="GX140" s="39"/>
      <c r="GY140" s="39"/>
      <c r="GZ140" s="39"/>
      <c r="HA140" s="39"/>
      <c r="HB140" s="39"/>
      <c r="HC140" s="39"/>
      <c r="HD140" s="39"/>
      <c r="HE140" s="39"/>
      <c r="HF140" s="39"/>
      <c r="HG140" s="39"/>
      <c r="HH140" s="39"/>
      <c r="HI140" s="39"/>
      <c r="HJ140" s="39"/>
      <c r="HK140" s="39"/>
      <c r="HL140" s="39"/>
      <c r="HM140" s="39"/>
      <c r="HN140" s="39"/>
      <c r="HO140" s="39"/>
      <c r="HP140" s="39"/>
      <c r="HQ140" s="39"/>
      <c r="HR140" s="39"/>
      <c r="HS140" s="39"/>
      <c r="HT140" s="39"/>
      <c r="HU140" s="39"/>
      <c r="HV140" s="39"/>
      <c r="HW140" s="39"/>
      <c r="HX140" s="39"/>
      <c r="HY140" s="39"/>
      <c r="HZ140" s="39"/>
      <c r="IA140" s="39"/>
      <c r="IB140" s="39"/>
      <c r="IC140" s="39"/>
      <c r="ID140" s="39"/>
      <c r="IE140" s="39"/>
      <c r="IF140" s="39"/>
      <c r="IG140" s="39"/>
      <c r="IH140" s="39"/>
      <c r="II140" s="39"/>
      <c r="IJ140" s="39"/>
      <c r="IK140" s="39"/>
      <c r="IL140" s="39"/>
      <c r="IM140" s="39"/>
      <c r="IN140" s="39"/>
      <c r="IO140" s="39"/>
      <c r="IP140" s="39"/>
      <c r="IQ140" s="39"/>
      <c r="IR140" s="39"/>
      <c r="IS140" s="39"/>
      <c r="IT140" s="39"/>
      <c r="IU140" s="39"/>
      <c r="IV140" s="39"/>
      <c r="IW140" s="39"/>
    </row>
    <row r="141" customFormat="false" ht="12.95" hidden="false" customHeight="true" outlineLevel="0" collapsed="false">
      <c r="A141" s="37" t="n">
        <f aca="false">+'CCs # Master'!A57</f>
        <v>11</v>
      </c>
      <c r="B141" s="39" t="str">
        <f aca="false">+'CCs # Master'!B57</f>
        <v>Community Relations - Employee Events</v>
      </c>
      <c r="C141" s="39" t="str">
        <f aca="false">+'CCs # Master'!C57</f>
        <v>Olson, Cindy</v>
      </c>
      <c r="D141" s="96" t="n">
        <f aca="false">+'CCs # Master'!D57</f>
        <v>100070</v>
      </c>
      <c r="E141" s="39" t="n">
        <f aca="false">+'CCs # Master'!E57</f>
        <v>0</v>
      </c>
      <c r="F141" s="39" t="n">
        <f aca="false">+'CCs # Master'!F57</f>
        <v>0</v>
      </c>
      <c r="G141" s="39" t="n">
        <f aca="false">+'CCs # Master'!G57</f>
        <v>0</v>
      </c>
      <c r="H141" s="39" t="n">
        <f aca="false">+'CCs # Master'!H57</f>
        <v>0</v>
      </c>
      <c r="I141" s="39" t="n">
        <f aca="false">+'CCs # Master'!I57</f>
        <v>0</v>
      </c>
      <c r="J141" s="39" t="n">
        <f aca="false">+'CCs # Master'!J57</f>
        <v>486</v>
      </c>
      <c r="K141" s="71" t="n">
        <f aca="false">SUM(E141:J141)</f>
        <v>486</v>
      </c>
      <c r="L141" s="39"/>
      <c r="M141" s="39" t="str">
        <f aca="false">+'CCs # Master'!M57</f>
        <v>% of DT Headcount</v>
      </c>
      <c r="N141" s="39" t="n">
        <f aca="false">+'CCs # Master'!AW57</f>
        <v>486</v>
      </c>
      <c r="O141" s="39" t="n">
        <v>0</v>
      </c>
      <c r="P141" s="39" t="n">
        <f aca="false">+'CCs # Master'!N57</f>
        <v>0</v>
      </c>
      <c r="Q141" s="39" t="n">
        <f aca="false">+'CCs # Master'!O57</f>
        <v>0</v>
      </c>
      <c r="R141" s="39" t="n">
        <f aca="false">+'CCs # Master'!P57</f>
        <v>0</v>
      </c>
      <c r="S141" s="39" t="n">
        <f aca="false">+'CCs # Master'!Q57</f>
        <v>0</v>
      </c>
      <c r="T141" s="39" t="n">
        <f aca="false">+'CCs # Master'!R57</f>
        <v>0</v>
      </c>
      <c r="U141" s="39" t="n">
        <f aca="false">+'CCs # Master'!S57</f>
        <v>0</v>
      </c>
      <c r="V141" s="39" t="n">
        <f aca="false">+'CCs # Master'!T57</f>
        <v>0</v>
      </c>
      <c r="W141" s="39" t="n">
        <f aca="false">+'CCs # Master'!U57</f>
        <v>0</v>
      </c>
      <c r="X141" s="39" t="n">
        <f aca="false">+'CCs # Master'!V57</f>
        <v>0</v>
      </c>
      <c r="Y141" s="39" t="n">
        <f aca="false">+'CCs # Master'!W57</f>
        <v>0</v>
      </c>
      <c r="Z141" s="39" t="n">
        <f aca="false">+'CCs # Master'!X57</f>
        <v>0</v>
      </c>
      <c r="AA141" s="39" t="n">
        <f aca="false">+'CCs # Master'!Y57</f>
        <v>0</v>
      </c>
      <c r="AB141" s="39" t="n">
        <f aca="false">+'CCs # Master'!Z57</f>
        <v>0</v>
      </c>
      <c r="AC141" s="39" t="n">
        <f aca="false">+'CCs # Master'!AA57</f>
        <v>0</v>
      </c>
      <c r="AD141" s="39" t="n">
        <f aca="false">+'CCs # Master'!AB57</f>
        <v>0</v>
      </c>
      <c r="AE141" s="39" t="n">
        <f aca="false">+'CCs # Master'!AC57</f>
        <v>0</v>
      </c>
      <c r="AF141" s="39" t="n">
        <f aca="false">+'CCs # Master'!AD57</f>
        <v>0</v>
      </c>
      <c r="AG141" s="39" t="n">
        <f aca="false">+'CCs # Master'!AE57</f>
        <v>0</v>
      </c>
      <c r="AH141" s="39" t="n">
        <f aca="false">+'CCs # Master'!AF57</f>
        <v>0</v>
      </c>
      <c r="AI141" s="39" t="n">
        <f aca="false">+'CCs # Master'!AG57</f>
        <v>0</v>
      </c>
      <c r="AJ141" s="39" t="n">
        <f aca="false">+'CCs # Master'!AH57</f>
        <v>0</v>
      </c>
      <c r="AK141" s="39" t="n">
        <f aca="false">+'CCs # Master'!AI57</f>
        <v>0</v>
      </c>
      <c r="AL141" s="39" t="n">
        <f aca="false">+'CCs # Master'!AJ57</f>
        <v>0</v>
      </c>
      <c r="AM141" s="39" t="n">
        <f aca="false">+'CCs # Master'!AK57</f>
        <v>0</v>
      </c>
      <c r="AN141" s="39" t="n">
        <f aca="false">+'CCs # Master'!AL57</f>
        <v>0</v>
      </c>
      <c r="AO141" s="39" t="n">
        <f aca="false">+'CCs # Master'!AM57</f>
        <v>0</v>
      </c>
      <c r="AP141" s="39" t="n">
        <f aca="false">+'CCs # Master'!AN57</f>
        <v>0</v>
      </c>
      <c r="AQ141" s="39" t="n">
        <f aca="false">+'CCs # Master'!AO57</f>
        <v>0</v>
      </c>
      <c r="AR141" s="39" t="n">
        <f aca="false">+'CCs # Master'!AP57</f>
        <v>0</v>
      </c>
      <c r="AS141" s="39" t="n">
        <f aca="false">+'CCs # Master'!AQ57</f>
        <v>0</v>
      </c>
      <c r="AT141" s="39" t="n">
        <f aca="false">+'CCs # Master'!AR57</f>
        <v>0</v>
      </c>
      <c r="AU141" s="39" t="n">
        <f aca="false">+'CCs # Master'!AS57</f>
        <v>0</v>
      </c>
      <c r="AV141" s="39" t="n">
        <f aca="false">+'CCs # Master'!AT57</f>
        <v>0</v>
      </c>
      <c r="AW141" s="100"/>
      <c r="AX141" s="71" t="n">
        <f aca="false">SUM(N141:AW141)</f>
        <v>486</v>
      </c>
      <c r="AY141" s="71" t="n">
        <f aca="false">+K141-AX141</f>
        <v>0</v>
      </c>
      <c r="AZ141" s="39"/>
      <c r="BA141" s="39" t="n">
        <f aca="false">+P141+Q141+T141+U141+V141+W141+X141+Y141</f>
        <v>0</v>
      </c>
      <c r="BB141" s="39" t="n">
        <f aca="false">N141</f>
        <v>486</v>
      </c>
      <c r="BC141" s="39" t="n">
        <f aca="false">SUM(P141:AW141)</f>
        <v>0</v>
      </c>
      <c r="BD141" s="39"/>
      <c r="BE141" s="39" t="n">
        <f aca="false">SUM(BB141:BC141)</f>
        <v>486</v>
      </c>
      <c r="BF141" s="39"/>
      <c r="BG141" s="48" t="n">
        <f aca="false">SUM(N141:AW141)</f>
        <v>486</v>
      </c>
      <c r="BH141" s="39" t="n">
        <f aca="false">BE141-BG141</f>
        <v>0</v>
      </c>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c r="GI141" s="39"/>
      <c r="GJ141" s="39"/>
      <c r="GK141" s="39"/>
      <c r="GL141" s="39"/>
      <c r="GM141" s="39"/>
      <c r="GN141" s="39"/>
      <c r="GO141" s="39"/>
      <c r="GP141" s="39"/>
      <c r="GQ141" s="39"/>
      <c r="GR141" s="39"/>
      <c r="GS141" s="39"/>
      <c r="GT141" s="39"/>
      <c r="GU141" s="39"/>
      <c r="GV141" s="39"/>
      <c r="GW141" s="39"/>
      <c r="GX141" s="39"/>
      <c r="GY141" s="39"/>
      <c r="GZ141" s="39"/>
      <c r="HA141" s="39"/>
      <c r="HB141" s="39"/>
      <c r="HC141" s="39"/>
      <c r="HD141" s="39"/>
      <c r="HE141" s="39"/>
      <c r="HF141" s="39"/>
      <c r="HG141" s="39"/>
      <c r="HH141" s="39"/>
      <c r="HI141" s="39"/>
      <c r="HJ141" s="39"/>
      <c r="HK141" s="39"/>
      <c r="HL141" s="39"/>
      <c r="HM141" s="39"/>
      <c r="HN141" s="39"/>
      <c r="HO141" s="39"/>
      <c r="HP141" s="39"/>
      <c r="HQ141" s="39"/>
      <c r="HR141" s="39"/>
      <c r="HS141" s="39"/>
      <c r="HT141" s="39"/>
      <c r="HU141" s="39"/>
      <c r="HV141" s="39"/>
      <c r="HW141" s="39"/>
      <c r="HX141" s="39"/>
      <c r="HY141" s="39"/>
      <c r="HZ141" s="39"/>
      <c r="IA141" s="39"/>
      <c r="IB141" s="39"/>
      <c r="IC141" s="39"/>
      <c r="ID141" s="39"/>
      <c r="IE141" s="39"/>
      <c r="IF141" s="39"/>
      <c r="IG141" s="39"/>
      <c r="IH141" s="39"/>
      <c r="II141" s="39"/>
      <c r="IJ141" s="39"/>
      <c r="IK141" s="39"/>
      <c r="IL141" s="39"/>
      <c r="IM141" s="39"/>
      <c r="IN141" s="39"/>
      <c r="IO141" s="39"/>
      <c r="IP141" s="39"/>
      <c r="IQ141" s="39"/>
      <c r="IR141" s="39"/>
      <c r="IS141" s="39"/>
      <c r="IT141" s="39"/>
      <c r="IU141" s="39"/>
      <c r="IV141" s="39"/>
      <c r="IW141" s="39"/>
    </row>
    <row r="142" customFormat="false" ht="12.95" hidden="false" customHeight="true" outlineLevel="0" collapsed="false">
      <c r="A142" s="37" t="n">
        <f aca="false">+'CCs # Master'!A91</f>
        <v>11</v>
      </c>
      <c r="B142" s="39" t="str">
        <f aca="false">+'CCs # Master'!B91</f>
        <v>Corporate Contributions</v>
      </c>
      <c r="C142" s="39" t="str">
        <f aca="false">+'CCs # Master'!C91</f>
        <v>Olson, Cindy</v>
      </c>
      <c r="D142" s="96" t="n">
        <f aca="false">+'CCs # Master'!D91</f>
        <v>100133</v>
      </c>
      <c r="E142" s="39" t="n">
        <f aca="false">+'CCs # Master'!E91</f>
        <v>0</v>
      </c>
      <c r="F142" s="39" t="n">
        <f aca="false">+'CCs # Master'!F91</f>
        <v>0</v>
      </c>
      <c r="G142" s="39" t="n">
        <f aca="false">+'CCs # Master'!G91</f>
        <v>0</v>
      </c>
      <c r="H142" s="39" t="n">
        <f aca="false">+'CCs # Master'!H91</f>
        <v>0</v>
      </c>
      <c r="I142" s="39" t="n">
        <f aca="false">+'CCs # Master'!I91</f>
        <v>0</v>
      </c>
      <c r="J142" s="39" t="n">
        <f aca="false">+'CCs # Master'!J91</f>
        <v>4265</v>
      </c>
      <c r="K142" s="71" t="n">
        <f aca="false">SUM(E142:J142)</f>
        <v>4265</v>
      </c>
      <c r="L142" s="39"/>
      <c r="M142" s="39" t="str">
        <f aca="false">+'CCs # Master'!M91</f>
        <v>Retained At Corp</v>
      </c>
      <c r="N142" s="39" t="n">
        <f aca="false">+'CCs # Master'!AW91</f>
        <v>4265</v>
      </c>
      <c r="O142" s="39" t="n">
        <v>0</v>
      </c>
      <c r="P142" s="39" t="n">
        <f aca="false">+'CCs # Master'!N91</f>
        <v>0</v>
      </c>
      <c r="Q142" s="39" t="n">
        <f aca="false">+'CCs # Master'!O91</f>
        <v>0</v>
      </c>
      <c r="R142" s="39" t="n">
        <f aca="false">+'CCs # Master'!P91</f>
        <v>0</v>
      </c>
      <c r="S142" s="39" t="n">
        <f aca="false">+'CCs # Master'!Q91</f>
        <v>0</v>
      </c>
      <c r="T142" s="39" t="n">
        <f aca="false">+'CCs # Master'!R91</f>
        <v>0</v>
      </c>
      <c r="U142" s="39" t="n">
        <f aca="false">+'CCs # Master'!S91</f>
        <v>0</v>
      </c>
      <c r="V142" s="39" t="n">
        <f aca="false">+'CCs # Master'!T91</f>
        <v>0</v>
      </c>
      <c r="W142" s="39" t="n">
        <f aca="false">+'CCs # Master'!U91</f>
        <v>0</v>
      </c>
      <c r="X142" s="39" t="n">
        <f aca="false">+'CCs # Master'!V91</f>
        <v>0</v>
      </c>
      <c r="Y142" s="39" t="n">
        <f aca="false">+'CCs # Master'!W91</f>
        <v>0</v>
      </c>
      <c r="Z142" s="39" t="n">
        <f aca="false">+'CCs # Master'!X91</f>
        <v>0</v>
      </c>
      <c r="AA142" s="39" t="n">
        <f aca="false">+'CCs # Master'!Y91</f>
        <v>0</v>
      </c>
      <c r="AB142" s="39" t="n">
        <f aca="false">+'CCs # Master'!Z91</f>
        <v>0</v>
      </c>
      <c r="AC142" s="39" t="n">
        <f aca="false">+'CCs # Master'!AA91</f>
        <v>0</v>
      </c>
      <c r="AD142" s="39" t="n">
        <f aca="false">+'CCs # Master'!AB91</f>
        <v>0</v>
      </c>
      <c r="AE142" s="39" t="n">
        <f aca="false">+'CCs # Master'!AC91</f>
        <v>0</v>
      </c>
      <c r="AF142" s="39" t="n">
        <f aca="false">+'CCs # Master'!AD91</f>
        <v>0</v>
      </c>
      <c r="AG142" s="39" t="n">
        <f aca="false">+'CCs # Master'!AE91</f>
        <v>0</v>
      </c>
      <c r="AH142" s="39" t="n">
        <f aca="false">+'CCs # Master'!AF91</f>
        <v>0</v>
      </c>
      <c r="AI142" s="39" t="n">
        <f aca="false">+'CCs # Master'!AG91</f>
        <v>0</v>
      </c>
      <c r="AJ142" s="39" t="n">
        <f aca="false">+'CCs # Master'!AH91</f>
        <v>0</v>
      </c>
      <c r="AK142" s="39" t="n">
        <f aca="false">+'CCs # Master'!AI91</f>
        <v>0</v>
      </c>
      <c r="AL142" s="39" t="n">
        <f aca="false">+'CCs # Master'!AJ91</f>
        <v>0</v>
      </c>
      <c r="AM142" s="39" t="n">
        <f aca="false">+'CCs # Master'!AK91</f>
        <v>0</v>
      </c>
      <c r="AN142" s="39" t="n">
        <f aca="false">+'CCs # Master'!AL91</f>
        <v>0</v>
      </c>
      <c r="AO142" s="39" t="n">
        <f aca="false">+'CCs # Master'!AM91</f>
        <v>0</v>
      </c>
      <c r="AP142" s="39" t="n">
        <f aca="false">+'CCs # Master'!AN91</f>
        <v>0</v>
      </c>
      <c r="AQ142" s="39" t="n">
        <f aca="false">+'CCs # Master'!AO91</f>
        <v>0</v>
      </c>
      <c r="AR142" s="39" t="n">
        <f aca="false">+'CCs # Master'!AP91</f>
        <v>0</v>
      </c>
      <c r="AS142" s="39" t="n">
        <f aca="false">+'CCs # Master'!AQ91</f>
        <v>0</v>
      </c>
      <c r="AT142" s="39" t="n">
        <f aca="false">+'CCs # Master'!AR91</f>
        <v>0</v>
      </c>
      <c r="AU142" s="39" t="n">
        <f aca="false">+'CCs # Master'!AS91</f>
        <v>0</v>
      </c>
      <c r="AV142" s="39" t="n">
        <f aca="false">+'CCs # Master'!AT91</f>
        <v>0</v>
      </c>
      <c r="AW142" s="100"/>
      <c r="AX142" s="71" t="n">
        <f aca="false">SUM(N142:AW142)</f>
        <v>4265</v>
      </c>
      <c r="AY142" s="71" t="n">
        <f aca="false">+K142-AX142</f>
        <v>0</v>
      </c>
      <c r="AZ142" s="39"/>
      <c r="BA142" s="39" t="n">
        <f aca="false">+P142+Q142+T142+U142+V142+W142+X142+Y142</f>
        <v>0</v>
      </c>
      <c r="BB142" s="39" t="n">
        <f aca="false">N142</f>
        <v>4265</v>
      </c>
      <c r="BC142" s="39" t="n">
        <f aca="false">SUM(P142:AW142)</f>
        <v>0</v>
      </c>
      <c r="BD142" s="39"/>
      <c r="BE142" s="39" t="n">
        <f aca="false">SUM(BB142:BC142)</f>
        <v>4265</v>
      </c>
      <c r="BF142" s="39"/>
      <c r="BG142" s="48" t="n">
        <f aca="false">SUM(N142:AW142)</f>
        <v>4265</v>
      </c>
      <c r="BH142" s="39" t="n">
        <f aca="false">BE142-BG142</f>
        <v>0</v>
      </c>
      <c r="BI142" s="39"/>
      <c r="BJ142" s="39"/>
      <c r="BK142" s="39"/>
      <c r="BL142" s="39"/>
      <c r="BM142" s="39"/>
      <c r="BN142" s="39"/>
      <c r="BO142" s="39"/>
      <c r="BP142" s="39"/>
      <c r="BQ142" s="39"/>
      <c r="BR142" s="39"/>
      <c r="BS142" s="39"/>
      <c r="BT142" s="39"/>
      <c r="BU142" s="39"/>
      <c r="BV142" s="39"/>
      <c r="BW142" s="39"/>
      <c r="BX142" s="39"/>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c r="DO142" s="39"/>
      <c r="DP142" s="39"/>
      <c r="DQ142" s="39"/>
      <c r="DR142" s="39"/>
      <c r="DS142" s="39"/>
      <c r="DT142" s="39"/>
      <c r="DU142" s="39"/>
      <c r="DV142" s="39"/>
      <c r="DW142" s="39"/>
      <c r="DX142" s="39"/>
      <c r="DY142" s="39"/>
      <c r="DZ142" s="39"/>
      <c r="EA142" s="39"/>
      <c r="EB142" s="39"/>
      <c r="EC142" s="39"/>
      <c r="ED142" s="39"/>
      <c r="EE142" s="39"/>
      <c r="EF142" s="39"/>
      <c r="EG142" s="39"/>
      <c r="EH142" s="39"/>
      <c r="EI142" s="39"/>
      <c r="EJ142" s="39"/>
      <c r="EK142" s="39"/>
      <c r="EL142" s="39"/>
      <c r="EM142" s="39"/>
      <c r="EN142" s="39"/>
      <c r="EO142" s="39"/>
      <c r="EP142" s="39"/>
      <c r="EQ142" s="39"/>
      <c r="ER142" s="39"/>
      <c r="ES142" s="39"/>
      <c r="ET142" s="39"/>
      <c r="EU142" s="39"/>
      <c r="EV142" s="39"/>
      <c r="EW142" s="39"/>
      <c r="EX142" s="39"/>
      <c r="EY142" s="39"/>
      <c r="EZ142" s="39"/>
      <c r="FA142" s="39"/>
      <c r="FB142" s="39"/>
      <c r="FC142" s="39"/>
      <c r="FD142" s="39"/>
      <c r="FE142" s="39"/>
      <c r="FF142" s="39"/>
      <c r="FG142" s="39"/>
      <c r="FH142" s="39"/>
      <c r="FI142" s="39"/>
      <c r="FJ142" s="39"/>
      <c r="FK142" s="39"/>
      <c r="FL142" s="39"/>
      <c r="FM142" s="39"/>
      <c r="FN142" s="39"/>
      <c r="FO142" s="39"/>
      <c r="FP142" s="39"/>
      <c r="FQ142" s="39"/>
      <c r="FR142" s="39"/>
      <c r="FS142" s="39"/>
      <c r="FT142" s="39"/>
      <c r="FU142" s="39"/>
      <c r="FV142" s="39"/>
      <c r="FW142" s="39"/>
      <c r="FX142" s="39"/>
      <c r="FY142" s="39"/>
      <c r="FZ142" s="39"/>
      <c r="GA142" s="39"/>
      <c r="GB142" s="39"/>
      <c r="GC142" s="39"/>
      <c r="GD142" s="39"/>
      <c r="GE142" s="39"/>
      <c r="GF142" s="39"/>
      <c r="GG142" s="39"/>
      <c r="GH142" s="39"/>
      <c r="GI142" s="39"/>
      <c r="GJ142" s="39"/>
      <c r="GK142" s="39"/>
      <c r="GL142" s="39"/>
      <c r="GM142" s="39"/>
      <c r="GN142" s="39"/>
      <c r="GO142" s="39"/>
      <c r="GP142" s="39"/>
      <c r="GQ142" s="39"/>
      <c r="GR142" s="39"/>
      <c r="GS142" s="39"/>
      <c r="GT142" s="39"/>
      <c r="GU142" s="39"/>
      <c r="GV142" s="39"/>
      <c r="GW142" s="39"/>
      <c r="GX142" s="39"/>
      <c r="GY142" s="39"/>
      <c r="GZ142" s="39"/>
      <c r="HA142" s="39"/>
      <c r="HB142" s="39"/>
      <c r="HC142" s="39"/>
      <c r="HD142" s="39"/>
      <c r="HE142" s="39"/>
      <c r="HF142" s="39"/>
      <c r="HG142" s="39"/>
      <c r="HH142" s="39"/>
      <c r="HI142" s="39"/>
      <c r="HJ142" s="39"/>
      <c r="HK142" s="39"/>
      <c r="HL142" s="39"/>
      <c r="HM142" s="39"/>
      <c r="HN142" s="39"/>
      <c r="HO142" s="39"/>
      <c r="HP142" s="39"/>
      <c r="HQ142" s="39"/>
      <c r="HR142" s="39"/>
      <c r="HS142" s="39"/>
      <c r="HT142" s="39"/>
      <c r="HU142" s="39"/>
      <c r="HV142" s="39"/>
      <c r="HW142" s="39"/>
      <c r="HX142" s="39"/>
      <c r="HY142" s="39"/>
      <c r="HZ142" s="39"/>
      <c r="IA142" s="39"/>
      <c r="IB142" s="39"/>
      <c r="IC142" s="39"/>
      <c r="ID142" s="39"/>
      <c r="IE142" s="39"/>
      <c r="IF142" s="39"/>
      <c r="IG142" s="39"/>
      <c r="IH142" s="39"/>
      <c r="II142" s="39"/>
      <c r="IJ142" s="39"/>
      <c r="IK142" s="39"/>
      <c r="IL142" s="39"/>
      <c r="IM142" s="39"/>
      <c r="IN142" s="39"/>
      <c r="IO142" s="39"/>
      <c r="IP142" s="39"/>
      <c r="IQ142" s="39"/>
      <c r="IR142" s="39"/>
      <c r="IS142" s="39"/>
      <c r="IT142" s="39"/>
      <c r="IU142" s="39"/>
      <c r="IV142" s="39"/>
      <c r="IW142" s="39"/>
    </row>
    <row r="143" customFormat="false" ht="12.95" hidden="false" customHeight="true" outlineLevel="0" collapsed="false">
      <c r="A143" s="37" t="n">
        <f aca="false">+'CCs # Master'!A92</f>
        <v>11</v>
      </c>
      <c r="B143" s="39" t="str">
        <f aca="false">+'CCs # Master'!B92</f>
        <v>Corporate Memberships</v>
      </c>
      <c r="C143" s="39" t="str">
        <f aca="false">+'CCs # Master'!C92</f>
        <v>Olson, Cindy</v>
      </c>
      <c r="D143" s="96" t="n">
        <f aca="false">+'CCs # Master'!D92</f>
        <v>100134</v>
      </c>
      <c r="E143" s="39" t="n">
        <f aca="false">+'CCs # Master'!E92</f>
        <v>0</v>
      </c>
      <c r="F143" s="39" t="n">
        <f aca="false">+'CCs # Master'!F92</f>
        <v>0</v>
      </c>
      <c r="G143" s="39" t="n">
        <f aca="false">+'CCs # Master'!G92</f>
        <v>0</v>
      </c>
      <c r="H143" s="39" t="n">
        <f aca="false">+'CCs # Master'!H92</f>
        <v>0</v>
      </c>
      <c r="I143" s="39" t="n">
        <f aca="false">+'CCs # Master'!I92</f>
        <v>0</v>
      </c>
      <c r="J143" s="39" t="n">
        <f aca="false">+'CCs # Master'!J92</f>
        <v>600</v>
      </c>
      <c r="K143" s="71" t="n">
        <f aca="false">SUM(E143:J143)</f>
        <v>600</v>
      </c>
      <c r="L143" s="39"/>
      <c r="M143" s="39" t="str">
        <f aca="false">+'CCs # Master'!M92</f>
        <v>% of Domestic Headcount</v>
      </c>
      <c r="N143" s="39" t="n">
        <f aca="false">+'CCs # Master'!AW92</f>
        <v>600</v>
      </c>
      <c r="O143" s="39" t="n">
        <v>0</v>
      </c>
      <c r="P143" s="39" t="n">
        <f aca="false">+'CCs # Master'!N92</f>
        <v>0</v>
      </c>
      <c r="Q143" s="39" t="n">
        <f aca="false">+'CCs # Master'!O92</f>
        <v>0</v>
      </c>
      <c r="R143" s="39" t="n">
        <f aca="false">+'CCs # Master'!P92</f>
        <v>0</v>
      </c>
      <c r="S143" s="39" t="n">
        <f aca="false">+'CCs # Master'!Q92</f>
        <v>0</v>
      </c>
      <c r="T143" s="39" t="n">
        <f aca="false">+'CCs # Master'!R92</f>
        <v>0</v>
      </c>
      <c r="U143" s="39" t="n">
        <f aca="false">+'CCs # Master'!S92</f>
        <v>0</v>
      </c>
      <c r="V143" s="39" t="n">
        <f aca="false">+'CCs # Master'!T92</f>
        <v>0</v>
      </c>
      <c r="W143" s="39" t="n">
        <f aca="false">+'CCs # Master'!U92</f>
        <v>0</v>
      </c>
      <c r="X143" s="39" t="n">
        <f aca="false">+'CCs # Master'!V92</f>
        <v>0</v>
      </c>
      <c r="Y143" s="39" t="n">
        <f aca="false">+'CCs # Master'!W92</f>
        <v>0</v>
      </c>
      <c r="Z143" s="39" t="n">
        <f aca="false">+'CCs # Master'!X92</f>
        <v>0</v>
      </c>
      <c r="AA143" s="39" t="n">
        <f aca="false">+'CCs # Master'!Y92</f>
        <v>0</v>
      </c>
      <c r="AB143" s="39" t="n">
        <f aca="false">+'CCs # Master'!Z92</f>
        <v>0</v>
      </c>
      <c r="AC143" s="39" t="n">
        <f aca="false">+'CCs # Master'!AA92</f>
        <v>0</v>
      </c>
      <c r="AD143" s="39" t="n">
        <f aca="false">+'CCs # Master'!AB92</f>
        <v>0</v>
      </c>
      <c r="AE143" s="39" t="n">
        <f aca="false">+'CCs # Master'!AC92</f>
        <v>0</v>
      </c>
      <c r="AF143" s="39" t="n">
        <f aca="false">+'CCs # Master'!AD92</f>
        <v>0</v>
      </c>
      <c r="AG143" s="39" t="n">
        <f aca="false">+'CCs # Master'!AE92</f>
        <v>0</v>
      </c>
      <c r="AH143" s="39" t="n">
        <f aca="false">+'CCs # Master'!AF92</f>
        <v>0</v>
      </c>
      <c r="AI143" s="39" t="n">
        <f aca="false">+'CCs # Master'!AG92</f>
        <v>0</v>
      </c>
      <c r="AJ143" s="39" t="n">
        <f aca="false">+'CCs # Master'!AH92</f>
        <v>0</v>
      </c>
      <c r="AK143" s="39" t="n">
        <f aca="false">+'CCs # Master'!AI92</f>
        <v>0</v>
      </c>
      <c r="AL143" s="39" t="n">
        <f aca="false">+'CCs # Master'!AJ92</f>
        <v>0</v>
      </c>
      <c r="AM143" s="39" t="n">
        <f aca="false">+'CCs # Master'!AK92</f>
        <v>0</v>
      </c>
      <c r="AN143" s="39" t="n">
        <f aca="false">+'CCs # Master'!AL92</f>
        <v>0</v>
      </c>
      <c r="AO143" s="39" t="n">
        <f aca="false">+'CCs # Master'!AM92</f>
        <v>0</v>
      </c>
      <c r="AP143" s="39" t="n">
        <f aca="false">+'CCs # Master'!AN92</f>
        <v>0</v>
      </c>
      <c r="AQ143" s="39" t="n">
        <f aca="false">+'CCs # Master'!AO92</f>
        <v>0</v>
      </c>
      <c r="AR143" s="39" t="n">
        <f aca="false">+'CCs # Master'!AP92</f>
        <v>0</v>
      </c>
      <c r="AS143" s="39" t="n">
        <f aca="false">+'CCs # Master'!AQ92</f>
        <v>0</v>
      </c>
      <c r="AT143" s="39" t="n">
        <f aca="false">+'CCs # Master'!AR92</f>
        <v>0</v>
      </c>
      <c r="AU143" s="39" t="n">
        <f aca="false">+'CCs # Master'!AS92</f>
        <v>0</v>
      </c>
      <c r="AV143" s="39" t="n">
        <f aca="false">+'CCs # Master'!AT92</f>
        <v>0</v>
      </c>
      <c r="AW143" s="100"/>
      <c r="AX143" s="71" t="n">
        <f aca="false">SUM(N143:AW143)</f>
        <v>600</v>
      </c>
      <c r="AY143" s="71" t="n">
        <f aca="false">+K143-AX143</f>
        <v>0</v>
      </c>
      <c r="AZ143" s="39"/>
      <c r="BA143" s="39" t="n">
        <f aca="false">+P143+Q143+T143+U143+V143+W143+X143+Y143</f>
        <v>0</v>
      </c>
      <c r="BB143" s="39" t="n">
        <f aca="false">N143</f>
        <v>600</v>
      </c>
      <c r="BC143" s="39" t="n">
        <f aca="false">SUM(P143:AW143)</f>
        <v>0</v>
      </c>
      <c r="BD143" s="39"/>
      <c r="BE143" s="39" t="n">
        <f aca="false">SUM(BB143:BC143)</f>
        <v>600</v>
      </c>
      <c r="BF143" s="39"/>
      <c r="BG143" s="48" t="n">
        <f aca="false">SUM(N143:AW143)</f>
        <v>600</v>
      </c>
      <c r="BH143" s="39" t="n">
        <f aca="false">BE143-BG143</f>
        <v>0</v>
      </c>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39"/>
      <c r="GM143" s="39"/>
      <c r="GN143" s="39"/>
      <c r="GO143" s="39"/>
      <c r="GP143" s="39"/>
      <c r="GQ143" s="39"/>
      <c r="GR143" s="39"/>
      <c r="GS143" s="39"/>
      <c r="GT143" s="39"/>
      <c r="GU143" s="39"/>
      <c r="GV143" s="39"/>
      <c r="GW143" s="39"/>
      <c r="GX143" s="39"/>
      <c r="GY143" s="39"/>
      <c r="GZ143" s="39"/>
      <c r="HA143" s="39"/>
      <c r="HB143" s="39"/>
      <c r="HC143" s="39"/>
      <c r="HD143" s="39"/>
      <c r="HE143" s="39"/>
      <c r="HF143" s="39"/>
      <c r="HG143" s="39"/>
      <c r="HH143" s="39"/>
      <c r="HI143" s="39"/>
      <c r="HJ143" s="39"/>
      <c r="HK143" s="39"/>
      <c r="HL143" s="39"/>
      <c r="HM143" s="39"/>
      <c r="HN143" s="39"/>
      <c r="HO143" s="39"/>
      <c r="HP143" s="39"/>
      <c r="HQ143" s="39"/>
      <c r="HR143" s="39"/>
      <c r="HS143" s="39"/>
      <c r="HT143" s="39"/>
      <c r="HU143" s="39"/>
      <c r="HV143" s="39"/>
      <c r="HW143" s="39"/>
      <c r="HX143" s="39"/>
      <c r="HY143" s="39"/>
      <c r="HZ143" s="39"/>
      <c r="IA143" s="39"/>
      <c r="IB143" s="39"/>
      <c r="IC143" s="39"/>
      <c r="ID143" s="39"/>
      <c r="IE143" s="39"/>
      <c r="IF143" s="39"/>
      <c r="IG143" s="39"/>
      <c r="IH143" s="39"/>
      <c r="II143" s="39"/>
      <c r="IJ143" s="39"/>
      <c r="IK143" s="39"/>
      <c r="IL143" s="39"/>
      <c r="IM143" s="39"/>
      <c r="IN143" s="39"/>
      <c r="IO143" s="39"/>
      <c r="IP143" s="39"/>
      <c r="IQ143" s="39"/>
      <c r="IR143" s="39"/>
      <c r="IS143" s="39"/>
      <c r="IT143" s="39"/>
      <c r="IU143" s="39"/>
      <c r="IV143" s="39"/>
      <c r="IW143" s="39"/>
    </row>
    <row r="144" customFormat="false" ht="12.95" hidden="false" customHeight="true" outlineLevel="0" collapsed="false">
      <c r="A144" s="37" t="n">
        <f aca="false">+'CCs # Master'!A96</f>
        <v>11</v>
      </c>
      <c r="B144" s="39" t="str">
        <f aca="false">+'CCs # Master'!B96</f>
        <v>Matching Gifts</v>
      </c>
      <c r="C144" s="39" t="str">
        <f aca="false">+'CCs # Master'!C96</f>
        <v>Olson, Cindy</v>
      </c>
      <c r="D144" s="96" t="n">
        <f aca="false">+'CCs # Master'!D96</f>
        <v>100138</v>
      </c>
      <c r="E144" s="39" t="n">
        <f aca="false">+'CCs # Master'!E96</f>
        <v>0</v>
      </c>
      <c r="F144" s="39" t="n">
        <f aca="false">+'CCs # Master'!F96</f>
        <v>0</v>
      </c>
      <c r="G144" s="39" t="n">
        <f aca="false">+'CCs # Master'!G96</f>
        <v>0</v>
      </c>
      <c r="H144" s="39" t="n">
        <f aca="false">+'CCs # Master'!H96</f>
        <v>0</v>
      </c>
      <c r="I144" s="39" t="n">
        <f aca="false">+'CCs # Master'!I96</f>
        <v>0</v>
      </c>
      <c r="J144" s="39" t="n">
        <f aca="false">+'CCs # Master'!J96</f>
        <v>2600</v>
      </c>
      <c r="K144" s="71" t="n">
        <f aca="false">SUM(E144:J144)</f>
        <v>2600</v>
      </c>
      <c r="L144" s="39"/>
      <c r="M144" s="39" t="str">
        <f aca="false">+'CCs # Master'!M96</f>
        <v>Matching gifts</v>
      </c>
      <c r="N144" s="39" t="n">
        <f aca="false">+'CCs # Master'!AW96</f>
        <v>264</v>
      </c>
      <c r="O144" s="39" t="n">
        <v>0</v>
      </c>
      <c r="P144" s="39" t="n">
        <f aca="false">+'CCs # Master'!N96</f>
        <v>41</v>
      </c>
      <c r="Q144" s="39" t="n">
        <f aca="false">+'CCs # Master'!O96</f>
        <v>78</v>
      </c>
      <c r="R144" s="39" t="n">
        <f aca="false">+'CCs # Master'!P96</f>
        <v>83</v>
      </c>
      <c r="S144" s="39" t="n">
        <f aca="false">+'CCs # Master'!Q96</f>
        <v>88</v>
      </c>
      <c r="T144" s="39" t="n">
        <f aca="false">+'CCs # Master'!R96</f>
        <v>8</v>
      </c>
      <c r="U144" s="39" t="n">
        <f aca="false">+'CCs # Master'!S96</f>
        <v>0</v>
      </c>
      <c r="V144" s="39" t="n">
        <f aca="false">+'CCs # Master'!T96</f>
        <v>47</v>
      </c>
      <c r="W144" s="39" t="n">
        <f aca="false">+'CCs # Master'!U96</f>
        <v>304</v>
      </c>
      <c r="X144" s="39" t="n">
        <f aca="false">+'CCs # Master'!V96</f>
        <v>59</v>
      </c>
      <c r="Y144" s="39" t="n">
        <f aca="false">+'CCs # Master'!W96</f>
        <v>23</v>
      </c>
      <c r="Z144" s="39" t="n">
        <f aca="false">+'CCs # Master'!X96</f>
        <v>422</v>
      </c>
      <c r="AA144" s="39" t="n">
        <f aca="false">+'CCs # Master'!Y96</f>
        <v>4</v>
      </c>
      <c r="AB144" s="39" t="n">
        <f aca="false">+'CCs # Master'!Z96</f>
        <v>47</v>
      </c>
      <c r="AC144" s="39" t="n">
        <f aca="false">+'CCs # Master'!AA96</f>
        <v>10</v>
      </c>
      <c r="AD144" s="39" t="n">
        <f aca="false">+'CCs # Master'!AB96</f>
        <v>2</v>
      </c>
      <c r="AE144" s="39" t="n">
        <f aca="false">+'CCs # Master'!AC96</f>
        <v>19</v>
      </c>
      <c r="AF144" s="39" t="n">
        <f aca="false">+'CCs # Master'!AD96</f>
        <v>375</v>
      </c>
      <c r="AG144" s="39" t="n">
        <f aca="false">+'CCs # Master'!AE96</f>
        <v>301</v>
      </c>
      <c r="AH144" s="39" t="n">
        <f aca="false">+'CCs # Master'!AF96</f>
        <v>4</v>
      </c>
      <c r="AI144" s="39" t="n">
        <f aca="false">+'CCs # Master'!AG96</f>
        <v>0</v>
      </c>
      <c r="AJ144" s="39" t="n">
        <f aca="false">+'CCs # Master'!AH96</f>
        <v>21</v>
      </c>
      <c r="AK144" s="39" t="n">
        <f aca="false">+'CCs # Master'!AI96</f>
        <v>20</v>
      </c>
      <c r="AL144" s="39" t="n">
        <f aca="false">+'CCs # Master'!AJ96</f>
        <v>10</v>
      </c>
      <c r="AM144" s="39" t="n">
        <f aca="false">+'CCs # Master'!AK96</f>
        <v>25</v>
      </c>
      <c r="AN144" s="39" t="n">
        <f aca="false">+'CCs # Master'!AL96</f>
        <v>9</v>
      </c>
      <c r="AO144" s="39" t="n">
        <f aca="false">+'CCs # Master'!AM96</f>
        <v>193</v>
      </c>
      <c r="AP144" s="39" t="n">
        <f aca="false">+'CCs # Master'!AN96</f>
        <v>0</v>
      </c>
      <c r="AQ144" s="39" t="n">
        <f aca="false">+'CCs # Master'!AO96</f>
        <v>113</v>
      </c>
      <c r="AR144" s="39" t="n">
        <f aca="false">+'CCs # Master'!AP96</f>
        <v>30</v>
      </c>
      <c r="AS144" s="39" t="n">
        <f aca="false">+'CCs # Master'!AQ96</f>
        <v>0</v>
      </c>
      <c r="AT144" s="39" t="n">
        <f aca="false">+'CCs # Master'!AR96</f>
        <v>0</v>
      </c>
      <c r="AU144" s="39" t="n">
        <f aca="false">+'CCs # Master'!AS96</f>
        <v>0</v>
      </c>
      <c r="AV144" s="39" t="n">
        <f aca="false">+'CCs # Master'!AT96</f>
        <v>0</v>
      </c>
      <c r="AW144" s="100"/>
      <c r="AX144" s="71" t="n">
        <f aca="false">SUM(N144:AW144)</f>
        <v>2600</v>
      </c>
      <c r="AY144" s="71" t="n">
        <f aca="false">+K144-AX144</f>
        <v>0</v>
      </c>
      <c r="AZ144" s="39"/>
      <c r="BA144" s="39" t="n">
        <f aca="false">+P144+Q144+T144+U144+V144+W144+X144+Y144</f>
        <v>560</v>
      </c>
      <c r="BB144" s="39" t="n">
        <f aca="false">N144</f>
        <v>264</v>
      </c>
      <c r="BC144" s="39" t="n">
        <f aca="false">SUM(P144:AW144)</f>
        <v>2336</v>
      </c>
      <c r="BD144" s="39"/>
      <c r="BE144" s="39" t="n">
        <f aca="false">SUM(BB144:BC144)</f>
        <v>2600</v>
      </c>
      <c r="BF144" s="39"/>
      <c r="BG144" s="48" t="n">
        <f aca="false">SUM(N144:AW144)</f>
        <v>2600</v>
      </c>
      <c r="BH144" s="39" t="n">
        <f aca="false">BE144-BG144</f>
        <v>0</v>
      </c>
      <c r="BI144" s="39"/>
      <c r="BJ144" s="39"/>
      <c r="BK144" s="39"/>
      <c r="BL144" s="39"/>
      <c r="BM144" s="39"/>
      <c r="BN144" s="39"/>
      <c r="BO144" s="39"/>
      <c r="BP144" s="39"/>
      <c r="BQ144" s="39"/>
      <c r="BR144" s="39"/>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c r="FJ144" s="39"/>
      <c r="FK144" s="39"/>
      <c r="FL144" s="39"/>
      <c r="FM144" s="39"/>
      <c r="FN144" s="39"/>
      <c r="FO144" s="39"/>
      <c r="FP144" s="39"/>
      <c r="FQ144" s="39"/>
      <c r="FR144" s="39"/>
      <c r="FS144" s="39"/>
      <c r="FT144" s="39"/>
      <c r="FU144" s="39"/>
      <c r="FV144" s="39"/>
      <c r="FW144" s="39"/>
      <c r="FX144" s="39"/>
      <c r="FY144" s="39"/>
      <c r="FZ144" s="39"/>
      <c r="GA144" s="39"/>
      <c r="GB144" s="39"/>
      <c r="GC144" s="39"/>
      <c r="GD144" s="39"/>
      <c r="GE144" s="39"/>
      <c r="GF144" s="39"/>
      <c r="GG144" s="39"/>
      <c r="GH144" s="39"/>
      <c r="GI144" s="39"/>
      <c r="GJ144" s="39"/>
      <c r="GK144" s="39"/>
      <c r="GL144" s="39"/>
      <c r="GM144" s="39"/>
      <c r="GN144" s="39"/>
      <c r="GO144" s="39"/>
      <c r="GP144" s="39"/>
      <c r="GQ144" s="39"/>
      <c r="GR144" s="39"/>
      <c r="GS144" s="39"/>
      <c r="GT144" s="39"/>
      <c r="GU144" s="39"/>
      <c r="GV144" s="39"/>
      <c r="GW144" s="39"/>
      <c r="GX144" s="39"/>
      <c r="GY144" s="39"/>
      <c r="GZ144" s="39"/>
      <c r="HA144" s="39"/>
      <c r="HB144" s="39"/>
      <c r="HC144" s="39"/>
      <c r="HD144" s="39"/>
      <c r="HE144" s="39"/>
      <c r="HF144" s="39"/>
      <c r="HG144" s="39"/>
      <c r="HH144" s="39"/>
      <c r="HI144" s="39"/>
      <c r="HJ144" s="39"/>
      <c r="HK144" s="39"/>
      <c r="HL144" s="39"/>
      <c r="HM144" s="39"/>
      <c r="HN144" s="39"/>
      <c r="HO144" s="39"/>
      <c r="HP144" s="39"/>
      <c r="HQ144" s="39"/>
      <c r="HR144" s="39"/>
      <c r="HS144" s="39"/>
      <c r="HT144" s="39"/>
      <c r="HU144" s="39"/>
      <c r="HV144" s="39"/>
      <c r="HW144" s="39"/>
      <c r="HX144" s="39"/>
      <c r="HY144" s="39"/>
      <c r="HZ144" s="39"/>
      <c r="IA144" s="39"/>
      <c r="IB144" s="39"/>
      <c r="IC144" s="39"/>
      <c r="ID144" s="39"/>
      <c r="IE144" s="39"/>
      <c r="IF144" s="39"/>
      <c r="IG144" s="39"/>
      <c r="IH144" s="39"/>
      <c r="II144" s="39"/>
      <c r="IJ144" s="39"/>
      <c r="IK144" s="39"/>
      <c r="IL144" s="39"/>
      <c r="IM144" s="39"/>
      <c r="IN144" s="39"/>
      <c r="IO144" s="39"/>
      <c r="IP144" s="39"/>
      <c r="IQ144" s="39"/>
      <c r="IR144" s="39"/>
      <c r="IS144" s="39"/>
      <c r="IT144" s="39"/>
      <c r="IU144" s="39"/>
      <c r="IV144" s="39"/>
      <c r="IW144" s="39"/>
    </row>
    <row r="145" customFormat="false" ht="12.95" hidden="false" customHeight="true" outlineLevel="0" collapsed="false">
      <c r="A145" s="37" t="n">
        <f aca="false">+'CCs # Master'!A182</f>
        <v>11</v>
      </c>
      <c r="B145" s="99" t="str">
        <f aca="false">+'CCs # Master'!B182</f>
        <v>Sports Marketing</v>
      </c>
      <c r="C145" s="99" t="str">
        <f aca="false">+'CCs # Master'!C182</f>
        <v>Olson, Cindy</v>
      </c>
      <c r="D145" s="37" t="n">
        <f aca="false">+'CCs # Master'!D182</f>
        <v>103226</v>
      </c>
      <c r="E145" s="97" t="n">
        <f aca="false">+'CCs # Master'!E182</f>
        <v>159</v>
      </c>
      <c r="F145" s="97" t="n">
        <f aca="false">+'CCs # Master'!F182</f>
        <v>0</v>
      </c>
      <c r="G145" s="97" t="n">
        <f aca="false">+'CCs # Master'!G182</f>
        <v>0</v>
      </c>
      <c r="H145" s="97" t="n">
        <f aca="false">+'CCs # Master'!H182</f>
        <v>135</v>
      </c>
      <c r="I145" s="97" t="n">
        <f aca="false">+'CCs # Master'!I182</f>
        <v>0</v>
      </c>
      <c r="J145" s="97" t="n">
        <f aca="false">+'CCs # Master'!J182</f>
        <v>0</v>
      </c>
      <c r="K145" s="102" t="n">
        <f aca="false">SUM(E145:J145)</f>
        <v>294</v>
      </c>
      <c r="L145" s="39"/>
      <c r="M145" s="39" t="str">
        <f aca="false">+'CCs # Master'!M182</f>
        <v>Retained at Corp</v>
      </c>
      <c r="N145" s="97" t="n">
        <f aca="false">+'CCs # Master'!AW182</f>
        <v>294</v>
      </c>
      <c r="O145" s="97" t="n">
        <v>0</v>
      </c>
      <c r="P145" s="97" t="n">
        <f aca="false">+'CCs # Master'!N182</f>
        <v>0</v>
      </c>
      <c r="Q145" s="97" t="n">
        <f aca="false">+'CCs # Master'!O182</f>
        <v>0</v>
      </c>
      <c r="R145" s="97" t="n">
        <f aca="false">+'CCs # Master'!P182</f>
        <v>0</v>
      </c>
      <c r="S145" s="97" t="n">
        <f aca="false">+'CCs # Master'!Q182</f>
        <v>0</v>
      </c>
      <c r="T145" s="97" t="n">
        <f aca="false">+'CCs # Master'!R182</f>
        <v>0</v>
      </c>
      <c r="U145" s="97" t="n">
        <f aca="false">+'CCs # Master'!S182</f>
        <v>0</v>
      </c>
      <c r="V145" s="97" t="n">
        <f aca="false">+'CCs # Master'!T182</f>
        <v>0</v>
      </c>
      <c r="W145" s="97" t="n">
        <f aca="false">+'CCs # Master'!U182</f>
        <v>0</v>
      </c>
      <c r="X145" s="97" t="n">
        <f aca="false">+'CCs # Master'!V182</f>
        <v>0</v>
      </c>
      <c r="Y145" s="97" t="n">
        <f aca="false">+'CCs # Master'!W182</f>
        <v>0</v>
      </c>
      <c r="Z145" s="97" t="n">
        <f aca="false">+'CCs # Master'!X182</f>
        <v>0</v>
      </c>
      <c r="AA145" s="97" t="n">
        <f aca="false">+'CCs # Master'!Y182</f>
        <v>0</v>
      </c>
      <c r="AB145" s="97" t="n">
        <f aca="false">+'CCs # Master'!Z182</f>
        <v>0</v>
      </c>
      <c r="AC145" s="97" t="n">
        <f aca="false">+'CCs # Master'!AA182</f>
        <v>0</v>
      </c>
      <c r="AD145" s="97" t="n">
        <f aca="false">+'CCs # Master'!AB182</f>
        <v>0</v>
      </c>
      <c r="AE145" s="97" t="n">
        <f aca="false">+'CCs # Master'!AC182</f>
        <v>0</v>
      </c>
      <c r="AF145" s="97" t="n">
        <f aca="false">+'CCs # Master'!AD182</f>
        <v>0</v>
      </c>
      <c r="AG145" s="97" t="n">
        <f aca="false">+'CCs # Master'!AE182</f>
        <v>0</v>
      </c>
      <c r="AH145" s="97" t="n">
        <f aca="false">+'CCs # Master'!AF182</f>
        <v>0</v>
      </c>
      <c r="AI145" s="97" t="n">
        <f aca="false">+'CCs # Master'!AG182</f>
        <v>0</v>
      </c>
      <c r="AJ145" s="97" t="n">
        <f aca="false">+'CCs # Master'!AH182</f>
        <v>0</v>
      </c>
      <c r="AK145" s="97" t="n">
        <f aca="false">+'CCs # Master'!AI182</f>
        <v>0</v>
      </c>
      <c r="AL145" s="97" t="n">
        <f aca="false">+'CCs # Master'!AJ182</f>
        <v>0</v>
      </c>
      <c r="AM145" s="97" t="n">
        <f aca="false">+'CCs # Master'!AK182</f>
        <v>0</v>
      </c>
      <c r="AN145" s="97" t="n">
        <f aca="false">+'CCs # Master'!AL182</f>
        <v>0</v>
      </c>
      <c r="AO145" s="97" t="n">
        <f aca="false">+'CCs # Master'!AM182</f>
        <v>0</v>
      </c>
      <c r="AP145" s="97" t="n">
        <f aca="false">+'CCs # Master'!AN182</f>
        <v>0</v>
      </c>
      <c r="AQ145" s="97" t="n">
        <f aca="false">+'CCs # Master'!AO182</f>
        <v>0</v>
      </c>
      <c r="AR145" s="97" t="n">
        <f aca="false">+'CCs # Master'!AP182</f>
        <v>0</v>
      </c>
      <c r="AS145" s="97" t="n">
        <f aca="false">+'CCs # Master'!AQ182</f>
        <v>0</v>
      </c>
      <c r="AT145" s="97" t="n">
        <f aca="false">+'CCs # Master'!AR182</f>
        <v>0</v>
      </c>
      <c r="AU145" s="97" t="n">
        <f aca="false">+'CCs # Master'!AS182</f>
        <v>0</v>
      </c>
      <c r="AV145" s="97" t="n">
        <f aca="false">+'CCs # Master'!AT182</f>
        <v>0</v>
      </c>
      <c r="AW145" s="100"/>
      <c r="AX145" s="102" t="n">
        <f aca="false">SUM(N145:AW145)</f>
        <v>294</v>
      </c>
      <c r="AY145" s="102" t="n">
        <f aca="false">+K145-AX145</f>
        <v>0</v>
      </c>
      <c r="AZ145" s="39"/>
      <c r="BA145" s="97" t="n">
        <f aca="false">+P145+Q145+T145+U145+V145+W145+X145+Y145</f>
        <v>0</v>
      </c>
      <c r="BB145" s="97" t="n">
        <f aca="false">N145</f>
        <v>294</v>
      </c>
      <c r="BC145" s="97" t="n">
        <f aca="false">SUM(P145:AW145)</f>
        <v>0</v>
      </c>
      <c r="BD145" s="39"/>
      <c r="BE145" s="97" t="n">
        <f aca="false">SUM(BB145:BC145)</f>
        <v>294</v>
      </c>
      <c r="BF145" s="39"/>
      <c r="BG145" s="48" t="n">
        <f aca="false">SUM(N145:AW145)</f>
        <v>294</v>
      </c>
      <c r="BH145" s="39" t="n">
        <f aca="false">BE145-BG145</f>
        <v>0</v>
      </c>
      <c r="BI145" s="39"/>
      <c r="BJ145" s="39"/>
      <c r="BK145" s="39"/>
      <c r="BL145" s="39"/>
      <c r="BM145" s="39"/>
      <c r="BN145" s="39"/>
      <c r="BO145" s="39"/>
      <c r="BP145" s="39"/>
      <c r="BQ145" s="39"/>
      <c r="BR145" s="39"/>
      <c r="BS145" s="39"/>
      <c r="BT145" s="39"/>
      <c r="BU145" s="39"/>
      <c r="BV145" s="39"/>
      <c r="BW145" s="39"/>
      <c r="BX145" s="39"/>
      <c r="BY145" s="39"/>
      <c r="BZ145" s="39"/>
      <c r="CA145" s="39"/>
      <c r="CB145" s="39"/>
      <c r="CC145" s="39"/>
      <c r="CD145" s="39"/>
      <c r="CE145" s="39"/>
      <c r="CF145" s="39"/>
      <c r="CG145" s="39"/>
      <c r="CH145" s="39"/>
      <c r="CI145" s="39"/>
      <c r="CJ145" s="39"/>
      <c r="CK145" s="39"/>
      <c r="CL145" s="39"/>
      <c r="CM145" s="39"/>
      <c r="CN145" s="39"/>
      <c r="CO145" s="39"/>
      <c r="CP145" s="39"/>
      <c r="CQ145" s="39"/>
      <c r="CR145" s="39"/>
      <c r="CS145" s="39"/>
      <c r="CT145" s="39"/>
      <c r="CU145" s="39"/>
      <c r="CV145" s="39"/>
      <c r="CW145" s="39"/>
      <c r="CX145" s="39"/>
      <c r="CY145" s="39"/>
      <c r="CZ145" s="39"/>
      <c r="DA145" s="39"/>
      <c r="DB145" s="39"/>
      <c r="DC145" s="39"/>
      <c r="DD145" s="39"/>
      <c r="DE145" s="39"/>
      <c r="DF145" s="39"/>
      <c r="DG145" s="39"/>
      <c r="DH145" s="39"/>
      <c r="DI145" s="39"/>
      <c r="DJ145" s="39"/>
      <c r="DK145" s="39"/>
      <c r="DL145" s="39"/>
      <c r="DM145" s="39"/>
      <c r="DN145" s="39"/>
      <c r="DO145" s="39"/>
      <c r="DP145" s="39"/>
      <c r="DQ145" s="39"/>
      <c r="DR145" s="39"/>
      <c r="DS145" s="39"/>
      <c r="DT145" s="39"/>
      <c r="DU145" s="39"/>
      <c r="DV145" s="39"/>
      <c r="DW145" s="39"/>
      <c r="DX145" s="39"/>
      <c r="DY145" s="39"/>
      <c r="DZ145" s="39"/>
      <c r="EA145" s="39"/>
      <c r="EB145" s="39"/>
      <c r="EC145" s="39"/>
      <c r="ED145" s="39"/>
      <c r="EE145" s="39"/>
      <c r="EF145" s="39"/>
      <c r="EG145" s="39"/>
      <c r="EH145" s="39"/>
      <c r="EI145" s="39"/>
      <c r="EJ145" s="39"/>
      <c r="EK145" s="39"/>
      <c r="EL145" s="39"/>
      <c r="EM145" s="39"/>
      <c r="EN145" s="39"/>
      <c r="EO145" s="39"/>
      <c r="EP145" s="39"/>
      <c r="EQ145" s="39"/>
      <c r="ER145" s="39"/>
      <c r="ES145" s="39"/>
      <c r="ET145" s="39"/>
      <c r="EU145" s="39"/>
      <c r="EV145" s="39"/>
      <c r="EW145" s="39"/>
      <c r="EX145" s="39"/>
      <c r="EY145" s="39"/>
      <c r="EZ145" s="39"/>
      <c r="FA145" s="39"/>
      <c r="FB145" s="39"/>
      <c r="FC145" s="39"/>
      <c r="FD145" s="39"/>
      <c r="FE145" s="39"/>
      <c r="FF145" s="39"/>
      <c r="FG145" s="39"/>
      <c r="FH145" s="39"/>
      <c r="FI145" s="39"/>
      <c r="FJ145" s="39"/>
      <c r="FK145" s="39"/>
      <c r="FL145" s="39"/>
      <c r="FM145" s="39"/>
      <c r="FN145" s="39"/>
      <c r="FO145" s="39"/>
      <c r="FP145" s="39"/>
      <c r="FQ145" s="39"/>
      <c r="FR145" s="39"/>
      <c r="FS145" s="39"/>
      <c r="FT145" s="39"/>
      <c r="FU145" s="39"/>
      <c r="FV145" s="39"/>
      <c r="FW145" s="39"/>
      <c r="FX145" s="39"/>
      <c r="FY145" s="39"/>
      <c r="FZ145" s="39"/>
      <c r="GA145" s="39"/>
      <c r="GB145" s="39"/>
      <c r="GC145" s="39"/>
      <c r="GD145" s="39"/>
      <c r="GE145" s="39"/>
      <c r="GF145" s="39"/>
      <c r="GG145" s="39"/>
      <c r="GH145" s="39"/>
      <c r="GI145" s="39"/>
      <c r="GJ145" s="39"/>
      <c r="GK145" s="39"/>
      <c r="GL145" s="39"/>
      <c r="GM145" s="39"/>
      <c r="GN145" s="39"/>
      <c r="GO145" s="39"/>
      <c r="GP145" s="39"/>
      <c r="GQ145" s="39"/>
      <c r="GR145" s="39"/>
      <c r="GS145" s="39"/>
      <c r="GT145" s="39"/>
      <c r="GU145" s="39"/>
      <c r="GV145" s="39"/>
      <c r="GW145" s="39"/>
      <c r="GX145" s="39"/>
      <c r="GY145" s="39"/>
      <c r="GZ145" s="39"/>
      <c r="HA145" s="39"/>
      <c r="HB145" s="39"/>
      <c r="HC145" s="39"/>
      <c r="HD145" s="39"/>
      <c r="HE145" s="39"/>
      <c r="HF145" s="39"/>
      <c r="HG145" s="39"/>
      <c r="HH145" s="39"/>
      <c r="HI145" s="39"/>
      <c r="HJ145" s="39"/>
      <c r="HK145" s="39"/>
      <c r="HL145" s="39"/>
      <c r="HM145" s="39"/>
      <c r="HN145" s="39"/>
      <c r="HO145" s="39"/>
      <c r="HP145" s="39"/>
      <c r="HQ145" s="39"/>
      <c r="HR145" s="39"/>
      <c r="HS145" s="39"/>
      <c r="HT145" s="39"/>
      <c r="HU145" s="39"/>
      <c r="HV145" s="39"/>
      <c r="HW145" s="39"/>
      <c r="HX145" s="39"/>
      <c r="HY145" s="39"/>
      <c r="HZ145" s="39"/>
      <c r="IA145" s="39"/>
      <c r="IB145" s="39"/>
      <c r="IC145" s="39"/>
      <c r="ID145" s="39"/>
      <c r="IE145" s="39"/>
      <c r="IF145" s="39"/>
      <c r="IG145" s="39"/>
      <c r="IH145" s="39"/>
      <c r="II145" s="39"/>
      <c r="IJ145" s="39"/>
      <c r="IK145" s="39"/>
      <c r="IL145" s="39"/>
      <c r="IM145" s="39"/>
      <c r="IN145" s="39"/>
      <c r="IO145" s="39"/>
      <c r="IP145" s="39"/>
      <c r="IQ145" s="39"/>
      <c r="IR145" s="39"/>
      <c r="IS145" s="39"/>
      <c r="IT145" s="39"/>
      <c r="IU145" s="39"/>
      <c r="IV145" s="39"/>
      <c r="IW145" s="39"/>
    </row>
    <row r="146" customFormat="false" ht="12.95" hidden="false" customHeight="true" outlineLevel="0" collapsed="false">
      <c r="A146" s="37"/>
      <c r="B146" s="99"/>
      <c r="C146" s="99"/>
      <c r="D146" s="37"/>
      <c r="E146" s="39" t="n">
        <f aca="false">SUM(E138:E145)</f>
        <v>1190</v>
      </c>
      <c r="F146" s="39" t="n">
        <f aca="false">SUM(F138:F145)</f>
        <v>174</v>
      </c>
      <c r="G146" s="39" t="n">
        <f aca="false">SUM(G138:G145)</f>
        <v>60</v>
      </c>
      <c r="H146" s="39" t="n">
        <f aca="false">SUM(H138:H145)</f>
        <v>355</v>
      </c>
      <c r="I146" s="39" t="n">
        <f aca="false">SUM(I138:I145)</f>
        <v>0</v>
      </c>
      <c r="J146" s="39" t="n">
        <f aca="false">SUM(J138:J145)</f>
        <v>12199</v>
      </c>
      <c r="K146" s="39" t="n">
        <f aca="false">SUM(K138:K145)</f>
        <v>13978</v>
      </c>
      <c r="L146" s="39"/>
      <c r="M146" s="39"/>
      <c r="N146" s="39" t="n">
        <f aca="false">SUM(N138:N145)</f>
        <v>7872</v>
      </c>
      <c r="O146" s="39" t="n">
        <f aca="false">SUM(O138:O145)</f>
        <v>0</v>
      </c>
      <c r="P146" s="39" t="n">
        <f aca="false">SUM(P138:P145)</f>
        <v>108</v>
      </c>
      <c r="Q146" s="39" t="n">
        <f aca="false">SUM(Q138:Q145)</f>
        <v>204</v>
      </c>
      <c r="R146" s="39" t="n">
        <f aca="false">SUM(R138:R145)</f>
        <v>217</v>
      </c>
      <c r="S146" s="39" t="n">
        <f aca="false">SUM(S138:S145)</f>
        <v>231</v>
      </c>
      <c r="T146" s="39" t="n">
        <f aca="false">SUM(T138:T145)</f>
        <v>21</v>
      </c>
      <c r="U146" s="39" t="n">
        <f aca="false">SUM(U138:U145)</f>
        <v>0</v>
      </c>
      <c r="V146" s="39" t="n">
        <f aca="false">SUM(V138:V145)</f>
        <v>123</v>
      </c>
      <c r="W146" s="39" t="n">
        <f aca="false">SUM(W138:W145)</f>
        <v>794</v>
      </c>
      <c r="X146" s="39" t="n">
        <f aca="false">SUM(X138:X145)</f>
        <v>153</v>
      </c>
      <c r="Y146" s="39" t="n">
        <f aca="false">SUM(Y138:Y145)</f>
        <v>61</v>
      </c>
      <c r="Z146" s="39" t="n">
        <f aca="false">SUM(Z138:Z145)</f>
        <v>1104</v>
      </c>
      <c r="AA146" s="39" t="n">
        <f aca="false">SUM(AA138:AA145)</f>
        <v>10</v>
      </c>
      <c r="AB146" s="39" t="n">
        <f aca="false">SUM(AB138:AB145)</f>
        <v>123</v>
      </c>
      <c r="AC146" s="39" t="n">
        <f aca="false">SUM(AC138:AC145)</f>
        <v>25</v>
      </c>
      <c r="AD146" s="39" t="n">
        <f aca="false">SUM(AD138:AD145)</f>
        <v>6</v>
      </c>
      <c r="AE146" s="39" t="n">
        <f aca="false">SUM(AE138:AE145)</f>
        <v>50</v>
      </c>
      <c r="AF146" s="39" t="n">
        <f aca="false">SUM(AF138:AF145)</f>
        <v>981</v>
      </c>
      <c r="AG146" s="39" t="n">
        <f aca="false">SUM(AG138:AG145)</f>
        <v>786</v>
      </c>
      <c r="AH146" s="39" t="n">
        <f aca="false">SUM(AH138:AH145)</f>
        <v>11</v>
      </c>
      <c r="AI146" s="39" t="n">
        <f aca="false">SUM(AI138:AI145)</f>
        <v>0</v>
      </c>
      <c r="AJ146" s="39" t="n">
        <f aca="false">SUM(AJ138:AJ145)</f>
        <v>55</v>
      </c>
      <c r="AK146" s="39" t="n">
        <f aca="false">SUM(AK138:AK145)</f>
        <v>52</v>
      </c>
      <c r="AL146" s="39" t="n">
        <f aca="false">SUM(AL138:AL145)</f>
        <v>25</v>
      </c>
      <c r="AM146" s="39" t="n">
        <f aca="false">SUM(AM138:AM145)</f>
        <v>64</v>
      </c>
      <c r="AN146" s="39" t="n">
        <f aca="false">SUM(AN138:AN145)</f>
        <v>23</v>
      </c>
      <c r="AO146" s="39" t="n">
        <f aca="false">SUM(AO138:AO145)</f>
        <v>505</v>
      </c>
      <c r="AP146" s="39" t="n">
        <f aca="false">SUM(AP138:AP145)</f>
        <v>0</v>
      </c>
      <c r="AQ146" s="39" t="n">
        <f aca="false">SUM(AQ138:AQ145)</f>
        <v>295</v>
      </c>
      <c r="AR146" s="39" t="n">
        <f aca="false">SUM(AR138:AR145)</f>
        <v>79</v>
      </c>
      <c r="AS146" s="39" t="n">
        <f aca="false">SUM(AS138:AS145)</f>
        <v>0</v>
      </c>
      <c r="AT146" s="39" t="n">
        <f aca="false">SUM(AT138:AT145)</f>
        <v>0</v>
      </c>
      <c r="AU146" s="39" t="n">
        <f aca="false">SUM(AU138:AU145)</f>
        <v>0</v>
      </c>
      <c r="AV146" s="39" t="n">
        <f aca="false">SUM(AV138:AV145)</f>
        <v>0</v>
      </c>
      <c r="AW146" s="100"/>
      <c r="AX146" s="39" t="n">
        <f aca="false">SUM(AX138:AX145)</f>
        <v>13978</v>
      </c>
      <c r="AY146" s="39" t="n">
        <f aca="false">SUM(AY138:AY145)</f>
        <v>0</v>
      </c>
      <c r="AZ146" s="39"/>
      <c r="BA146" s="39" t="n">
        <f aca="false">SUM(BA138:BA145)</f>
        <v>1464</v>
      </c>
      <c r="BB146" s="39" t="n">
        <f aca="false">SUM(BB138:BB145)</f>
        <v>7872</v>
      </c>
      <c r="BC146" s="39" t="n">
        <f aca="false">SUM(BC138:BC145)</f>
        <v>6106</v>
      </c>
      <c r="BD146" s="39"/>
      <c r="BE146" s="39" t="n">
        <f aca="false">SUM(BE138:BE145)</f>
        <v>13978</v>
      </c>
      <c r="BF146" s="39"/>
      <c r="BG146" s="48"/>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c r="GI146" s="39"/>
      <c r="GJ146" s="39"/>
      <c r="GK146" s="39"/>
      <c r="GL146" s="39"/>
      <c r="GM146" s="39"/>
      <c r="GN146" s="39"/>
      <c r="GO146" s="39"/>
      <c r="GP146" s="39"/>
      <c r="GQ146" s="39"/>
      <c r="GR146" s="39"/>
      <c r="GS146" s="39"/>
      <c r="GT146" s="39"/>
      <c r="GU146" s="39"/>
      <c r="GV146" s="39"/>
      <c r="GW146" s="39"/>
      <c r="GX146" s="39"/>
      <c r="GY146" s="39"/>
      <c r="GZ146" s="39"/>
      <c r="HA146" s="39"/>
      <c r="HB146" s="39"/>
      <c r="HC146" s="39"/>
      <c r="HD146" s="39"/>
      <c r="HE146" s="39"/>
      <c r="HF146" s="39"/>
      <c r="HG146" s="39"/>
      <c r="HH146" s="39"/>
      <c r="HI146" s="39"/>
      <c r="HJ146" s="39"/>
      <c r="HK146" s="39"/>
      <c r="HL146" s="39"/>
      <c r="HM146" s="39"/>
      <c r="HN146" s="39"/>
      <c r="HO146" s="39"/>
      <c r="HP146" s="39"/>
      <c r="HQ146" s="39"/>
      <c r="HR146" s="39"/>
      <c r="HS146" s="39"/>
      <c r="HT146" s="39"/>
      <c r="HU146" s="39"/>
      <c r="HV146" s="39"/>
      <c r="HW146" s="39"/>
      <c r="HX146" s="39"/>
      <c r="HY146" s="39"/>
      <c r="HZ146" s="39"/>
      <c r="IA146" s="39"/>
      <c r="IB146" s="39"/>
      <c r="IC146" s="39"/>
      <c r="ID146" s="39"/>
      <c r="IE146" s="39"/>
      <c r="IF146" s="39"/>
      <c r="IG146" s="39"/>
      <c r="IH146" s="39"/>
      <c r="II146" s="39"/>
      <c r="IJ146" s="39"/>
      <c r="IK146" s="39"/>
      <c r="IL146" s="39"/>
      <c r="IM146" s="39"/>
      <c r="IN146" s="39"/>
      <c r="IO146" s="39"/>
      <c r="IP146" s="39"/>
      <c r="IQ146" s="39"/>
      <c r="IR146" s="39"/>
      <c r="IS146" s="39"/>
      <c r="IT146" s="39"/>
      <c r="IU146" s="39"/>
      <c r="IV146" s="39"/>
      <c r="IW146" s="39"/>
    </row>
    <row r="147" customFormat="false" ht="12.95" hidden="false" customHeight="true" outlineLevel="0" collapsed="false">
      <c r="A147" s="37"/>
      <c r="B147" s="99"/>
      <c r="C147" s="99"/>
      <c r="D147" s="37"/>
      <c r="E147" s="39"/>
      <c r="F147" s="39"/>
      <c r="G147" s="39"/>
      <c r="H147" s="39"/>
      <c r="I147" s="39"/>
      <c r="J147" s="39"/>
      <c r="K147" s="71"/>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100"/>
      <c r="AX147" s="71"/>
      <c r="AY147" s="71"/>
      <c r="AZ147" s="39"/>
      <c r="BA147" s="39"/>
      <c r="BB147" s="39"/>
      <c r="BC147" s="39"/>
      <c r="BD147" s="39"/>
      <c r="BE147" s="39"/>
      <c r="BF147" s="39"/>
      <c r="BG147" s="48"/>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c r="GI147" s="39"/>
      <c r="GJ147" s="39"/>
      <c r="GK147" s="39"/>
      <c r="GL147" s="39"/>
      <c r="GM147" s="39"/>
      <c r="GN147" s="39"/>
      <c r="GO147" s="39"/>
      <c r="GP147" s="39"/>
      <c r="GQ147" s="39"/>
      <c r="GR147" s="39"/>
      <c r="GS147" s="39"/>
      <c r="GT147" s="39"/>
      <c r="GU147" s="39"/>
      <c r="GV147" s="39"/>
      <c r="GW147" s="39"/>
      <c r="GX147" s="39"/>
      <c r="GY147" s="39"/>
      <c r="GZ147" s="39"/>
      <c r="HA147" s="39"/>
      <c r="HB147" s="39"/>
      <c r="HC147" s="39"/>
      <c r="HD147" s="39"/>
      <c r="HE147" s="39"/>
      <c r="HF147" s="39"/>
      <c r="HG147" s="39"/>
      <c r="HH147" s="39"/>
      <c r="HI147" s="39"/>
      <c r="HJ147" s="39"/>
      <c r="HK147" s="39"/>
      <c r="HL147" s="39"/>
      <c r="HM147" s="39"/>
      <c r="HN147" s="39"/>
      <c r="HO147" s="39"/>
      <c r="HP147" s="39"/>
      <c r="HQ147" s="39"/>
      <c r="HR147" s="39"/>
      <c r="HS147" s="39"/>
      <c r="HT147" s="39"/>
      <c r="HU147" s="39"/>
      <c r="HV147" s="39"/>
      <c r="HW147" s="39"/>
      <c r="HX147" s="39"/>
      <c r="HY147" s="39"/>
      <c r="HZ147" s="39"/>
      <c r="IA147" s="39"/>
      <c r="IB147" s="39"/>
      <c r="IC147" s="39"/>
      <c r="ID147" s="39"/>
      <c r="IE147" s="39"/>
      <c r="IF147" s="39"/>
      <c r="IG147" s="39"/>
      <c r="IH147" s="39"/>
      <c r="II147" s="39"/>
      <c r="IJ147" s="39"/>
      <c r="IK147" s="39"/>
      <c r="IL147" s="39"/>
      <c r="IM147" s="39"/>
      <c r="IN147" s="39"/>
      <c r="IO147" s="39"/>
      <c r="IP147" s="39"/>
      <c r="IQ147" s="39"/>
      <c r="IR147" s="39"/>
      <c r="IS147" s="39"/>
      <c r="IT147" s="39"/>
      <c r="IU147" s="39"/>
      <c r="IV147" s="39"/>
      <c r="IW147" s="39"/>
    </row>
    <row r="148" customFormat="false" ht="12.95" hidden="false" customHeight="true" outlineLevel="0" collapsed="false">
      <c r="A148" s="61" t="s">
        <v>425</v>
      </c>
      <c r="B148" s="99"/>
      <c r="C148" s="99"/>
      <c r="D148" s="37"/>
      <c r="E148" s="39"/>
      <c r="F148" s="39"/>
      <c r="G148" s="39"/>
      <c r="H148" s="39"/>
      <c r="I148" s="39"/>
      <c r="J148" s="39"/>
      <c r="K148" s="71"/>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100"/>
      <c r="AX148" s="71"/>
      <c r="AY148" s="71"/>
      <c r="AZ148" s="39"/>
      <c r="BA148" s="39"/>
      <c r="BB148" s="39"/>
      <c r="BC148" s="39"/>
      <c r="BD148" s="39"/>
      <c r="BE148" s="39"/>
      <c r="BF148" s="39"/>
      <c r="BG148" s="48"/>
      <c r="BH148" s="39"/>
      <c r="BI148" s="39"/>
      <c r="BJ148" s="39"/>
      <c r="BK148" s="39"/>
      <c r="BL148" s="39"/>
      <c r="BM148" s="39"/>
      <c r="BN148" s="39"/>
      <c r="BO148" s="39"/>
      <c r="BP148" s="39"/>
      <c r="BQ148" s="39"/>
      <c r="BR148" s="39"/>
      <c r="BS148" s="39"/>
      <c r="BT148" s="39"/>
      <c r="BU148" s="39"/>
      <c r="BV148" s="39"/>
      <c r="BW148" s="39"/>
      <c r="BX148" s="39"/>
      <c r="BY148" s="39"/>
      <c r="BZ148" s="39"/>
      <c r="CA148" s="39"/>
      <c r="CB148" s="39"/>
      <c r="CC148" s="39"/>
      <c r="CD148" s="39"/>
      <c r="CE148" s="39"/>
      <c r="CF148" s="39"/>
      <c r="CG148" s="39"/>
      <c r="CH148" s="39"/>
      <c r="CI148" s="39"/>
      <c r="CJ148" s="39"/>
      <c r="CK148" s="39"/>
      <c r="CL148" s="39"/>
      <c r="CM148" s="39"/>
      <c r="CN148" s="39"/>
      <c r="CO148" s="39"/>
      <c r="CP148" s="39"/>
      <c r="CQ148" s="39"/>
      <c r="CR148" s="39"/>
      <c r="CS148" s="39"/>
      <c r="CT148" s="39"/>
      <c r="CU148" s="39"/>
      <c r="CV148" s="39"/>
      <c r="CW148" s="39"/>
      <c r="CX148" s="39"/>
      <c r="CY148" s="39"/>
      <c r="CZ148" s="39"/>
      <c r="DA148" s="39"/>
      <c r="DB148" s="39"/>
      <c r="DC148" s="39"/>
      <c r="DD148" s="39"/>
      <c r="DE148" s="39"/>
      <c r="DF148" s="39"/>
      <c r="DG148" s="39"/>
      <c r="DH148" s="39"/>
      <c r="DI148" s="39"/>
      <c r="DJ148" s="39"/>
      <c r="DK148" s="39"/>
      <c r="DL148" s="39"/>
      <c r="DM148" s="39"/>
      <c r="DN148" s="39"/>
      <c r="DO148" s="39"/>
      <c r="DP148" s="39"/>
      <c r="DQ148" s="39"/>
      <c r="DR148" s="39"/>
      <c r="DS148" s="39"/>
      <c r="DT148" s="39"/>
      <c r="DU148" s="39"/>
      <c r="DV148" s="39"/>
      <c r="DW148" s="39"/>
      <c r="DX148" s="39"/>
      <c r="DY148" s="39"/>
      <c r="DZ148" s="39"/>
      <c r="EA148" s="39"/>
      <c r="EB148" s="39"/>
      <c r="EC148" s="39"/>
      <c r="ED148" s="39"/>
      <c r="EE148" s="39"/>
      <c r="EF148" s="39"/>
      <c r="EG148" s="39"/>
      <c r="EH148" s="39"/>
      <c r="EI148" s="39"/>
      <c r="EJ148" s="39"/>
      <c r="EK148" s="39"/>
      <c r="EL148" s="39"/>
      <c r="EM148" s="39"/>
      <c r="EN148" s="39"/>
      <c r="EO148" s="39"/>
      <c r="EP148" s="39"/>
      <c r="EQ148" s="39"/>
      <c r="ER148" s="39"/>
      <c r="ES148" s="39"/>
      <c r="ET148" s="39"/>
      <c r="EU148" s="39"/>
      <c r="EV148" s="39"/>
      <c r="EW148" s="39"/>
      <c r="EX148" s="39"/>
      <c r="EY148" s="39"/>
      <c r="EZ148" s="39"/>
      <c r="FA148" s="39"/>
      <c r="FB148" s="39"/>
      <c r="FC148" s="39"/>
      <c r="FD148" s="39"/>
      <c r="FE148" s="39"/>
      <c r="FF148" s="39"/>
      <c r="FG148" s="39"/>
      <c r="FH148" s="39"/>
      <c r="FI148" s="39"/>
      <c r="FJ148" s="39"/>
      <c r="FK148" s="39"/>
      <c r="FL148" s="39"/>
      <c r="FM148" s="39"/>
      <c r="FN148" s="39"/>
      <c r="FO148" s="39"/>
      <c r="FP148" s="39"/>
      <c r="FQ148" s="39"/>
      <c r="FR148" s="39"/>
      <c r="FS148" s="39"/>
      <c r="FT148" s="39"/>
      <c r="FU148" s="39"/>
      <c r="FV148" s="39"/>
      <c r="FW148" s="39"/>
      <c r="FX148" s="39"/>
      <c r="FY148" s="39"/>
      <c r="FZ148" s="39"/>
      <c r="GA148" s="39"/>
      <c r="GB148" s="39"/>
      <c r="GC148" s="39"/>
      <c r="GD148" s="39"/>
      <c r="GE148" s="39"/>
      <c r="GF148" s="39"/>
      <c r="GG148" s="39"/>
      <c r="GH148" s="39"/>
      <c r="GI148" s="39"/>
      <c r="GJ148" s="39"/>
      <c r="GK148" s="39"/>
      <c r="GL148" s="39"/>
      <c r="GM148" s="39"/>
      <c r="GN148" s="39"/>
      <c r="GO148" s="39"/>
      <c r="GP148" s="39"/>
      <c r="GQ148" s="39"/>
      <c r="GR148" s="39"/>
      <c r="GS148" s="39"/>
      <c r="GT148" s="39"/>
      <c r="GU148" s="39"/>
      <c r="GV148" s="39"/>
      <c r="GW148" s="39"/>
      <c r="GX148" s="39"/>
      <c r="GY148" s="39"/>
      <c r="GZ148" s="39"/>
      <c r="HA148" s="39"/>
      <c r="HB148" s="39"/>
      <c r="HC148" s="39"/>
      <c r="HD148" s="39"/>
      <c r="HE148" s="39"/>
      <c r="HF148" s="39"/>
      <c r="HG148" s="39"/>
      <c r="HH148" s="39"/>
      <c r="HI148" s="39"/>
      <c r="HJ148" s="39"/>
      <c r="HK148" s="39"/>
      <c r="HL148" s="39"/>
      <c r="HM148" s="39"/>
      <c r="HN148" s="39"/>
      <c r="HO148" s="39"/>
      <c r="HP148" s="39"/>
      <c r="HQ148" s="39"/>
      <c r="HR148" s="39"/>
      <c r="HS148" s="39"/>
      <c r="HT148" s="39"/>
      <c r="HU148" s="39"/>
      <c r="HV148" s="39"/>
      <c r="HW148" s="39"/>
      <c r="HX148" s="39"/>
      <c r="HY148" s="39"/>
      <c r="HZ148" s="39"/>
      <c r="IA148" s="39"/>
      <c r="IB148" s="39"/>
      <c r="IC148" s="39"/>
      <c r="ID148" s="39"/>
      <c r="IE148" s="39"/>
      <c r="IF148" s="39"/>
      <c r="IG148" s="39"/>
      <c r="IH148" s="39"/>
      <c r="II148" s="39"/>
      <c r="IJ148" s="39"/>
      <c r="IK148" s="39"/>
      <c r="IL148" s="39"/>
      <c r="IM148" s="39"/>
      <c r="IN148" s="39"/>
      <c r="IO148" s="39"/>
      <c r="IP148" s="39"/>
      <c r="IQ148" s="39"/>
      <c r="IR148" s="39"/>
      <c r="IS148" s="39"/>
      <c r="IT148" s="39"/>
      <c r="IU148" s="39"/>
      <c r="IV148" s="39"/>
      <c r="IW148" s="39"/>
    </row>
    <row r="149" customFormat="false" ht="12.95" hidden="false" customHeight="true" outlineLevel="0" collapsed="false">
      <c r="A149" s="37" t="str">
        <f aca="false">+'CCs # Master'!A14</f>
        <v>0011</v>
      </c>
      <c r="B149" s="39" t="str">
        <f aca="false">+'CCs # Master'!B14</f>
        <v>Drug/Alcohol Testing</v>
      </c>
      <c r="C149" s="39" t="str">
        <f aca="false">+'CCs # Master'!C14</f>
        <v>Tosoni, S</v>
      </c>
      <c r="D149" s="96" t="n">
        <f aca="false">+'CCs # Master'!D14</f>
        <v>100008</v>
      </c>
      <c r="E149" s="39" t="n">
        <f aca="false">+'CCs # Master'!E14</f>
        <v>50</v>
      </c>
      <c r="F149" s="39" t="n">
        <f aca="false">+'CCs # Master'!F14</f>
        <v>4</v>
      </c>
      <c r="G149" s="39" t="n">
        <f aca="false">+'CCs # Master'!G14</f>
        <v>1</v>
      </c>
      <c r="H149" s="39" t="n">
        <f aca="false">+'CCs # Master'!H14</f>
        <v>175</v>
      </c>
      <c r="I149" s="39" t="n">
        <f aca="false">+'CCs # Master'!I14</f>
        <v>21</v>
      </c>
      <c r="J149" s="39" t="n">
        <f aca="false">+'CCs # Master'!J14</f>
        <v>-94</v>
      </c>
      <c r="K149" s="71" t="n">
        <f aca="false">SUM(E149:J149)</f>
        <v>157</v>
      </c>
      <c r="L149" s="39"/>
      <c r="M149" s="39" t="str">
        <f aca="false">+'CCs # Master'!M14</f>
        <v>Projected domestic new hires</v>
      </c>
      <c r="N149" s="39" t="n">
        <f aca="false">+'CCs # Master'!AW14</f>
        <v>5</v>
      </c>
      <c r="O149" s="39" t="n">
        <v>0</v>
      </c>
      <c r="P149" s="39" t="n">
        <f aca="false">+'CCs # Master'!N14</f>
        <v>20</v>
      </c>
      <c r="Q149" s="39" t="n">
        <f aca="false">+'CCs # Master'!O14</f>
        <v>20</v>
      </c>
      <c r="R149" s="39" t="n">
        <f aca="false">+'CCs # Master'!P14</f>
        <v>0</v>
      </c>
      <c r="S149" s="39" t="n">
        <f aca="false">+'CCs # Master'!Q14</f>
        <v>0</v>
      </c>
      <c r="T149" s="39" t="n">
        <f aca="false">+'CCs # Master'!R14</f>
        <v>19</v>
      </c>
      <c r="U149" s="39" t="n">
        <f aca="false">+'CCs # Master'!S14</f>
        <v>0</v>
      </c>
      <c r="V149" s="39" t="n">
        <f aca="false">+'CCs # Master'!T14</f>
        <v>19</v>
      </c>
      <c r="W149" s="39" t="n">
        <f aca="false">+'CCs # Master'!U14</f>
        <v>19</v>
      </c>
      <c r="X149" s="39" t="n">
        <f aca="false">+'CCs # Master'!V14</f>
        <v>0</v>
      </c>
      <c r="Y149" s="39" t="n">
        <f aca="false">+'CCs # Master'!W14</f>
        <v>4</v>
      </c>
      <c r="Z149" s="39" t="n">
        <f aca="false">+'CCs # Master'!X14</f>
        <v>3</v>
      </c>
      <c r="AA149" s="39" t="n">
        <f aca="false">+'CCs # Master'!Y14</f>
        <v>0</v>
      </c>
      <c r="AB149" s="39" t="n">
        <f aca="false">+'CCs # Master'!Z14</f>
        <v>1</v>
      </c>
      <c r="AC149" s="39" t="n">
        <f aca="false">+'CCs # Master'!AA14</f>
        <v>6</v>
      </c>
      <c r="AD149" s="39" t="n">
        <f aca="false">+'CCs # Master'!AB14</f>
        <v>0</v>
      </c>
      <c r="AE149" s="39" t="n">
        <f aca="false">+'CCs # Master'!AC14</f>
        <v>0</v>
      </c>
      <c r="AF149" s="39" t="n">
        <f aca="false">+'CCs # Master'!AD14</f>
        <v>7</v>
      </c>
      <c r="AG149" s="39" t="n">
        <f aca="false">+'CCs # Master'!AE14</f>
        <v>7</v>
      </c>
      <c r="AH149" s="39" t="n">
        <f aca="false">+'CCs # Master'!AF14</f>
        <v>0</v>
      </c>
      <c r="AI149" s="39" t="n">
        <f aca="false">+'CCs # Master'!AG14</f>
        <v>0</v>
      </c>
      <c r="AJ149" s="39" t="n">
        <f aca="false">+'CCs # Master'!AH14</f>
        <v>0</v>
      </c>
      <c r="AK149" s="39" t="n">
        <f aca="false">+'CCs # Master'!AI14</f>
        <v>0</v>
      </c>
      <c r="AL149" s="39" t="n">
        <f aca="false">+'CCs # Master'!AJ14</f>
        <v>0</v>
      </c>
      <c r="AM149" s="39" t="n">
        <f aca="false">+'CCs # Master'!AK14</f>
        <v>0</v>
      </c>
      <c r="AN149" s="39" t="n">
        <f aca="false">+'CCs # Master'!AL14</f>
        <v>0</v>
      </c>
      <c r="AO149" s="39" t="n">
        <f aca="false">+'CCs # Master'!AM14</f>
        <v>19</v>
      </c>
      <c r="AP149" s="39" t="n">
        <f aca="false">+'CCs # Master'!AN14</f>
        <v>0</v>
      </c>
      <c r="AQ149" s="39" t="n">
        <f aca="false">+'CCs # Master'!AO14</f>
        <v>4</v>
      </c>
      <c r="AR149" s="39" t="n">
        <f aca="false">+'CCs # Master'!AP14</f>
        <v>4</v>
      </c>
      <c r="AS149" s="39" t="n">
        <f aca="false">+'CCs # Master'!AQ14</f>
        <v>0</v>
      </c>
      <c r="AT149" s="39" t="n">
        <f aca="false">+'CCs # Master'!AR14</f>
        <v>0</v>
      </c>
      <c r="AU149" s="39" t="n">
        <f aca="false">+'CCs # Master'!AS14</f>
        <v>0</v>
      </c>
      <c r="AV149" s="39" t="n">
        <f aca="false">+'CCs # Master'!AT14</f>
        <v>0</v>
      </c>
      <c r="AW149" s="0"/>
      <c r="AX149" s="71" t="n">
        <f aca="false">SUM(N149:AW149)</f>
        <v>157</v>
      </c>
      <c r="AY149" s="71" t="n">
        <f aca="false">+K149-AX149</f>
        <v>0</v>
      </c>
      <c r="AZ149" s="39"/>
      <c r="BA149" s="39" t="n">
        <f aca="false">+P149+Q149+T149+U149+V149+W149+X149+Y149</f>
        <v>101</v>
      </c>
      <c r="BB149" s="39" t="n">
        <f aca="false">N149</f>
        <v>5</v>
      </c>
      <c r="BC149" s="39" t="n">
        <f aca="false">SUM(P149:AW149)</f>
        <v>152</v>
      </c>
      <c r="BD149" s="39"/>
      <c r="BE149" s="39" t="n">
        <f aca="false">SUM(BB149:BC149)</f>
        <v>157</v>
      </c>
      <c r="BF149" s="39"/>
      <c r="BG149" s="48" t="n">
        <f aca="false">SUM(N149:AW149)</f>
        <v>157</v>
      </c>
      <c r="BH149" s="39" t="n">
        <f aca="false">BE149-BG149</f>
        <v>0</v>
      </c>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39"/>
      <c r="GM149" s="39"/>
      <c r="GN149" s="39"/>
      <c r="GO149" s="39"/>
      <c r="GP149" s="39"/>
      <c r="GQ149" s="39"/>
      <c r="GR149" s="39"/>
      <c r="GS149" s="39"/>
      <c r="GT149" s="39"/>
      <c r="GU149" s="39"/>
      <c r="GV149" s="39"/>
      <c r="GW149" s="39"/>
      <c r="GX149" s="39"/>
      <c r="GY149" s="39"/>
      <c r="GZ149" s="39"/>
      <c r="HA149" s="39"/>
      <c r="HB149" s="39"/>
      <c r="HC149" s="39"/>
      <c r="HD149" s="39"/>
      <c r="HE149" s="39"/>
      <c r="HF149" s="39"/>
      <c r="HG149" s="39"/>
      <c r="HH149" s="39"/>
      <c r="HI149" s="39"/>
      <c r="HJ149" s="39"/>
      <c r="HK149" s="39"/>
      <c r="HL149" s="39"/>
      <c r="HM149" s="39"/>
      <c r="HN149" s="39"/>
      <c r="HO149" s="39"/>
      <c r="HP149" s="39"/>
      <c r="HQ149" s="39"/>
      <c r="HR149" s="39"/>
      <c r="HS149" s="39"/>
      <c r="HT149" s="39"/>
      <c r="HU149" s="39"/>
      <c r="HV149" s="39"/>
      <c r="HW149" s="39"/>
      <c r="HX149" s="39"/>
      <c r="HY149" s="39"/>
      <c r="HZ149" s="39"/>
      <c r="IA149" s="39"/>
      <c r="IB149" s="39"/>
      <c r="IC149" s="39"/>
      <c r="ID149" s="39"/>
      <c r="IE149" s="39"/>
      <c r="IF149" s="39"/>
      <c r="IG149" s="39"/>
      <c r="IH149" s="39"/>
      <c r="II149" s="39"/>
      <c r="IJ149" s="39"/>
      <c r="IK149" s="39"/>
      <c r="IL149" s="39"/>
      <c r="IM149" s="39"/>
      <c r="IN149" s="39"/>
      <c r="IO149" s="39"/>
      <c r="IP149" s="39"/>
      <c r="IQ149" s="39"/>
      <c r="IR149" s="39"/>
      <c r="IS149" s="39"/>
      <c r="IT149" s="39"/>
      <c r="IU149" s="39"/>
      <c r="IV149" s="39"/>
      <c r="IW149" s="39"/>
    </row>
    <row r="150" customFormat="false" ht="12.95" hidden="false" customHeight="true" outlineLevel="0" collapsed="false">
      <c r="A150" s="37" t="str">
        <f aca="false">+'CCs # Master'!A17</f>
        <v>0011</v>
      </c>
      <c r="B150" s="39" t="str">
        <f aca="false">+'CCs # Master'!B17</f>
        <v>HR Support Services</v>
      </c>
      <c r="C150" s="39" t="str">
        <f aca="false">+'CCs # Master'!C17</f>
        <v>O'Dell, David</v>
      </c>
      <c r="D150" s="96" t="n">
        <f aca="false">+'CCs # Master'!D17</f>
        <v>100013</v>
      </c>
      <c r="E150" s="39" t="n">
        <f aca="false">+'CCs # Master'!E17</f>
        <v>160</v>
      </c>
      <c r="F150" s="39" t="n">
        <f aca="false">+'CCs # Master'!F17</f>
        <v>11</v>
      </c>
      <c r="G150" s="39" t="n">
        <f aca="false">+'CCs # Master'!G17</f>
        <v>6</v>
      </c>
      <c r="H150" s="39" t="n">
        <f aca="false">+'CCs # Master'!H17</f>
        <v>1483</v>
      </c>
      <c r="I150" s="39" t="n">
        <f aca="false">+'CCs # Master'!I17</f>
        <v>113</v>
      </c>
      <c r="J150" s="39" t="n">
        <f aca="false">+'CCs # Master'!J17</f>
        <v>-197</v>
      </c>
      <c r="K150" s="71" t="n">
        <f aca="false">SUM(E150:J150)</f>
        <v>1576</v>
      </c>
      <c r="L150" s="39"/>
      <c r="M150" s="39" t="str">
        <f aca="false">+'CCs # Master'!M17</f>
        <v>% of Domestic Headcount</v>
      </c>
      <c r="N150" s="39" t="n">
        <f aca="false">+'CCs # Master'!AW17</f>
        <v>160</v>
      </c>
      <c r="O150" s="39" t="n">
        <v>0</v>
      </c>
      <c r="P150" s="39" t="n">
        <f aca="false">+'CCs # Master'!N17</f>
        <v>25</v>
      </c>
      <c r="Q150" s="39" t="n">
        <f aca="false">+'CCs # Master'!O17</f>
        <v>47</v>
      </c>
      <c r="R150" s="39" t="n">
        <f aca="false">+'CCs # Master'!P17</f>
        <v>50</v>
      </c>
      <c r="S150" s="39" t="n">
        <f aca="false">+'CCs # Master'!Q17</f>
        <v>54</v>
      </c>
      <c r="T150" s="39" t="n">
        <f aca="false">+'CCs # Master'!R17</f>
        <v>5</v>
      </c>
      <c r="U150" s="39" t="n">
        <f aca="false">+'CCs # Master'!S17</f>
        <v>0</v>
      </c>
      <c r="V150" s="39" t="n">
        <f aca="false">+'CCs # Master'!T17</f>
        <v>29</v>
      </c>
      <c r="W150" s="39" t="n">
        <f aca="false">+'CCs # Master'!U17</f>
        <v>184</v>
      </c>
      <c r="X150" s="39" t="n">
        <f aca="false">+'CCs # Master'!V17</f>
        <v>35</v>
      </c>
      <c r="Y150" s="39" t="n">
        <f aca="false">+'CCs # Master'!W17</f>
        <v>14</v>
      </c>
      <c r="Z150" s="39" t="n">
        <f aca="false">+'CCs # Master'!X17</f>
        <v>256</v>
      </c>
      <c r="AA150" s="39" t="n">
        <f aca="false">+'CCs # Master'!Y17</f>
        <v>2</v>
      </c>
      <c r="AB150" s="39" t="n">
        <f aca="false">+'CCs # Master'!Z17</f>
        <v>29</v>
      </c>
      <c r="AC150" s="39" t="n">
        <f aca="false">+'CCs # Master'!AA17</f>
        <v>6</v>
      </c>
      <c r="AD150" s="39" t="n">
        <f aca="false">+'CCs # Master'!AB17</f>
        <v>1</v>
      </c>
      <c r="AE150" s="39" t="n">
        <f aca="false">+'CCs # Master'!AC17</f>
        <v>12</v>
      </c>
      <c r="AF150" s="39" t="n">
        <f aca="false">+'CCs # Master'!AD17</f>
        <v>227</v>
      </c>
      <c r="AG150" s="39" t="n">
        <f aca="false">+'CCs # Master'!AE17</f>
        <v>183</v>
      </c>
      <c r="AH150" s="39" t="n">
        <f aca="false">+'CCs # Master'!AF17</f>
        <v>3</v>
      </c>
      <c r="AI150" s="39" t="n">
        <f aca="false">+'CCs # Master'!AG17</f>
        <v>0</v>
      </c>
      <c r="AJ150" s="39" t="n">
        <f aca="false">+'CCs # Master'!AH17</f>
        <v>13</v>
      </c>
      <c r="AK150" s="39" t="n">
        <f aca="false">+'CCs # Master'!AI17</f>
        <v>12</v>
      </c>
      <c r="AL150" s="39" t="n">
        <f aca="false">+'CCs # Master'!AJ17</f>
        <v>6</v>
      </c>
      <c r="AM150" s="39" t="n">
        <f aca="false">+'CCs # Master'!AK17</f>
        <v>15</v>
      </c>
      <c r="AN150" s="39" t="n">
        <f aca="false">+'CCs # Master'!AL17</f>
        <v>5</v>
      </c>
      <c r="AO150" s="39" t="n">
        <f aca="false">+'CCs # Master'!AM17</f>
        <v>117</v>
      </c>
      <c r="AP150" s="39" t="n">
        <f aca="false">+'CCs # Master'!AN17</f>
        <v>0</v>
      </c>
      <c r="AQ150" s="39" t="n">
        <f aca="false">+'CCs # Master'!AO17</f>
        <v>68</v>
      </c>
      <c r="AR150" s="39" t="n">
        <f aca="false">+'CCs # Master'!AP17</f>
        <v>18</v>
      </c>
      <c r="AS150" s="39" t="n">
        <f aca="false">+'CCs # Master'!AQ17</f>
        <v>0</v>
      </c>
      <c r="AT150" s="39" t="n">
        <f aca="false">+'CCs # Master'!AR17</f>
        <v>0</v>
      </c>
      <c r="AU150" s="39" t="n">
        <f aca="false">+'CCs # Master'!AS17</f>
        <v>0</v>
      </c>
      <c r="AV150" s="39" t="n">
        <f aca="false">+'CCs # Master'!AT17</f>
        <v>0</v>
      </c>
      <c r="AW150" s="0"/>
      <c r="AX150" s="71" t="n">
        <f aca="false">SUM(N150:AW150)</f>
        <v>1576</v>
      </c>
      <c r="AY150" s="71" t="n">
        <f aca="false">+K150-AX150</f>
        <v>0</v>
      </c>
      <c r="AZ150" s="39"/>
      <c r="BA150" s="39" t="n">
        <f aca="false">+P150+Q150+T150+U150+V150+W150+X150+Y150</f>
        <v>339</v>
      </c>
      <c r="BB150" s="39" t="n">
        <f aca="false">N150</f>
        <v>160</v>
      </c>
      <c r="BC150" s="39" t="n">
        <f aca="false">SUM(P150:AW150)</f>
        <v>1416</v>
      </c>
      <c r="BD150" s="39"/>
      <c r="BE150" s="39" t="n">
        <f aca="false">SUM(BB150:BC150)</f>
        <v>1576</v>
      </c>
      <c r="BF150" s="39"/>
      <c r="BG150" s="48" t="n">
        <f aca="false">SUM(N150:AW150)</f>
        <v>1576</v>
      </c>
      <c r="BH150" s="39" t="n">
        <f aca="false">BE150-BG150</f>
        <v>0</v>
      </c>
      <c r="BI150" s="39"/>
      <c r="BJ150" s="39"/>
      <c r="BK150" s="39"/>
      <c r="BL150" s="39"/>
      <c r="BM150" s="39"/>
      <c r="BN150" s="39"/>
      <c r="BO150" s="39"/>
      <c r="BP150" s="39"/>
      <c r="BQ150" s="39"/>
      <c r="BR150" s="39"/>
      <c r="BS150" s="39"/>
      <c r="BT150" s="39"/>
      <c r="BU150" s="39"/>
      <c r="BV150" s="39"/>
      <c r="BW150" s="39"/>
      <c r="BX150" s="39"/>
      <c r="BY150" s="39"/>
      <c r="BZ150" s="39"/>
      <c r="CA150" s="39"/>
      <c r="CB150" s="39"/>
      <c r="CC150" s="39"/>
      <c r="CD150" s="39"/>
      <c r="CE150" s="39"/>
      <c r="CF150" s="39"/>
      <c r="CG150" s="39"/>
      <c r="CH150" s="39"/>
      <c r="CI150" s="39"/>
      <c r="CJ150" s="39"/>
      <c r="CK150" s="39"/>
      <c r="CL150" s="39"/>
      <c r="CM150" s="39"/>
      <c r="CN150" s="39"/>
      <c r="CO150" s="39"/>
      <c r="CP150" s="39"/>
      <c r="CQ150" s="39"/>
      <c r="CR150" s="39"/>
      <c r="CS150" s="39"/>
      <c r="CT150" s="39"/>
      <c r="CU150" s="39"/>
      <c r="CV150" s="39"/>
      <c r="CW150" s="39"/>
      <c r="CX150" s="39"/>
      <c r="CY150" s="39"/>
      <c r="CZ150" s="39"/>
      <c r="DA150" s="39"/>
      <c r="DB150" s="39"/>
      <c r="DC150" s="39"/>
      <c r="DD150" s="39"/>
      <c r="DE150" s="39"/>
      <c r="DF150" s="39"/>
      <c r="DG150" s="39"/>
      <c r="DH150" s="39"/>
      <c r="DI150" s="39"/>
      <c r="DJ150" s="39"/>
      <c r="DK150" s="39"/>
      <c r="DL150" s="39"/>
      <c r="DM150" s="39"/>
      <c r="DN150" s="39"/>
      <c r="DO150" s="39"/>
      <c r="DP150" s="39"/>
      <c r="DQ150" s="39"/>
      <c r="DR150" s="39"/>
      <c r="DS150" s="39"/>
      <c r="DT150" s="39"/>
      <c r="DU150" s="39"/>
      <c r="DV150" s="39"/>
      <c r="DW150" s="39"/>
      <c r="DX150" s="39"/>
      <c r="DY150" s="39"/>
      <c r="DZ150" s="39"/>
      <c r="EA150" s="39"/>
      <c r="EB150" s="39"/>
      <c r="EC150" s="39"/>
      <c r="ED150" s="39"/>
      <c r="EE150" s="39"/>
      <c r="EF150" s="39"/>
      <c r="EG150" s="39"/>
      <c r="EH150" s="39"/>
      <c r="EI150" s="39"/>
      <c r="EJ150" s="39"/>
      <c r="EK150" s="39"/>
      <c r="EL150" s="39"/>
      <c r="EM150" s="39"/>
      <c r="EN150" s="39"/>
      <c r="EO150" s="39"/>
      <c r="EP150" s="39"/>
      <c r="EQ150" s="39"/>
      <c r="ER150" s="39"/>
      <c r="ES150" s="39"/>
      <c r="ET150" s="39"/>
      <c r="EU150" s="39"/>
      <c r="EV150" s="39"/>
      <c r="EW150" s="39"/>
      <c r="EX150" s="39"/>
      <c r="EY150" s="39"/>
      <c r="EZ150" s="39"/>
      <c r="FA150" s="39"/>
      <c r="FB150" s="39"/>
      <c r="FC150" s="39"/>
      <c r="FD150" s="39"/>
      <c r="FE150" s="39"/>
      <c r="FF150" s="39"/>
      <c r="FG150" s="39"/>
      <c r="FH150" s="39"/>
      <c r="FI150" s="39"/>
      <c r="FJ150" s="39"/>
      <c r="FK150" s="39"/>
      <c r="FL150" s="39"/>
      <c r="FM150" s="39"/>
      <c r="FN150" s="39"/>
      <c r="FO150" s="39"/>
      <c r="FP150" s="39"/>
      <c r="FQ150" s="39"/>
      <c r="FR150" s="39"/>
      <c r="FS150" s="39"/>
      <c r="FT150" s="39"/>
      <c r="FU150" s="39"/>
      <c r="FV150" s="39"/>
      <c r="FW150" s="39"/>
      <c r="FX150" s="39"/>
      <c r="FY150" s="39"/>
      <c r="FZ150" s="39"/>
      <c r="GA150" s="39"/>
      <c r="GB150" s="39"/>
      <c r="GC150" s="39"/>
      <c r="GD150" s="39"/>
      <c r="GE150" s="39"/>
      <c r="GF150" s="39"/>
      <c r="GG150" s="39"/>
      <c r="GH150" s="39"/>
      <c r="GI150" s="39"/>
      <c r="GJ150" s="39"/>
      <c r="GK150" s="39"/>
      <c r="GL150" s="39"/>
      <c r="GM150" s="39"/>
      <c r="GN150" s="39"/>
      <c r="GO150" s="39"/>
      <c r="GP150" s="39"/>
      <c r="GQ150" s="39"/>
      <c r="GR150" s="39"/>
      <c r="GS150" s="39"/>
      <c r="GT150" s="39"/>
      <c r="GU150" s="39"/>
      <c r="GV150" s="39"/>
      <c r="GW150" s="39"/>
      <c r="GX150" s="39"/>
      <c r="GY150" s="39"/>
      <c r="GZ150" s="39"/>
      <c r="HA150" s="39"/>
      <c r="HB150" s="39"/>
      <c r="HC150" s="39"/>
      <c r="HD150" s="39"/>
      <c r="HE150" s="39"/>
      <c r="HF150" s="39"/>
      <c r="HG150" s="39"/>
      <c r="HH150" s="39"/>
      <c r="HI150" s="39"/>
      <c r="HJ150" s="39"/>
      <c r="HK150" s="39"/>
      <c r="HL150" s="39"/>
      <c r="HM150" s="39"/>
      <c r="HN150" s="39"/>
      <c r="HO150" s="39"/>
      <c r="HP150" s="39"/>
      <c r="HQ150" s="39"/>
      <c r="HR150" s="39"/>
      <c r="HS150" s="39"/>
      <c r="HT150" s="39"/>
      <c r="HU150" s="39"/>
      <c r="HV150" s="39"/>
      <c r="HW150" s="39"/>
      <c r="HX150" s="39"/>
      <c r="HY150" s="39"/>
      <c r="HZ150" s="39"/>
      <c r="IA150" s="39"/>
      <c r="IB150" s="39"/>
      <c r="IC150" s="39"/>
      <c r="ID150" s="39"/>
      <c r="IE150" s="39"/>
      <c r="IF150" s="39"/>
      <c r="IG150" s="39"/>
      <c r="IH150" s="39"/>
      <c r="II150" s="39"/>
      <c r="IJ150" s="39"/>
      <c r="IK150" s="39"/>
      <c r="IL150" s="39"/>
      <c r="IM150" s="39"/>
      <c r="IN150" s="39"/>
      <c r="IO150" s="39"/>
      <c r="IP150" s="39"/>
      <c r="IQ150" s="39"/>
      <c r="IR150" s="39"/>
      <c r="IS150" s="39"/>
      <c r="IT150" s="39"/>
      <c r="IU150" s="39"/>
      <c r="IV150" s="39"/>
      <c r="IW150" s="39"/>
    </row>
    <row r="151" customFormat="false" ht="12.95" hidden="false" customHeight="true" outlineLevel="0" collapsed="false">
      <c r="A151" s="37" t="n">
        <f aca="false">+'CCs # Master'!A10</f>
        <v>1</v>
      </c>
      <c r="B151" s="39" t="str">
        <f aca="false">+'CCs # Master'!B10</f>
        <v>Benefits &amp; Compensation </v>
      </c>
      <c r="C151" s="39" t="str">
        <f aca="false">+'CCs # Master'!C10</f>
        <v>Joyce, Mary</v>
      </c>
      <c r="D151" s="96" t="n">
        <f aca="false">+'CCs # Master'!D10</f>
        <v>100001</v>
      </c>
      <c r="E151" s="39" t="n">
        <f aca="false">+'CCs # Master'!E10</f>
        <v>1581</v>
      </c>
      <c r="F151" s="39" t="n">
        <f aca="false">+'CCs # Master'!F10</f>
        <v>148</v>
      </c>
      <c r="G151" s="39" t="n">
        <f aca="false">+'CCs # Master'!G10</f>
        <v>12</v>
      </c>
      <c r="H151" s="39" t="n">
        <f aca="false">+'CCs # Master'!H10</f>
        <v>148</v>
      </c>
      <c r="I151" s="39" t="n">
        <f aca="false">+'CCs # Master'!I10</f>
        <v>220</v>
      </c>
      <c r="J151" s="39" t="n">
        <f aca="false">+'CCs # Master'!J10</f>
        <v>-195</v>
      </c>
      <c r="K151" s="71" t="n">
        <f aca="false">SUM(E151:J151)</f>
        <v>1914</v>
      </c>
      <c r="L151" s="39"/>
      <c r="M151" s="39" t="str">
        <f aca="false">+'CCs # Master'!M10</f>
        <v>70% Domestic, 30% MD/VP count</v>
      </c>
      <c r="N151" s="39" t="n">
        <f aca="false">+'CCs # Master'!AW10</f>
        <v>196</v>
      </c>
      <c r="O151" s="39" t="n">
        <v>0</v>
      </c>
      <c r="P151" s="39" t="n">
        <f aca="false">+'CCs # Master'!N10</f>
        <v>28</v>
      </c>
      <c r="Q151" s="39" t="n">
        <f aca="false">+'CCs # Master'!O10</f>
        <v>54</v>
      </c>
      <c r="R151" s="39" t="n">
        <f aca="false">+'CCs # Master'!P10</f>
        <v>61</v>
      </c>
      <c r="S151" s="39" t="n">
        <f aca="false">+'CCs # Master'!Q10</f>
        <v>61</v>
      </c>
      <c r="T151" s="39" t="n">
        <f aca="false">+'CCs # Master'!R10</f>
        <v>6</v>
      </c>
      <c r="U151" s="39" t="n">
        <f aca="false">+'CCs # Master'!S10</f>
        <v>0</v>
      </c>
      <c r="V151" s="39" t="n">
        <f aca="false">+'CCs # Master'!T10</f>
        <v>32</v>
      </c>
      <c r="W151" s="39" t="n">
        <f aca="false">+'CCs # Master'!U10</f>
        <v>210</v>
      </c>
      <c r="X151" s="39" t="n">
        <f aca="false">+'CCs # Master'!V10</f>
        <v>48</v>
      </c>
      <c r="Y151" s="39" t="n">
        <f aca="false">+'CCs # Master'!W10</f>
        <v>16</v>
      </c>
      <c r="Z151" s="39" t="n">
        <f aca="false">+'CCs # Master'!X10</f>
        <v>316</v>
      </c>
      <c r="AA151" s="39" t="n">
        <f aca="false">+'CCs # Master'!Y10</f>
        <v>3</v>
      </c>
      <c r="AB151" s="39" t="n">
        <f aca="false">+'CCs # Master'!Z10</f>
        <v>33</v>
      </c>
      <c r="AC151" s="39" t="n">
        <f aca="false">+'CCs # Master'!AA10</f>
        <v>7</v>
      </c>
      <c r="AD151" s="39" t="n">
        <f aca="false">+'CCs # Master'!AB10</f>
        <v>13</v>
      </c>
      <c r="AE151" s="39" t="n">
        <f aca="false">+'CCs # Master'!AC10</f>
        <v>13</v>
      </c>
      <c r="AF151" s="39" t="n">
        <f aca="false">+'CCs # Master'!AD10</f>
        <v>270</v>
      </c>
      <c r="AG151" s="39" t="n">
        <f aca="false">+'CCs # Master'!AE10</f>
        <v>219</v>
      </c>
      <c r="AH151" s="39" t="n">
        <f aca="false">+'CCs # Master'!AF10</f>
        <v>8</v>
      </c>
      <c r="AI151" s="39" t="n">
        <f aca="false">+'CCs # Master'!AG10</f>
        <v>0</v>
      </c>
      <c r="AJ151" s="39" t="n">
        <f aca="false">+'CCs # Master'!AH10</f>
        <v>19</v>
      </c>
      <c r="AK151" s="39" t="n">
        <f aca="false">+'CCs # Master'!AI10</f>
        <v>23</v>
      </c>
      <c r="AL151" s="39" t="n">
        <f aca="false">+'CCs # Master'!AJ10</f>
        <v>10</v>
      </c>
      <c r="AM151" s="39" t="n">
        <f aca="false">+'CCs # Master'!AK10</f>
        <v>19</v>
      </c>
      <c r="AN151" s="39" t="n">
        <f aca="false">+'CCs # Master'!AL10</f>
        <v>12</v>
      </c>
      <c r="AO151" s="39" t="n">
        <f aca="false">+'CCs # Master'!AM10</f>
        <v>138</v>
      </c>
      <c r="AP151" s="39" t="n">
        <f aca="false">+'CCs # Master'!AN10</f>
        <v>0</v>
      </c>
      <c r="AQ151" s="39" t="n">
        <f aca="false">+'CCs # Master'!AO10</f>
        <v>78</v>
      </c>
      <c r="AR151" s="39" t="n">
        <f aca="false">+'CCs # Master'!AP10</f>
        <v>21</v>
      </c>
      <c r="AS151" s="39" t="n">
        <f aca="false">+'CCs # Master'!AQ10</f>
        <v>0</v>
      </c>
      <c r="AT151" s="39" t="n">
        <f aca="false">+'CCs # Master'!AR10</f>
        <v>0</v>
      </c>
      <c r="AU151" s="39" t="n">
        <f aca="false">+'CCs # Master'!AS10</f>
        <v>0</v>
      </c>
      <c r="AV151" s="39" t="n">
        <f aca="false">+'CCs # Master'!AT10</f>
        <v>0</v>
      </c>
      <c r="AW151" s="0"/>
      <c r="AX151" s="71" t="n">
        <f aca="false">SUM(N151:AW151)</f>
        <v>1914</v>
      </c>
      <c r="AY151" s="71" t="n">
        <f aca="false">+K151-AX151</f>
        <v>0</v>
      </c>
      <c r="AZ151" s="39"/>
      <c r="BA151" s="39" t="n">
        <f aca="false">+P151+Q151+T151+U151+V151+W151+X151+Y151</f>
        <v>394</v>
      </c>
      <c r="BB151" s="39" t="n">
        <f aca="false">N151</f>
        <v>196</v>
      </c>
      <c r="BC151" s="39" t="n">
        <f aca="false">SUM(P151:AW151)</f>
        <v>1718</v>
      </c>
      <c r="BD151" s="39"/>
      <c r="BE151" s="39" t="n">
        <f aca="false">SUM(BB151:BC151)</f>
        <v>1914</v>
      </c>
      <c r="BF151" s="39"/>
      <c r="BG151" s="48" t="n">
        <f aca="false">SUM(N151:AW151)</f>
        <v>1914</v>
      </c>
      <c r="BH151" s="39" t="n">
        <f aca="false">BE151-BG151</f>
        <v>0</v>
      </c>
      <c r="BI151" s="39"/>
      <c r="BJ151" s="39"/>
      <c r="BK151" s="39"/>
      <c r="BL151" s="39"/>
      <c r="BM151" s="39"/>
      <c r="BN151" s="39"/>
      <c r="BO151" s="39"/>
      <c r="BP151" s="39"/>
      <c r="BQ151" s="39"/>
      <c r="BR151" s="39"/>
      <c r="BS151" s="39"/>
      <c r="BT151" s="39"/>
      <c r="BU151" s="39"/>
      <c r="BV151" s="39"/>
      <c r="BW151" s="39"/>
      <c r="BX151" s="39"/>
      <c r="BY151" s="39"/>
      <c r="BZ151" s="39"/>
      <c r="CA151" s="39"/>
      <c r="CB151" s="39"/>
      <c r="CC151" s="39"/>
      <c r="CD151" s="39"/>
      <c r="CE151" s="39"/>
      <c r="CF151" s="39"/>
      <c r="CG151" s="39"/>
      <c r="CH151" s="39"/>
      <c r="CI151" s="39"/>
      <c r="CJ151" s="39"/>
      <c r="CK151" s="39"/>
      <c r="CL151" s="39"/>
      <c r="CM151" s="39"/>
      <c r="CN151" s="39"/>
      <c r="CO151" s="39"/>
      <c r="CP151" s="39"/>
      <c r="CQ151" s="39"/>
      <c r="CR151" s="39"/>
      <c r="CS151" s="39"/>
      <c r="CT151" s="39"/>
      <c r="CU151" s="39"/>
      <c r="CV151" s="39"/>
      <c r="CW151" s="39"/>
      <c r="CX151" s="39"/>
      <c r="CY151" s="39"/>
      <c r="CZ151" s="39"/>
      <c r="DA151" s="39"/>
      <c r="DB151" s="39"/>
      <c r="DC151" s="39"/>
      <c r="DD151" s="39"/>
      <c r="DE151" s="39"/>
      <c r="DF151" s="39"/>
      <c r="DG151" s="39"/>
      <c r="DH151" s="39"/>
      <c r="DI151" s="39"/>
      <c r="DJ151" s="39"/>
      <c r="DK151" s="39"/>
      <c r="DL151" s="39"/>
      <c r="DM151" s="39"/>
      <c r="DN151" s="39"/>
      <c r="DO151" s="39"/>
      <c r="DP151" s="39"/>
      <c r="DQ151" s="39"/>
      <c r="DR151" s="39"/>
      <c r="DS151" s="39"/>
      <c r="DT151" s="39"/>
      <c r="DU151" s="39"/>
      <c r="DV151" s="39"/>
      <c r="DW151" s="39"/>
      <c r="DX151" s="39"/>
      <c r="DY151" s="39"/>
      <c r="DZ151" s="39"/>
      <c r="EA151" s="39"/>
      <c r="EB151" s="39"/>
      <c r="EC151" s="39"/>
      <c r="ED151" s="39"/>
      <c r="EE151" s="39"/>
      <c r="EF151" s="39"/>
      <c r="EG151" s="39"/>
      <c r="EH151" s="39"/>
      <c r="EI151" s="39"/>
      <c r="EJ151" s="39"/>
      <c r="EK151" s="39"/>
      <c r="EL151" s="39"/>
      <c r="EM151" s="39"/>
      <c r="EN151" s="39"/>
      <c r="EO151" s="39"/>
      <c r="EP151" s="39"/>
      <c r="EQ151" s="39"/>
      <c r="ER151" s="39"/>
      <c r="ES151" s="39"/>
      <c r="ET151" s="39"/>
      <c r="EU151" s="39"/>
      <c r="EV151" s="39"/>
      <c r="EW151" s="39"/>
      <c r="EX151" s="39"/>
      <c r="EY151" s="39"/>
      <c r="EZ151" s="39"/>
      <c r="FA151" s="39"/>
      <c r="FB151" s="39"/>
      <c r="FC151" s="39"/>
      <c r="FD151" s="39"/>
      <c r="FE151" s="39"/>
      <c r="FF151" s="39"/>
      <c r="FG151" s="39"/>
      <c r="FH151" s="39"/>
      <c r="FI151" s="39"/>
      <c r="FJ151" s="39"/>
      <c r="FK151" s="39"/>
      <c r="FL151" s="39"/>
      <c r="FM151" s="39"/>
      <c r="FN151" s="39"/>
      <c r="FO151" s="39"/>
      <c r="FP151" s="39"/>
      <c r="FQ151" s="39"/>
      <c r="FR151" s="39"/>
      <c r="FS151" s="39"/>
      <c r="FT151" s="39"/>
      <c r="FU151" s="39"/>
      <c r="FV151" s="39"/>
      <c r="FW151" s="39"/>
      <c r="FX151" s="39"/>
      <c r="FY151" s="39"/>
      <c r="FZ151" s="39"/>
      <c r="GA151" s="39"/>
      <c r="GB151" s="39"/>
      <c r="GC151" s="39"/>
      <c r="GD151" s="39"/>
      <c r="GE151" s="39"/>
      <c r="GF151" s="39"/>
      <c r="GG151" s="39"/>
      <c r="GH151" s="39"/>
      <c r="GI151" s="39"/>
      <c r="GJ151" s="39"/>
      <c r="GK151" s="39"/>
      <c r="GL151" s="39"/>
      <c r="GM151" s="39"/>
      <c r="GN151" s="39"/>
      <c r="GO151" s="39"/>
      <c r="GP151" s="39"/>
      <c r="GQ151" s="39"/>
      <c r="GR151" s="39"/>
      <c r="GS151" s="39"/>
      <c r="GT151" s="39"/>
      <c r="GU151" s="39"/>
      <c r="GV151" s="39"/>
      <c r="GW151" s="39"/>
      <c r="GX151" s="39"/>
      <c r="GY151" s="39"/>
      <c r="GZ151" s="39"/>
      <c r="HA151" s="39"/>
      <c r="HB151" s="39"/>
      <c r="HC151" s="39"/>
      <c r="HD151" s="39"/>
      <c r="HE151" s="39"/>
      <c r="HF151" s="39"/>
      <c r="HG151" s="39"/>
      <c r="HH151" s="39"/>
      <c r="HI151" s="39"/>
      <c r="HJ151" s="39"/>
      <c r="HK151" s="39"/>
      <c r="HL151" s="39"/>
      <c r="HM151" s="39"/>
      <c r="HN151" s="39"/>
      <c r="HO151" s="39"/>
      <c r="HP151" s="39"/>
      <c r="HQ151" s="39"/>
      <c r="HR151" s="39"/>
      <c r="HS151" s="39"/>
      <c r="HT151" s="39"/>
      <c r="HU151" s="39"/>
      <c r="HV151" s="39"/>
      <c r="HW151" s="39"/>
      <c r="HX151" s="39"/>
      <c r="HY151" s="39"/>
      <c r="HZ151" s="39"/>
      <c r="IA151" s="39"/>
      <c r="IB151" s="39"/>
      <c r="IC151" s="39"/>
      <c r="ID151" s="39"/>
      <c r="IE151" s="39"/>
      <c r="IF151" s="39"/>
      <c r="IG151" s="39"/>
      <c r="IH151" s="39"/>
      <c r="II151" s="39"/>
      <c r="IJ151" s="39"/>
      <c r="IK151" s="39"/>
      <c r="IL151" s="39"/>
      <c r="IM151" s="39"/>
      <c r="IN151" s="39"/>
      <c r="IO151" s="39"/>
      <c r="IP151" s="39"/>
      <c r="IQ151" s="39"/>
      <c r="IR151" s="39"/>
      <c r="IS151" s="39"/>
      <c r="IT151" s="39"/>
      <c r="IU151" s="39"/>
      <c r="IV151" s="39"/>
      <c r="IW151" s="39"/>
    </row>
    <row r="152" customFormat="false" ht="12.95" hidden="false" customHeight="true" outlineLevel="0" collapsed="false">
      <c r="A152" s="37" t="n">
        <f aca="false">+'CCs # Master'!A134</f>
        <v>11</v>
      </c>
      <c r="B152" s="39" t="str">
        <f aca="false">+'CCs # Master'!B134</f>
        <v>ODT/Transition Mgt</v>
      </c>
      <c r="C152" s="39" t="str">
        <f aca="false">+'CCs # Master'!C134</f>
        <v>Gibson, Gerry</v>
      </c>
      <c r="D152" s="96" t="n">
        <f aca="false">+'CCs # Master'!D134</f>
        <v>100830</v>
      </c>
      <c r="E152" s="39" t="n">
        <f aca="false">+'CCs # Master'!E134</f>
        <v>316</v>
      </c>
      <c r="F152" s="39" t="n">
        <f aca="false">+'CCs # Master'!F134</f>
        <v>60</v>
      </c>
      <c r="G152" s="39" t="n">
        <f aca="false">+'CCs # Master'!G134</f>
        <v>0</v>
      </c>
      <c r="H152" s="39" t="n">
        <f aca="false">+'CCs # Master'!H134</f>
        <v>0</v>
      </c>
      <c r="I152" s="39" t="n">
        <f aca="false">+'CCs # Master'!I134</f>
        <v>36</v>
      </c>
      <c r="J152" s="39" t="n">
        <f aca="false">+'CCs # Master'!J134</f>
        <v>-200</v>
      </c>
      <c r="K152" s="71" t="n">
        <f aca="false">SUM(E152:J152)</f>
        <v>212</v>
      </c>
      <c r="L152" s="39"/>
      <c r="M152" s="39" t="str">
        <f aca="false">+'CCs # Master'!M134</f>
        <v>% of Domestic Headcount</v>
      </c>
      <c r="N152" s="39" t="n">
        <f aca="false">+'CCs # Master'!AW134</f>
        <v>21</v>
      </c>
      <c r="O152" s="39" t="n">
        <v>0</v>
      </c>
      <c r="P152" s="39" t="n">
        <f aca="false">+'CCs # Master'!N134</f>
        <v>3</v>
      </c>
      <c r="Q152" s="39" t="n">
        <f aca="false">+'CCs # Master'!O134</f>
        <v>6</v>
      </c>
      <c r="R152" s="39" t="n">
        <f aca="false">+'CCs # Master'!P134</f>
        <v>7</v>
      </c>
      <c r="S152" s="39" t="n">
        <f aca="false">+'CCs # Master'!Q134</f>
        <v>7</v>
      </c>
      <c r="T152" s="39" t="n">
        <f aca="false">+'CCs # Master'!R134</f>
        <v>1</v>
      </c>
      <c r="U152" s="39" t="n">
        <f aca="false">+'CCs # Master'!S134</f>
        <v>0</v>
      </c>
      <c r="V152" s="39" t="n">
        <f aca="false">+'CCs # Master'!T134</f>
        <v>4</v>
      </c>
      <c r="W152" s="39" t="n">
        <f aca="false">+'CCs # Master'!U134</f>
        <v>25</v>
      </c>
      <c r="X152" s="39" t="n">
        <f aca="false">+'CCs # Master'!V134</f>
        <v>4</v>
      </c>
      <c r="Y152" s="39" t="n">
        <f aca="false">+'CCs # Master'!W134</f>
        <v>2</v>
      </c>
      <c r="Z152" s="39" t="n">
        <f aca="false">+'CCs # Master'!X134</f>
        <v>34</v>
      </c>
      <c r="AA152" s="39" t="n">
        <f aca="false">+'CCs # Master'!Y134</f>
        <v>0</v>
      </c>
      <c r="AB152" s="39" t="n">
        <f aca="false">+'CCs # Master'!Z134</f>
        <v>4</v>
      </c>
      <c r="AC152" s="39" t="n">
        <f aca="false">+'CCs # Master'!AA134</f>
        <v>1</v>
      </c>
      <c r="AD152" s="39" t="n">
        <f aca="false">+'CCs # Master'!AB134</f>
        <v>0</v>
      </c>
      <c r="AE152" s="39" t="n">
        <f aca="false">+'CCs # Master'!AC134</f>
        <v>2</v>
      </c>
      <c r="AF152" s="39" t="n">
        <f aca="false">+'CCs # Master'!AD134</f>
        <v>31</v>
      </c>
      <c r="AG152" s="39" t="n">
        <f aca="false">+'CCs # Master'!AE134</f>
        <v>25</v>
      </c>
      <c r="AH152" s="39" t="n">
        <f aca="false">+'CCs # Master'!AF134</f>
        <v>0</v>
      </c>
      <c r="AI152" s="39" t="n">
        <f aca="false">+'CCs # Master'!AG134</f>
        <v>0</v>
      </c>
      <c r="AJ152" s="39" t="n">
        <f aca="false">+'CCs # Master'!AH134</f>
        <v>2</v>
      </c>
      <c r="AK152" s="39" t="n">
        <f aca="false">+'CCs # Master'!AI134</f>
        <v>2</v>
      </c>
      <c r="AL152" s="39" t="n">
        <f aca="false">+'CCs # Master'!AJ134</f>
        <v>1</v>
      </c>
      <c r="AM152" s="39" t="n">
        <f aca="false">+'CCs # Master'!AK134</f>
        <v>2</v>
      </c>
      <c r="AN152" s="39" t="n">
        <f aca="false">+'CCs # Master'!AL134</f>
        <v>1</v>
      </c>
      <c r="AO152" s="39" t="n">
        <f aca="false">+'CCs # Master'!AM134</f>
        <v>16</v>
      </c>
      <c r="AP152" s="39" t="n">
        <f aca="false">+'CCs # Master'!AN134</f>
        <v>0</v>
      </c>
      <c r="AQ152" s="39" t="n">
        <f aca="false">+'CCs # Master'!AO134</f>
        <v>9</v>
      </c>
      <c r="AR152" s="39" t="n">
        <f aca="false">+'CCs # Master'!AP134</f>
        <v>2</v>
      </c>
      <c r="AS152" s="39" t="n">
        <f aca="false">+'CCs # Master'!AQ134</f>
        <v>0</v>
      </c>
      <c r="AT152" s="39" t="n">
        <f aca="false">+'CCs # Master'!AR134</f>
        <v>0</v>
      </c>
      <c r="AU152" s="39" t="n">
        <f aca="false">+'CCs # Master'!AS134</f>
        <v>0</v>
      </c>
      <c r="AV152" s="39" t="n">
        <f aca="false">+'CCs # Master'!AT134</f>
        <v>0</v>
      </c>
      <c r="AW152" s="0"/>
      <c r="AX152" s="71" t="n">
        <f aca="false">SUM(N152:AW152)</f>
        <v>212</v>
      </c>
      <c r="AY152" s="71" t="n">
        <f aca="false">+K152-AX152</f>
        <v>0</v>
      </c>
      <c r="AZ152" s="39"/>
      <c r="BA152" s="39" t="n">
        <f aca="false">+P152+Q152+T152+U152+V152+W152+X152+Y152</f>
        <v>45</v>
      </c>
      <c r="BB152" s="39" t="n">
        <f aca="false">N152</f>
        <v>21</v>
      </c>
      <c r="BC152" s="39" t="n">
        <f aca="false">SUM(P152:AW152)</f>
        <v>191</v>
      </c>
      <c r="BD152" s="39"/>
      <c r="BE152" s="39" t="n">
        <f aca="false">SUM(BB152:BC152)</f>
        <v>212</v>
      </c>
      <c r="BF152" s="39"/>
      <c r="BG152" s="98" t="n">
        <f aca="false">SUM(N152:AW152)</f>
        <v>212</v>
      </c>
      <c r="BH152" s="39" t="n">
        <f aca="false">BE152-BG152</f>
        <v>0</v>
      </c>
      <c r="BI152" s="39"/>
      <c r="BJ152" s="39"/>
      <c r="BK152" s="39"/>
      <c r="BL152" s="39"/>
      <c r="BM152" s="39"/>
      <c r="BN152" s="39"/>
      <c r="BO152" s="39"/>
      <c r="BP152" s="39"/>
      <c r="BQ152" s="39"/>
      <c r="BR152" s="39"/>
      <c r="BS152" s="39"/>
      <c r="BT152" s="39"/>
      <c r="BU152" s="39"/>
      <c r="BV152" s="39"/>
      <c r="BW152" s="39"/>
      <c r="BX152" s="39"/>
      <c r="BY152" s="39"/>
      <c r="BZ152" s="39"/>
      <c r="CA152" s="39"/>
      <c r="CB152" s="39"/>
      <c r="CC152" s="39"/>
      <c r="CD152" s="39"/>
      <c r="CE152" s="39"/>
      <c r="CF152" s="39"/>
      <c r="CG152" s="39"/>
      <c r="CH152" s="39"/>
      <c r="CI152" s="39"/>
      <c r="CJ152" s="39"/>
      <c r="CK152" s="39"/>
      <c r="CL152" s="39"/>
      <c r="CM152" s="39"/>
      <c r="CN152" s="39"/>
      <c r="CO152" s="39"/>
      <c r="CP152" s="39"/>
      <c r="CQ152" s="39"/>
      <c r="CR152" s="39"/>
      <c r="CS152" s="39"/>
      <c r="CT152" s="39"/>
      <c r="CU152" s="39"/>
      <c r="CV152" s="39"/>
      <c r="CW152" s="39"/>
      <c r="CX152" s="39"/>
      <c r="CY152" s="39"/>
      <c r="CZ152" s="39"/>
      <c r="DA152" s="39"/>
      <c r="DB152" s="39"/>
      <c r="DC152" s="39"/>
      <c r="DD152" s="39"/>
      <c r="DE152" s="39"/>
      <c r="DF152" s="39"/>
      <c r="DG152" s="39"/>
      <c r="DH152" s="39"/>
      <c r="DI152" s="39"/>
      <c r="DJ152" s="39"/>
      <c r="DK152" s="39"/>
      <c r="DL152" s="39"/>
      <c r="DM152" s="39"/>
      <c r="DN152" s="39"/>
      <c r="DO152" s="39"/>
      <c r="DP152" s="39"/>
      <c r="DQ152" s="39"/>
      <c r="DR152" s="39"/>
      <c r="DS152" s="39"/>
      <c r="DT152" s="39"/>
      <c r="DU152" s="39"/>
      <c r="DV152" s="39"/>
      <c r="DW152" s="39"/>
      <c r="DX152" s="39"/>
      <c r="DY152" s="39"/>
      <c r="DZ152" s="39"/>
      <c r="EA152" s="39"/>
      <c r="EB152" s="39"/>
      <c r="EC152" s="39"/>
      <c r="ED152" s="39"/>
      <c r="EE152" s="39"/>
      <c r="EF152" s="39"/>
      <c r="EG152" s="39"/>
      <c r="EH152" s="39"/>
      <c r="EI152" s="39"/>
      <c r="EJ152" s="39"/>
      <c r="EK152" s="39"/>
      <c r="EL152" s="39"/>
      <c r="EM152" s="39"/>
      <c r="EN152" s="39"/>
      <c r="EO152" s="39"/>
      <c r="EP152" s="39"/>
      <c r="EQ152" s="39"/>
      <c r="ER152" s="39"/>
      <c r="ES152" s="39"/>
      <c r="ET152" s="39"/>
      <c r="EU152" s="39"/>
      <c r="EV152" s="39"/>
      <c r="EW152" s="39"/>
      <c r="EX152" s="39"/>
      <c r="EY152" s="39"/>
      <c r="EZ152" s="39"/>
      <c r="FA152" s="39"/>
      <c r="FB152" s="39"/>
      <c r="FC152" s="39"/>
      <c r="FD152" s="39"/>
      <c r="FE152" s="39"/>
      <c r="FF152" s="39"/>
      <c r="FG152" s="39"/>
      <c r="FH152" s="39"/>
      <c r="FI152" s="39"/>
      <c r="FJ152" s="39"/>
      <c r="FK152" s="39"/>
      <c r="FL152" s="39"/>
      <c r="FM152" s="39"/>
      <c r="FN152" s="39"/>
      <c r="FO152" s="39"/>
      <c r="FP152" s="39"/>
      <c r="FQ152" s="39"/>
      <c r="FR152" s="39"/>
      <c r="FS152" s="39"/>
      <c r="FT152" s="39"/>
      <c r="FU152" s="39"/>
      <c r="FV152" s="39"/>
      <c r="FW152" s="39"/>
      <c r="FX152" s="39"/>
      <c r="FY152" s="39"/>
      <c r="FZ152" s="39"/>
      <c r="GA152" s="39"/>
      <c r="GB152" s="39"/>
      <c r="GC152" s="39"/>
      <c r="GD152" s="39"/>
      <c r="GE152" s="39"/>
      <c r="GF152" s="39"/>
      <c r="GG152" s="39"/>
      <c r="GH152" s="39"/>
      <c r="GI152" s="39"/>
      <c r="GJ152" s="39"/>
      <c r="GK152" s="39"/>
      <c r="GL152" s="39"/>
      <c r="GM152" s="39"/>
      <c r="GN152" s="39"/>
      <c r="GO152" s="39"/>
      <c r="GP152" s="39"/>
      <c r="GQ152" s="39"/>
      <c r="GR152" s="39"/>
      <c r="GS152" s="39"/>
      <c r="GT152" s="39"/>
      <c r="GU152" s="39"/>
      <c r="GV152" s="39"/>
      <c r="GW152" s="39"/>
      <c r="GX152" s="39"/>
      <c r="GY152" s="39"/>
      <c r="GZ152" s="39"/>
      <c r="HA152" s="39"/>
      <c r="HB152" s="39"/>
      <c r="HC152" s="39"/>
      <c r="HD152" s="39"/>
      <c r="HE152" s="39"/>
      <c r="HF152" s="39"/>
      <c r="HG152" s="39"/>
      <c r="HH152" s="39"/>
      <c r="HI152" s="39"/>
      <c r="HJ152" s="39"/>
      <c r="HK152" s="39"/>
      <c r="HL152" s="39"/>
      <c r="HM152" s="39"/>
      <c r="HN152" s="39"/>
      <c r="HO152" s="39"/>
      <c r="HP152" s="39"/>
      <c r="HQ152" s="39"/>
      <c r="HR152" s="39"/>
      <c r="HS152" s="39"/>
      <c r="HT152" s="39"/>
      <c r="HU152" s="39"/>
      <c r="HV152" s="39"/>
      <c r="HW152" s="39"/>
      <c r="HX152" s="39"/>
      <c r="HY152" s="39"/>
      <c r="HZ152" s="39"/>
      <c r="IA152" s="39"/>
      <c r="IB152" s="39"/>
      <c r="IC152" s="39"/>
      <c r="ID152" s="39"/>
      <c r="IE152" s="39"/>
      <c r="IF152" s="39"/>
      <c r="IG152" s="39"/>
      <c r="IH152" s="39"/>
      <c r="II152" s="39"/>
      <c r="IJ152" s="39"/>
      <c r="IK152" s="39"/>
      <c r="IL152" s="39"/>
      <c r="IM152" s="39"/>
      <c r="IN152" s="39"/>
      <c r="IO152" s="39"/>
      <c r="IP152" s="39"/>
      <c r="IQ152" s="39"/>
      <c r="IR152" s="39"/>
      <c r="IS152" s="39"/>
      <c r="IT152" s="39"/>
      <c r="IU152" s="39"/>
      <c r="IV152" s="39"/>
      <c r="IW152" s="39"/>
    </row>
    <row r="153" customFormat="false" ht="12.95" hidden="false" customHeight="true" outlineLevel="0" collapsed="false">
      <c r="A153" s="37" t="str">
        <f aca="false">+'CCs # Master'!A33</f>
        <v>0011</v>
      </c>
      <c r="B153" s="99" t="str">
        <f aca="false">+'CCs # Master'!B33</f>
        <v>H.R.I.S.</v>
      </c>
      <c r="C153" s="99" t="str">
        <f aca="false">+'CCs # Master'!C33</f>
        <v>Jones, Robert</v>
      </c>
      <c r="D153" s="37" t="n">
        <f aca="false">+'CCs # Master'!D33</f>
        <v>100033</v>
      </c>
      <c r="E153" s="103" t="n">
        <f aca="false">+'CCs # Master'!E33</f>
        <v>416</v>
      </c>
      <c r="F153" s="103" t="n">
        <f aca="false">+'CCs # Master'!F33</f>
        <v>22</v>
      </c>
      <c r="G153" s="103" t="n">
        <f aca="false">+'CCs # Master'!G33</f>
        <v>3</v>
      </c>
      <c r="H153" s="103" t="n">
        <f aca="false">+'CCs # Master'!H33</f>
        <v>199</v>
      </c>
      <c r="I153" s="103" t="n">
        <f aca="false">+'CCs # Master'!I33</f>
        <v>67</v>
      </c>
      <c r="J153" s="103" t="n">
        <f aca="false">+'CCs # Master'!J33</f>
        <v>2</v>
      </c>
      <c r="K153" s="71" t="n">
        <f aca="false">SUM(E153:J153)</f>
        <v>709</v>
      </c>
      <c r="L153" s="37"/>
      <c r="M153" s="99" t="str">
        <f aca="false">+'CCs # Master'!M33</f>
        <v>% of Domestic Headcount</v>
      </c>
      <c r="N153" s="39" t="n">
        <f aca="false">+'CCs # Master'!AW33</f>
        <v>72</v>
      </c>
      <c r="O153" s="39" t="n">
        <v>0</v>
      </c>
      <c r="P153" s="39" t="n">
        <f aca="false">+'CCs # Master'!N33</f>
        <v>11</v>
      </c>
      <c r="Q153" s="39" t="n">
        <f aca="false">+'CCs # Master'!O33</f>
        <v>21</v>
      </c>
      <c r="R153" s="39" t="n">
        <f aca="false">+'CCs # Master'!P33</f>
        <v>23</v>
      </c>
      <c r="S153" s="39" t="n">
        <f aca="false">+'CCs # Master'!Q33</f>
        <v>24</v>
      </c>
      <c r="T153" s="39" t="n">
        <f aca="false">+'CCs # Master'!R33</f>
        <v>2</v>
      </c>
      <c r="U153" s="39" t="n">
        <f aca="false">+'CCs # Master'!S33</f>
        <v>0</v>
      </c>
      <c r="V153" s="39" t="n">
        <f aca="false">+'CCs # Master'!T33</f>
        <v>13</v>
      </c>
      <c r="W153" s="39" t="n">
        <f aca="false">+'CCs # Master'!U33</f>
        <v>83</v>
      </c>
      <c r="X153" s="39" t="n">
        <f aca="false">+'CCs # Master'!V33</f>
        <v>19</v>
      </c>
      <c r="Y153" s="39" t="n">
        <f aca="false">+'CCs # Master'!W33</f>
        <v>0</v>
      </c>
      <c r="Z153" s="39" t="n">
        <f aca="false">+'CCs # Master'!X33</f>
        <v>117</v>
      </c>
      <c r="AA153" s="39" t="n">
        <f aca="false">+'CCs # Master'!Y33</f>
        <v>1</v>
      </c>
      <c r="AB153" s="39" t="n">
        <f aca="false">+'CCs # Master'!Z33</f>
        <v>13</v>
      </c>
      <c r="AC153" s="39" t="n">
        <f aca="false">+'CCs # Master'!AA33</f>
        <v>3</v>
      </c>
      <c r="AD153" s="39" t="n">
        <f aca="false">+'CCs # Master'!AB33</f>
        <v>1</v>
      </c>
      <c r="AE153" s="39" t="n">
        <f aca="false">+'CCs # Master'!AC33</f>
        <v>5</v>
      </c>
      <c r="AF153" s="39" t="n">
        <f aca="false">+'CCs # Master'!AD33</f>
        <v>102</v>
      </c>
      <c r="AG153" s="39" t="n">
        <f aca="false">+'CCs # Master'!AE33</f>
        <v>82</v>
      </c>
      <c r="AH153" s="39" t="n">
        <f aca="false">+'CCs # Master'!AF33</f>
        <v>1</v>
      </c>
      <c r="AI153" s="39" t="n">
        <f aca="false">+'CCs # Master'!AG33</f>
        <v>0</v>
      </c>
      <c r="AJ153" s="39" t="n">
        <f aca="false">+'CCs # Master'!AH33</f>
        <v>6</v>
      </c>
      <c r="AK153" s="39" t="n">
        <f aca="false">+'CCs # Master'!AI33</f>
        <v>6</v>
      </c>
      <c r="AL153" s="39" t="n">
        <f aca="false">+'CCs # Master'!AJ33</f>
        <v>3</v>
      </c>
      <c r="AM153" s="39" t="n">
        <f aca="false">+'CCs # Master'!AK33</f>
        <v>7</v>
      </c>
      <c r="AN153" s="39" t="n">
        <f aca="false">+'CCs # Master'!AL33</f>
        <v>2</v>
      </c>
      <c r="AO153" s="39" t="n">
        <f aca="false">+'CCs # Master'!AM33</f>
        <v>53</v>
      </c>
      <c r="AP153" s="39" t="n">
        <f aca="false">+'CCs # Master'!AN33</f>
        <v>0</v>
      </c>
      <c r="AQ153" s="39" t="n">
        <f aca="false">+'CCs # Master'!AO33</f>
        <v>31</v>
      </c>
      <c r="AR153" s="39" t="n">
        <f aca="false">+'CCs # Master'!AP33</f>
        <v>8</v>
      </c>
      <c r="AS153" s="39" t="n">
        <f aca="false">+'CCs # Master'!AQ33</f>
        <v>0</v>
      </c>
      <c r="AT153" s="39" t="n">
        <f aca="false">+'CCs # Master'!AR33</f>
        <v>0</v>
      </c>
      <c r="AU153" s="39" t="n">
        <f aca="false">+'CCs # Master'!AS33</f>
        <v>0</v>
      </c>
      <c r="AV153" s="39" t="n">
        <f aca="false">+'CCs # Master'!AT33</f>
        <v>0</v>
      </c>
      <c r="AW153" s="0"/>
      <c r="AX153" s="71" t="n">
        <f aca="false">SUM(N153:AW153)</f>
        <v>709</v>
      </c>
      <c r="AY153" s="71" t="n">
        <f aca="false">+K153-AX153</f>
        <v>0</v>
      </c>
      <c r="AZ153" s="39"/>
      <c r="BA153" s="39" t="n">
        <f aca="false">+P153+Q153+T153+U153+V153+W153+X153+Y153</f>
        <v>149</v>
      </c>
      <c r="BB153" s="39" t="n">
        <f aca="false">N153</f>
        <v>72</v>
      </c>
      <c r="BC153" s="39" t="n">
        <f aca="false">SUM(P153:AW153)</f>
        <v>637</v>
      </c>
      <c r="BD153" s="39"/>
      <c r="BE153" s="39" t="n">
        <f aca="false">SUM(BB153:BC153)</f>
        <v>709</v>
      </c>
      <c r="BF153" s="39"/>
      <c r="BG153" s="48" t="n">
        <f aca="false">SUM(N153:AW153)</f>
        <v>709</v>
      </c>
      <c r="BH153" s="39" t="n">
        <f aca="false">BE153-BG153</f>
        <v>0</v>
      </c>
      <c r="BI153" s="39"/>
      <c r="BJ153" s="39"/>
      <c r="BK153" s="39"/>
      <c r="BL153" s="39"/>
      <c r="BM153" s="39"/>
      <c r="BN153" s="39"/>
      <c r="BO153" s="39"/>
      <c r="BP153" s="39"/>
      <c r="BQ153" s="39"/>
      <c r="BR153" s="39"/>
      <c r="BS153" s="39"/>
      <c r="BT153" s="39"/>
      <c r="BU153" s="39"/>
      <c r="BV153" s="39"/>
      <c r="BW153" s="39"/>
      <c r="BX153" s="39"/>
      <c r="BY153" s="39"/>
      <c r="BZ153" s="39"/>
      <c r="CA153" s="39"/>
      <c r="CB153" s="39"/>
      <c r="CC153" s="39"/>
      <c r="CD153" s="39"/>
      <c r="CE153" s="39"/>
      <c r="CF153" s="39"/>
      <c r="CG153" s="39"/>
      <c r="CH153" s="39"/>
      <c r="CI153" s="39"/>
      <c r="CJ153" s="39"/>
      <c r="CK153" s="39"/>
      <c r="CL153" s="39"/>
      <c r="CM153" s="39"/>
      <c r="CN153" s="39"/>
      <c r="CO153" s="39"/>
      <c r="CP153" s="39"/>
      <c r="CQ153" s="39"/>
      <c r="CR153" s="39"/>
      <c r="CS153" s="39"/>
      <c r="CT153" s="39"/>
      <c r="CU153" s="39"/>
      <c r="CV153" s="39"/>
      <c r="CW153" s="39"/>
      <c r="CX153" s="39"/>
      <c r="CY153" s="39"/>
      <c r="CZ153" s="39"/>
      <c r="DA153" s="39"/>
      <c r="DB153" s="39"/>
      <c r="DC153" s="39"/>
      <c r="DD153" s="39"/>
      <c r="DE153" s="39"/>
      <c r="DF153" s="39"/>
      <c r="DG153" s="39"/>
      <c r="DH153" s="39"/>
      <c r="DI153" s="39"/>
      <c r="DJ153" s="39"/>
      <c r="DK153" s="39"/>
      <c r="DL153" s="39"/>
      <c r="DM153" s="39"/>
      <c r="DN153" s="39"/>
      <c r="DO153" s="39"/>
      <c r="DP153" s="39"/>
      <c r="DQ153" s="39"/>
      <c r="DR153" s="39"/>
      <c r="DS153" s="39"/>
      <c r="DT153" s="39"/>
      <c r="DU153" s="39"/>
      <c r="DV153" s="39"/>
      <c r="DW153" s="39"/>
      <c r="DX153" s="39"/>
      <c r="DY153" s="39"/>
      <c r="DZ153" s="39"/>
      <c r="EA153" s="39"/>
      <c r="EB153" s="39"/>
      <c r="EC153" s="39"/>
      <c r="ED153" s="39"/>
      <c r="EE153" s="39"/>
      <c r="EF153" s="39"/>
      <c r="EG153" s="39"/>
      <c r="EH153" s="39"/>
      <c r="EI153" s="39"/>
      <c r="EJ153" s="39"/>
      <c r="EK153" s="39"/>
      <c r="EL153" s="39"/>
      <c r="EM153" s="39"/>
      <c r="EN153" s="39"/>
      <c r="EO153" s="39"/>
      <c r="EP153" s="39"/>
      <c r="EQ153" s="39"/>
      <c r="ER153" s="39"/>
      <c r="ES153" s="39"/>
      <c r="ET153" s="39"/>
      <c r="EU153" s="39"/>
      <c r="EV153" s="39"/>
      <c r="EW153" s="39"/>
      <c r="EX153" s="39"/>
      <c r="EY153" s="39"/>
      <c r="EZ153" s="39"/>
      <c r="FA153" s="39"/>
      <c r="FB153" s="39"/>
      <c r="FC153" s="39"/>
      <c r="FD153" s="39"/>
      <c r="FE153" s="39"/>
      <c r="FF153" s="39"/>
      <c r="FG153" s="39"/>
      <c r="FH153" s="39"/>
      <c r="FI153" s="39"/>
      <c r="FJ153" s="39"/>
      <c r="FK153" s="39"/>
      <c r="FL153" s="39"/>
      <c r="FM153" s="39"/>
      <c r="FN153" s="39"/>
      <c r="FO153" s="39"/>
      <c r="FP153" s="39"/>
      <c r="FQ153" s="39"/>
      <c r="FR153" s="39"/>
      <c r="FS153" s="39"/>
      <c r="FT153" s="39"/>
      <c r="FU153" s="39"/>
      <c r="FV153" s="39"/>
      <c r="FW153" s="39"/>
      <c r="FX153" s="39"/>
      <c r="FY153" s="39"/>
      <c r="FZ153" s="39"/>
      <c r="GA153" s="39"/>
      <c r="GB153" s="39"/>
      <c r="GC153" s="39"/>
      <c r="GD153" s="39"/>
      <c r="GE153" s="39"/>
      <c r="GF153" s="39"/>
      <c r="GG153" s="39"/>
      <c r="GH153" s="39"/>
      <c r="GI153" s="39"/>
      <c r="GJ153" s="39"/>
      <c r="GK153" s="39"/>
      <c r="GL153" s="39"/>
      <c r="GM153" s="39"/>
      <c r="GN153" s="39"/>
      <c r="GO153" s="39"/>
      <c r="GP153" s="39"/>
      <c r="GQ153" s="39"/>
      <c r="GR153" s="39"/>
      <c r="GS153" s="39"/>
      <c r="GT153" s="39"/>
      <c r="GU153" s="39"/>
      <c r="GV153" s="39"/>
      <c r="GW153" s="39"/>
      <c r="GX153" s="39"/>
      <c r="GY153" s="39"/>
      <c r="GZ153" s="39"/>
      <c r="HA153" s="39"/>
      <c r="HB153" s="39"/>
      <c r="HC153" s="39"/>
      <c r="HD153" s="39"/>
      <c r="HE153" s="39"/>
      <c r="HF153" s="39"/>
      <c r="HG153" s="39"/>
      <c r="HH153" s="39"/>
      <c r="HI153" s="39"/>
      <c r="HJ153" s="39"/>
      <c r="HK153" s="39"/>
      <c r="HL153" s="39"/>
      <c r="HM153" s="39"/>
      <c r="HN153" s="39"/>
      <c r="HO153" s="39"/>
      <c r="HP153" s="39"/>
      <c r="HQ153" s="39"/>
      <c r="HR153" s="39"/>
      <c r="HS153" s="39"/>
      <c r="HT153" s="39"/>
      <c r="HU153" s="39"/>
      <c r="HV153" s="39"/>
      <c r="HW153" s="39"/>
      <c r="HX153" s="39"/>
      <c r="HY153" s="39"/>
      <c r="HZ153" s="39"/>
      <c r="IA153" s="39"/>
      <c r="IB153" s="39"/>
      <c r="IC153" s="39"/>
      <c r="ID153" s="39"/>
      <c r="IE153" s="39"/>
      <c r="IF153" s="39"/>
      <c r="IG153" s="39"/>
      <c r="IH153" s="39"/>
      <c r="II153" s="39"/>
      <c r="IJ153" s="39"/>
      <c r="IK153" s="39"/>
      <c r="IL153" s="39"/>
      <c r="IM153" s="39"/>
      <c r="IN153" s="39"/>
      <c r="IO153" s="39"/>
      <c r="IP153" s="39"/>
      <c r="IQ153" s="39"/>
      <c r="IR153" s="39"/>
      <c r="IS153" s="39"/>
      <c r="IT153" s="39"/>
      <c r="IU153" s="39"/>
      <c r="IV153" s="39"/>
      <c r="IW153" s="39"/>
    </row>
    <row r="154" customFormat="false" ht="12.95" hidden="false" customHeight="true" outlineLevel="0" collapsed="false">
      <c r="A154" s="37" t="str">
        <f aca="false">+'CCs # Master'!A34</f>
        <v>0011</v>
      </c>
      <c r="B154" s="39" t="str">
        <f aca="false">+'CCs # Master'!B34</f>
        <v>Health Center</v>
      </c>
      <c r="C154" s="39" t="str">
        <f aca="false">+'CCs # Master'!C34</f>
        <v>Jones, Robert</v>
      </c>
      <c r="D154" s="96" t="n">
        <f aca="false">+'CCs # Master'!D34</f>
        <v>100034</v>
      </c>
      <c r="E154" s="39" t="n">
        <f aca="false">+'CCs # Master'!E34</f>
        <v>111</v>
      </c>
      <c r="F154" s="39" t="n">
        <f aca="false">+'CCs # Master'!F34</f>
        <v>27</v>
      </c>
      <c r="G154" s="39" t="n">
        <f aca="false">+'CCs # Master'!G34</f>
        <v>236</v>
      </c>
      <c r="H154" s="39" t="n">
        <f aca="false">+'CCs # Master'!H34</f>
        <v>255</v>
      </c>
      <c r="I154" s="39" t="n">
        <f aca="false">+'CCs # Master'!I34</f>
        <v>91</v>
      </c>
      <c r="J154" s="39" t="n">
        <f aca="false">+'CCs # Master'!J34</f>
        <v>-49</v>
      </c>
      <c r="K154" s="71" t="n">
        <f aca="false">SUM(E154:J154)</f>
        <v>671</v>
      </c>
      <c r="L154" s="39"/>
      <c r="M154" s="39" t="str">
        <f aca="false">+'CCs # Master'!M34</f>
        <v>% of DT Headcount</v>
      </c>
      <c r="N154" s="39" t="n">
        <f aca="false">+'CCs # Master'!AW34</f>
        <v>86</v>
      </c>
      <c r="O154" s="39" t="n">
        <v>0</v>
      </c>
      <c r="P154" s="39" t="n">
        <f aca="false">+'CCs # Master'!N34</f>
        <v>5</v>
      </c>
      <c r="Q154" s="39" t="n">
        <f aca="false">+'CCs # Master'!O34</f>
        <v>7</v>
      </c>
      <c r="R154" s="39" t="n">
        <f aca="false">+'CCs # Master'!P34</f>
        <v>35</v>
      </c>
      <c r="S154" s="39" t="n">
        <f aca="false">+'CCs # Master'!Q34</f>
        <v>0</v>
      </c>
      <c r="T154" s="39" t="n">
        <f aca="false">+'CCs # Master'!R34</f>
        <v>4</v>
      </c>
      <c r="U154" s="39" t="n">
        <f aca="false">+'CCs # Master'!S34</f>
        <v>0</v>
      </c>
      <c r="V154" s="39" t="n">
        <f aca="false">+'CCs # Master'!T34</f>
        <v>0</v>
      </c>
      <c r="W154" s="39" t="n">
        <f aca="false">+'CCs # Master'!U34</f>
        <v>14</v>
      </c>
      <c r="X154" s="39" t="n">
        <f aca="false">+'CCs # Master'!V34</f>
        <v>25</v>
      </c>
      <c r="Y154" s="39" t="n">
        <f aca="false">+'CCs # Master'!W34</f>
        <v>0</v>
      </c>
      <c r="Z154" s="39" t="n">
        <f aca="false">+'CCs # Master'!X34</f>
        <v>158</v>
      </c>
      <c r="AA154" s="39" t="n">
        <f aca="false">+'CCs # Master'!Y34</f>
        <v>1</v>
      </c>
      <c r="AB154" s="39" t="n">
        <f aca="false">+'CCs # Master'!Z34</f>
        <v>2</v>
      </c>
      <c r="AC154" s="39" t="n">
        <f aca="false">+'CCs # Master'!AA34</f>
        <v>4</v>
      </c>
      <c r="AD154" s="39" t="n">
        <f aca="false">+'CCs # Master'!AB34</f>
        <v>11</v>
      </c>
      <c r="AE154" s="39" t="n">
        <f aca="false">+'CCs # Master'!AC34</f>
        <v>8</v>
      </c>
      <c r="AF154" s="39" t="n">
        <f aca="false">+'CCs # Master'!AD34</f>
        <v>75</v>
      </c>
      <c r="AG154" s="39" t="n">
        <f aca="false">+'CCs # Master'!AE34</f>
        <v>68</v>
      </c>
      <c r="AH154" s="39" t="n">
        <f aca="false">+'CCs # Master'!AF34</f>
        <v>2</v>
      </c>
      <c r="AI154" s="39" t="n">
        <f aca="false">+'CCs # Master'!AG34</f>
        <v>15</v>
      </c>
      <c r="AJ154" s="39" t="n">
        <f aca="false">+'CCs # Master'!AH34</f>
        <v>8</v>
      </c>
      <c r="AK154" s="39" t="n">
        <f aca="false">+'CCs # Master'!AI34</f>
        <v>6</v>
      </c>
      <c r="AL154" s="39" t="n">
        <f aca="false">+'CCs # Master'!AJ34</f>
        <v>4</v>
      </c>
      <c r="AM154" s="39" t="n">
        <f aca="false">+'CCs # Master'!AK34</f>
        <v>11</v>
      </c>
      <c r="AN154" s="39" t="n">
        <f aca="false">+'CCs # Master'!AL34</f>
        <v>19</v>
      </c>
      <c r="AO154" s="39" t="n">
        <f aca="false">+'CCs # Master'!AM34</f>
        <v>103</v>
      </c>
      <c r="AP154" s="39" t="n">
        <f aca="false">+'CCs # Master'!AN34</f>
        <v>0</v>
      </c>
      <c r="AQ154" s="39" t="n">
        <f aca="false">+'CCs # Master'!AO34</f>
        <v>0</v>
      </c>
      <c r="AR154" s="39" t="n">
        <f aca="false">+'CCs # Master'!AP34</f>
        <v>0</v>
      </c>
      <c r="AS154" s="39" t="n">
        <f aca="false">+'CCs # Master'!AQ34</f>
        <v>0</v>
      </c>
      <c r="AT154" s="39" t="n">
        <f aca="false">+'CCs # Master'!AR34</f>
        <v>0</v>
      </c>
      <c r="AU154" s="39" t="n">
        <f aca="false">+'CCs # Master'!AS34</f>
        <v>0</v>
      </c>
      <c r="AV154" s="39" t="n">
        <f aca="false">+'CCs # Master'!AT34</f>
        <v>0</v>
      </c>
      <c r="AW154" s="0"/>
      <c r="AX154" s="71" t="n">
        <f aca="false">SUM(N154:AW154)</f>
        <v>671</v>
      </c>
      <c r="AY154" s="71" t="n">
        <f aca="false">+K154-AX154</f>
        <v>0</v>
      </c>
      <c r="AZ154" s="39"/>
      <c r="BA154" s="39" t="n">
        <f aca="false">+P154+Q154+T154+U154+V154+W154+X154+Y154</f>
        <v>55</v>
      </c>
      <c r="BB154" s="39" t="n">
        <f aca="false">N154</f>
        <v>86</v>
      </c>
      <c r="BC154" s="39" t="n">
        <f aca="false">SUM(P154:AW154)</f>
        <v>585</v>
      </c>
      <c r="BD154" s="39"/>
      <c r="BE154" s="39" t="n">
        <f aca="false">SUM(BB154:BC154)</f>
        <v>671</v>
      </c>
      <c r="BF154" s="39"/>
      <c r="BG154" s="48" t="n">
        <f aca="false">SUM(N154:AW154)</f>
        <v>671</v>
      </c>
      <c r="BH154" s="39" t="n">
        <f aca="false">BE154-BG154</f>
        <v>0</v>
      </c>
      <c r="BI154" s="39"/>
      <c r="BJ154" s="39"/>
      <c r="BK154" s="39"/>
      <c r="BL154" s="39"/>
      <c r="BM154" s="39"/>
      <c r="BN154" s="39"/>
      <c r="BO154" s="39"/>
      <c r="BP154" s="39"/>
      <c r="BQ154" s="39"/>
      <c r="BR154" s="39"/>
      <c r="BS154" s="39"/>
      <c r="BT154" s="39"/>
      <c r="BU154" s="39"/>
      <c r="BV154" s="39"/>
      <c r="BW154" s="39"/>
      <c r="BX154" s="39"/>
      <c r="BY154" s="39"/>
      <c r="BZ154" s="39"/>
      <c r="CA154" s="39"/>
      <c r="CB154" s="39"/>
      <c r="CC154" s="39"/>
      <c r="CD154" s="39"/>
      <c r="CE154" s="39"/>
      <c r="CF154" s="39"/>
      <c r="CG154" s="39"/>
      <c r="CH154" s="39"/>
      <c r="CI154" s="39"/>
      <c r="CJ154" s="39"/>
      <c r="CK154" s="39"/>
      <c r="CL154" s="39"/>
      <c r="CM154" s="39"/>
      <c r="CN154" s="39"/>
      <c r="CO154" s="39"/>
      <c r="CP154" s="39"/>
      <c r="CQ154" s="39"/>
      <c r="CR154" s="39"/>
      <c r="CS154" s="39"/>
      <c r="CT154" s="39"/>
      <c r="CU154" s="39"/>
      <c r="CV154" s="39"/>
      <c r="CW154" s="39"/>
      <c r="CX154" s="39"/>
      <c r="CY154" s="39"/>
      <c r="CZ154" s="39"/>
      <c r="DA154" s="39"/>
      <c r="DB154" s="39"/>
      <c r="DC154" s="39"/>
      <c r="DD154" s="39"/>
      <c r="DE154" s="39"/>
      <c r="DF154" s="39"/>
      <c r="DG154" s="39"/>
      <c r="DH154" s="39"/>
      <c r="DI154" s="39"/>
      <c r="DJ154" s="39"/>
      <c r="DK154" s="39"/>
      <c r="DL154" s="39"/>
      <c r="DM154" s="39"/>
      <c r="DN154" s="39"/>
      <c r="DO154" s="39"/>
      <c r="DP154" s="39"/>
      <c r="DQ154" s="39"/>
      <c r="DR154" s="39"/>
      <c r="DS154" s="39"/>
      <c r="DT154" s="39"/>
      <c r="DU154" s="39"/>
      <c r="DV154" s="39"/>
      <c r="DW154" s="39"/>
      <c r="DX154" s="39"/>
      <c r="DY154" s="39"/>
      <c r="DZ154" s="39"/>
      <c r="EA154" s="39"/>
      <c r="EB154" s="39"/>
      <c r="EC154" s="39"/>
      <c r="ED154" s="39"/>
      <c r="EE154" s="39"/>
      <c r="EF154" s="39"/>
      <c r="EG154" s="39"/>
      <c r="EH154" s="39"/>
      <c r="EI154" s="39"/>
      <c r="EJ154" s="39"/>
      <c r="EK154" s="39"/>
      <c r="EL154" s="39"/>
      <c r="EM154" s="39"/>
      <c r="EN154" s="39"/>
      <c r="EO154" s="39"/>
      <c r="EP154" s="39"/>
      <c r="EQ154" s="39"/>
      <c r="ER154" s="39"/>
      <c r="ES154" s="39"/>
      <c r="ET154" s="39"/>
      <c r="EU154" s="39"/>
      <c r="EV154" s="39"/>
      <c r="EW154" s="39"/>
      <c r="EX154" s="39"/>
      <c r="EY154" s="39"/>
      <c r="EZ154" s="39"/>
      <c r="FA154" s="39"/>
      <c r="FB154" s="39"/>
      <c r="FC154" s="39"/>
      <c r="FD154" s="39"/>
      <c r="FE154" s="39"/>
      <c r="FF154" s="39"/>
      <c r="FG154" s="39"/>
      <c r="FH154" s="39"/>
      <c r="FI154" s="39"/>
      <c r="FJ154" s="39"/>
      <c r="FK154" s="39"/>
      <c r="FL154" s="39"/>
      <c r="FM154" s="39"/>
      <c r="FN154" s="39"/>
      <c r="FO154" s="39"/>
      <c r="FP154" s="39"/>
      <c r="FQ154" s="39"/>
      <c r="FR154" s="39"/>
      <c r="FS154" s="39"/>
      <c r="FT154" s="39"/>
      <c r="FU154" s="39"/>
      <c r="FV154" s="39"/>
      <c r="FW154" s="39"/>
      <c r="FX154" s="39"/>
      <c r="FY154" s="39"/>
      <c r="FZ154" s="39"/>
      <c r="GA154" s="39"/>
      <c r="GB154" s="39"/>
      <c r="GC154" s="39"/>
      <c r="GD154" s="39"/>
      <c r="GE154" s="39"/>
      <c r="GF154" s="39"/>
      <c r="GG154" s="39"/>
      <c r="GH154" s="39"/>
      <c r="GI154" s="39"/>
      <c r="GJ154" s="39"/>
      <c r="GK154" s="39"/>
      <c r="GL154" s="39"/>
      <c r="GM154" s="39"/>
      <c r="GN154" s="39"/>
      <c r="GO154" s="39"/>
      <c r="GP154" s="39"/>
      <c r="GQ154" s="39"/>
      <c r="GR154" s="39"/>
      <c r="GS154" s="39"/>
      <c r="GT154" s="39"/>
      <c r="GU154" s="39"/>
      <c r="GV154" s="39"/>
      <c r="GW154" s="39"/>
      <c r="GX154" s="39"/>
      <c r="GY154" s="39"/>
      <c r="GZ154" s="39"/>
      <c r="HA154" s="39"/>
      <c r="HB154" s="39"/>
      <c r="HC154" s="39"/>
      <c r="HD154" s="39"/>
      <c r="HE154" s="39"/>
      <c r="HF154" s="39"/>
      <c r="HG154" s="39"/>
      <c r="HH154" s="39"/>
      <c r="HI154" s="39"/>
      <c r="HJ154" s="39"/>
      <c r="HK154" s="39"/>
      <c r="HL154" s="39"/>
      <c r="HM154" s="39"/>
      <c r="HN154" s="39"/>
      <c r="HO154" s="39"/>
      <c r="HP154" s="39"/>
      <c r="HQ154" s="39"/>
      <c r="HR154" s="39"/>
      <c r="HS154" s="39"/>
      <c r="HT154" s="39"/>
      <c r="HU154" s="39"/>
      <c r="HV154" s="39"/>
      <c r="HW154" s="39"/>
      <c r="HX154" s="39"/>
      <c r="HY154" s="39"/>
      <c r="HZ154" s="39"/>
      <c r="IA154" s="39"/>
      <c r="IB154" s="39"/>
      <c r="IC154" s="39"/>
      <c r="ID154" s="39"/>
      <c r="IE154" s="39"/>
      <c r="IF154" s="39"/>
      <c r="IG154" s="39"/>
      <c r="IH154" s="39"/>
      <c r="II154" s="39"/>
      <c r="IJ154" s="39"/>
      <c r="IK154" s="39"/>
      <c r="IL154" s="39"/>
      <c r="IM154" s="39"/>
      <c r="IN154" s="39"/>
      <c r="IO154" s="39"/>
      <c r="IP154" s="39"/>
      <c r="IQ154" s="39"/>
      <c r="IR154" s="39"/>
      <c r="IS154" s="39"/>
      <c r="IT154" s="39"/>
      <c r="IU154" s="39"/>
      <c r="IV154" s="39"/>
      <c r="IW154" s="39"/>
    </row>
    <row r="155" customFormat="false" ht="12.95" hidden="false" customHeight="true" outlineLevel="0" collapsed="false">
      <c r="A155" s="37" t="n">
        <f aca="false">+'CCs # Master'!A35</f>
        <v>11</v>
      </c>
      <c r="B155" s="39" t="str">
        <f aca="false">+'CCs # Master'!B35</f>
        <v>Executive Programs</v>
      </c>
      <c r="C155" s="39" t="str">
        <f aca="false">+'CCs # Master'!C35</f>
        <v>Amabile, Dick </v>
      </c>
      <c r="D155" s="96" t="n">
        <f aca="false">+'CCs # Master'!D35</f>
        <v>100035</v>
      </c>
      <c r="E155" s="39" t="n">
        <f aca="false">+'CCs # Master'!E35</f>
        <v>239</v>
      </c>
      <c r="F155" s="39" t="n">
        <f aca="false">+'CCs # Master'!F35</f>
        <v>43</v>
      </c>
      <c r="G155" s="39" t="n">
        <f aca="false">+'CCs # Master'!G35</f>
        <v>4</v>
      </c>
      <c r="H155" s="39" t="n">
        <f aca="false">+'CCs # Master'!H35</f>
        <v>136</v>
      </c>
      <c r="I155" s="39" t="n">
        <f aca="false">+'CCs # Master'!I35</f>
        <v>42</v>
      </c>
      <c r="J155" s="39" t="n">
        <f aca="false">+'CCs # Master'!J35</f>
        <v>-291</v>
      </c>
      <c r="K155" s="71" t="n">
        <f aca="false">SUM(E155:J155)</f>
        <v>173</v>
      </c>
      <c r="L155" s="39"/>
      <c r="M155" s="39" t="str">
        <f aca="false">+'CCs # Master'!M35</f>
        <v>Global MD/VP/Exec Committee/OTC Headcount</v>
      </c>
      <c r="N155" s="39" t="n">
        <f aca="false">+'CCs # Master'!AW35</f>
        <v>20</v>
      </c>
      <c r="O155" s="39" t="n">
        <v>0</v>
      </c>
      <c r="P155" s="39" t="n">
        <f aca="false">+'CCs # Master'!N35</f>
        <v>0</v>
      </c>
      <c r="Q155" s="39" t="n">
        <f aca="false">+'CCs # Master'!O35</f>
        <v>0</v>
      </c>
      <c r="R155" s="39" t="n">
        <f aca="false">+'CCs # Master'!P35</f>
        <v>5</v>
      </c>
      <c r="S155" s="39" t="n">
        <f aca="false">+'CCs # Master'!Q35</f>
        <v>0</v>
      </c>
      <c r="T155" s="39" t="n">
        <f aca="false">+'CCs # Master'!R35</f>
        <v>0</v>
      </c>
      <c r="U155" s="39" t="n">
        <f aca="false">+'CCs # Master'!S35</f>
        <v>0</v>
      </c>
      <c r="V155" s="39" t="n">
        <f aca="false">+'CCs # Master'!T35</f>
        <v>0</v>
      </c>
      <c r="W155" s="39" t="n">
        <f aca="false">+'CCs # Master'!U35</f>
        <v>0</v>
      </c>
      <c r="X155" s="39" t="n">
        <f aca="false">+'CCs # Master'!V35</f>
        <v>11</v>
      </c>
      <c r="Y155" s="39" t="n">
        <f aca="false">+'CCs # Master'!W35</f>
        <v>0</v>
      </c>
      <c r="Z155" s="39" t="n">
        <f aca="false">+'CCs # Master'!X35</f>
        <v>35</v>
      </c>
      <c r="AA155" s="39" t="n">
        <f aca="false">+'CCs # Master'!Y35</f>
        <v>0</v>
      </c>
      <c r="AB155" s="39" t="n">
        <f aca="false">+'CCs # Master'!Z35</f>
        <v>0</v>
      </c>
      <c r="AC155" s="39" t="n">
        <f aca="false">+'CCs # Master'!AA35</f>
        <v>0</v>
      </c>
      <c r="AD155" s="39" t="n">
        <f aca="false">+'CCs # Master'!AB35</f>
        <v>16</v>
      </c>
      <c r="AE155" s="39" t="n">
        <f aca="false">+'CCs # Master'!AC35</f>
        <v>3</v>
      </c>
      <c r="AF155" s="39" t="n">
        <f aca="false">+'CCs # Master'!AD35</f>
        <v>17</v>
      </c>
      <c r="AG155" s="39" t="n">
        <f aca="false">+'CCs # Master'!AE35</f>
        <v>16</v>
      </c>
      <c r="AH155" s="39" t="n">
        <f aca="false">+'CCs # Master'!AF35</f>
        <v>7</v>
      </c>
      <c r="AI155" s="39" t="n">
        <f aca="false">+'CCs # Master'!AG35</f>
        <v>0</v>
      </c>
      <c r="AJ155" s="39" t="n">
        <f aca="false">+'CCs # Master'!AH35</f>
        <v>7</v>
      </c>
      <c r="AK155" s="39" t="n">
        <f aca="false">+'CCs # Master'!AI35</f>
        <v>14</v>
      </c>
      <c r="AL155" s="39" t="n">
        <f aca="false">+'CCs # Master'!AJ35</f>
        <v>5</v>
      </c>
      <c r="AM155" s="39" t="n">
        <f aca="false">+'CCs # Master'!AK35</f>
        <v>2</v>
      </c>
      <c r="AN155" s="39" t="n">
        <f aca="false">+'CCs # Master'!AL35</f>
        <v>8</v>
      </c>
      <c r="AO155" s="39" t="n">
        <f aca="false">+'CCs # Master'!AM35</f>
        <v>7</v>
      </c>
      <c r="AP155" s="39" t="n">
        <f aca="false">+'CCs # Master'!AN35</f>
        <v>0</v>
      </c>
      <c r="AQ155" s="39" t="n">
        <f aca="false">+'CCs # Master'!AO35</f>
        <v>0</v>
      </c>
      <c r="AR155" s="39" t="n">
        <f aca="false">+'CCs # Master'!AP35</f>
        <v>0</v>
      </c>
      <c r="AS155" s="39" t="n">
        <f aca="false">+'CCs # Master'!AQ35</f>
        <v>0</v>
      </c>
      <c r="AT155" s="39" t="n">
        <f aca="false">+'CCs # Master'!AR35</f>
        <v>0</v>
      </c>
      <c r="AU155" s="39" t="n">
        <f aca="false">+'CCs # Master'!AS35</f>
        <v>0</v>
      </c>
      <c r="AV155" s="39" t="n">
        <f aca="false">+'CCs # Master'!AT35</f>
        <v>0</v>
      </c>
      <c r="AW155" s="0"/>
      <c r="AX155" s="71" t="n">
        <f aca="false">SUM(N155:AW155)</f>
        <v>173</v>
      </c>
      <c r="AY155" s="71" t="n">
        <f aca="false">+K155-AX155</f>
        <v>0</v>
      </c>
      <c r="AZ155" s="39"/>
      <c r="BA155" s="39" t="n">
        <f aca="false">+P155+Q155+T155+U155+V155+W155+X155+Y155</f>
        <v>11</v>
      </c>
      <c r="BB155" s="39" t="n">
        <f aca="false">N155</f>
        <v>20</v>
      </c>
      <c r="BC155" s="39" t="n">
        <f aca="false">SUM(P155:AW155)</f>
        <v>153</v>
      </c>
      <c r="BD155" s="39"/>
      <c r="BE155" s="39" t="n">
        <f aca="false">SUM(BB155:BC155)</f>
        <v>173</v>
      </c>
      <c r="BF155" s="39"/>
      <c r="BG155" s="48" t="n">
        <f aca="false">SUM(N155:AW155)</f>
        <v>173</v>
      </c>
      <c r="BH155" s="39" t="n">
        <f aca="false">BE155-BG155</f>
        <v>0</v>
      </c>
      <c r="BI155" s="39"/>
      <c r="BJ155" s="39"/>
      <c r="BK155" s="39"/>
      <c r="BL155" s="39"/>
      <c r="BM155" s="39"/>
      <c r="BN155" s="39"/>
      <c r="BO155" s="39"/>
      <c r="BP155" s="39"/>
      <c r="BQ155" s="39"/>
      <c r="BR155" s="39"/>
      <c r="BS155" s="39"/>
      <c r="BT155" s="39"/>
      <c r="BU155" s="39"/>
      <c r="BV155" s="39"/>
      <c r="BW155" s="39"/>
      <c r="BX155" s="39"/>
      <c r="BY155" s="39"/>
      <c r="BZ155" s="39"/>
      <c r="CA155" s="39"/>
      <c r="CB155" s="39"/>
      <c r="CC155" s="39"/>
      <c r="CD155" s="39"/>
      <c r="CE155" s="39"/>
      <c r="CF155" s="39"/>
      <c r="CG155" s="39"/>
      <c r="CH155" s="39"/>
      <c r="CI155" s="39"/>
      <c r="CJ155" s="39"/>
      <c r="CK155" s="39"/>
      <c r="CL155" s="39"/>
      <c r="CM155" s="39"/>
      <c r="CN155" s="39"/>
      <c r="CO155" s="39"/>
      <c r="CP155" s="39"/>
      <c r="CQ155" s="39"/>
      <c r="CR155" s="39"/>
      <c r="CS155" s="39"/>
      <c r="CT155" s="39"/>
      <c r="CU155" s="39"/>
      <c r="CV155" s="39"/>
      <c r="CW155" s="39"/>
      <c r="CX155" s="39"/>
      <c r="CY155" s="39"/>
      <c r="CZ155" s="39"/>
      <c r="DA155" s="39"/>
      <c r="DB155" s="39"/>
      <c r="DC155" s="39"/>
      <c r="DD155" s="39"/>
      <c r="DE155" s="39"/>
      <c r="DF155" s="39"/>
      <c r="DG155" s="39"/>
      <c r="DH155" s="39"/>
      <c r="DI155" s="39"/>
      <c r="DJ155" s="39"/>
      <c r="DK155" s="39"/>
      <c r="DL155" s="39"/>
      <c r="DM155" s="39"/>
      <c r="DN155" s="39"/>
      <c r="DO155" s="39"/>
      <c r="DP155" s="39"/>
      <c r="DQ155" s="39"/>
      <c r="DR155" s="39"/>
      <c r="DS155" s="39"/>
      <c r="DT155" s="39"/>
      <c r="DU155" s="39"/>
      <c r="DV155" s="39"/>
      <c r="DW155" s="39"/>
      <c r="DX155" s="39"/>
      <c r="DY155" s="39"/>
      <c r="DZ155" s="39"/>
      <c r="EA155" s="39"/>
      <c r="EB155" s="39"/>
      <c r="EC155" s="39"/>
      <c r="ED155" s="39"/>
      <c r="EE155" s="39"/>
      <c r="EF155" s="39"/>
      <c r="EG155" s="39"/>
      <c r="EH155" s="39"/>
      <c r="EI155" s="39"/>
      <c r="EJ155" s="39"/>
      <c r="EK155" s="39"/>
      <c r="EL155" s="39"/>
      <c r="EM155" s="39"/>
      <c r="EN155" s="39"/>
      <c r="EO155" s="39"/>
      <c r="EP155" s="39"/>
      <c r="EQ155" s="39"/>
      <c r="ER155" s="39"/>
      <c r="ES155" s="39"/>
      <c r="ET155" s="39"/>
      <c r="EU155" s="39"/>
      <c r="EV155" s="39"/>
      <c r="EW155" s="39"/>
      <c r="EX155" s="39"/>
      <c r="EY155" s="39"/>
      <c r="EZ155" s="39"/>
      <c r="FA155" s="39"/>
      <c r="FB155" s="39"/>
      <c r="FC155" s="39"/>
      <c r="FD155" s="39"/>
      <c r="FE155" s="39"/>
      <c r="FF155" s="39"/>
      <c r="FG155" s="39"/>
      <c r="FH155" s="39"/>
      <c r="FI155" s="39"/>
      <c r="FJ155" s="39"/>
      <c r="FK155" s="39"/>
      <c r="FL155" s="39"/>
      <c r="FM155" s="39"/>
      <c r="FN155" s="39"/>
      <c r="FO155" s="39"/>
      <c r="FP155" s="39"/>
      <c r="FQ155" s="39"/>
      <c r="FR155" s="39"/>
      <c r="FS155" s="39"/>
      <c r="FT155" s="39"/>
      <c r="FU155" s="39"/>
      <c r="FV155" s="39"/>
      <c r="FW155" s="39"/>
      <c r="FX155" s="39"/>
      <c r="FY155" s="39"/>
      <c r="FZ155" s="39"/>
      <c r="GA155" s="39"/>
      <c r="GB155" s="39"/>
      <c r="GC155" s="39"/>
      <c r="GD155" s="39"/>
      <c r="GE155" s="39"/>
      <c r="GF155" s="39"/>
      <c r="GG155" s="39"/>
      <c r="GH155" s="39"/>
      <c r="GI155" s="39"/>
      <c r="GJ155" s="39"/>
      <c r="GK155" s="39"/>
      <c r="GL155" s="39"/>
      <c r="GM155" s="39"/>
      <c r="GN155" s="39"/>
      <c r="GO155" s="39"/>
      <c r="GP155" s="39"/>
      <c r="GQ155" s="39"/>
      <c r="GR155" s="39"/>
      <c r="GS155" s="39"/>
      <c r="GT155" s="39"/>
      <c r="GU155" s="39"/>
      <c r="GV155" s="39"/>
      <c r="GW155" s="39"/>
      <c r="GX155" s="39"/>
      <c r="GY155" s="39"/>
      <c r="GZ155" s="39"/>
      <c r="HA155" s="39"/>
      <c r="HB155" s="39"/>
      <c r="HC155" s="39"/>
      <c r="HD155" s="39"/>
      <c r="HE155" s="39"/>
      <c r="HF155" s="39"/>
      <c r="HG155" s="39"/>
      <c r="HH155" s="39"/>
      <c r="HI155" s="39"/>
      <c r="HJ155" s="39"/>
      <c r="HK155" s="39"/>
      <c r="HL155" s="39"/>
      <c r="HM155" s="39"/>
      <c r="HN155" s="39"/>
      <c r="HO155" s="39"/>
      <c r="HP155" s="39"/>
      <c r="HQ155" s="39"/>
      <c r="HR155" s="39"/>
      <c r="HS155" s="39"/>
      <c r="HT155" s="39"/>
      <c r="HU155" s="39"/>
      <c r="HV155" s="39"/>
      <c r="HW155" s="39"/>
      <c r="HX155" s="39"/>
      <c r="HY155" s="39"/>
      <c r="HZ155" s="39"/>
      <c r="IA155" s="39"/>
      <c r="IB155" s="39"/>
      <c r="IC155" s="39"/>
      <c r="ID155" s="39"/>
      <c r="IE155" s="39"/>
      <c r="IF155" s="39"/>
      <c r="IG155" s="39"/>
      <c r="IH155" s="39"/>
      <c r="II155" s="39"/>
      <c r="IJ155" s="39"/>
      <c r="IK155" s="39"/>
      <c r="IL155" s="39"/>
      <c r="IM155" s="39"/>
      <c r="IN155" s="39"/>
      <c r="IO155" s="39"/>
      <c r="IP155" s="39"/>
      <c r="IQ155" s="39"/>
      <c r="IR155" s="39"/>
      <c r="IS155" s="39"/>
      <c r="IT155" s="39"/>
      <c r="IU155" s="39"/>
      <c r="IV155" s="39"/>
      <c r="IW155" s="39"/>
    </row>
    <row r="156" customFormat="false" ht="12.95" hidden="false" customHeight="true" outlineLevel="0" collapsed="false">
      <c r="A156" s="37" t="n">
        <f aca="false">+'CCs # Master'!A48</f>
        <v>11</v>
      </c>
      <c r="B156" s="39" t="str">
        <f aca="false">+'CCs # Master'!B48</f>
        <v>Projects - Personic Development and Enhome</v>
      </c>
      <c r="C156" s="39" t="str">
        <f aca="false">+'CCs # Master'!C48</f>
        <v>Meg Wysatta</v>
      </c>
      <c r="D156" s="96" t="n">
        <f aca="false">+'CCs # Master'!D48</f>
        <v>100058</v>
      </c>
      <c r="E156" s="39" t="n">
        <f aca="false">+'CCs # Master'!E48</f>
        <v>34</v>
      </c>
      <c r="F156" s="39" t="n">
        <f aca="false">+'CCs # Master'!F48</f>
        <v>5</v>
      </c>
      <c r="G156" s="39" t="n">
        <f aca="false">+'CCs # Master'!G48</f>
        <v>1</v>
      </c>
      <c r="H156" s="39" t="n">
        <f aca="false">+'CCs # Master'!H48</f>
        <v>0</v>
      </c>
      <c r="I156" s="39" t="n">
        <f aca="false">+'CCs # Master'!I48</f>
        <v>7</v>
      </c>
      <c r="J156" s="39" t="n">
        <f aca="false">+'CCs # Master'!J48</f>
        <v>0</v>
      </c>
      <c r="K156" s="71" t="n">
        <f aca="false">SUM(E156:J156)</f>
        <v>47</v>
      </c>
      <c r="L156" s="39"/>
      <c r="M156" s="39" t="str">
        <f aca="false">+'CCs # Master'!M48</f>
        <v>% of Domestic Headcount</v>
      </c>
      <c r="N156" s="39" t="n">
        <f aca="false">+'CCs # Master'!AW48</f>
        <v>5</v>
      </c>
      <c r="O156" s="39" t="n">
        <v>0</v>
      </c>
      <c r="P156" s="39" t="n">
        <f aca="false">+'CCs # Master'!N48</f>
        <v>1</v>
      </c>
      <c r="Q156" s="39" t="n">
        <f aca="false">+'CCs # Master'!O48</f>
        <v>1</v>
      </c>
      <c r="R156" s="39" t="n">
        <f aca="false">+'CCs # Master'!P48</f>
        <v>1</v>
      </c>
      <c r="S156" s="39" t="n">
        <f aca="false">+'CCs # Master'!Q48</f>
        <v>2</v>
      </c>
      <c r="T156" s="39" t="n">
        <f aca="false">+'CCs # Master'!R48</f>
        <v>0</v>
      </c>
      <c r="U156" s="39" t="n">
        <f aca="false">+'CCs # Master'!S48</f>
        <v>0</v>
      </c>
      <c r="V156" s="39" t="n">
        <f aca="false">+'CCs # Master'!T48</f>
        <v>1</v>
      </c>
      <c r="W156" s="39" t="n">
        <f aca="false">+'CCs # Master'!U48</f>
        <v>5</v>
      </c>
      <c r="X156" s="39" t="n">
        <f aca="false">+'CCs # Master'!V48</f>
        <v>1</v>
      </c>
      <c r="Y156" s="39" t="n">
        <f aca="false">+'CCs # Master'!W48</f>
        <v>0</v>
      </c>
      <c r="Z156" s="39" t="n">
        <f aca="false">+'CCs # Master'!X48</f>
        <v>9</v>
      </c>
      <c r="AA156" s="39" t="n">
        <f aca="false">+'CCs # Master'!Y48</f>
        <v>0</v>
      </c>
      <c r="AB156" s="39" t="n">
        <f aca="false">+'CCs # Master'!Z48</f>
        <v>1</v>
      </c>
      <c r="AC156" s="39" t="n">
        <f aca="false">+'CCs # Master'!AA48</f>
        <v>0</v>
      </c>
      <c r="AD156" s="39" t="n">
        <f aca="false">+'CCs # Master'!AB48</f>
        <v>0</v>
      </c>
      <c r="AE156" s="39" t="n">
        <f aca="false">+'CCs # Master'!AC48</f>
        <v>0</v>
      </c>
      <c r="AF156" s="39" t="n">
        <f aca="false">+'CCs # Master'!AD48</f>
        <v>8</v>
      </c>
      <c r="AG156" s="39" t="n">
        <f aca="false">+'CCs # Master'!AE48</f>
        <v>6</v>
      </c>
      <c r="AH156" s="39" t="n">
        <f aca="false">+'CCs # Master'!AF48</f>
        <v>0</v>
      </c>
      <c r="AI156" s="39" t="n">
        <f aca="false">+'CCs # Master'!AG48</f>
        <v>0</v>
      </c>
      <c r="AJ156" s="39" t="n">
        <f aca="false">+'CCs # Master'!AH48</f>
        <v>0</v>
      </c>
      <c r="AK156" s="39" t="n">
        <f aca="false">+'CCs # Master'!AI48</f>
        <v>0</v>
      </c>
      <c r="AL156" s="39" t="n">
        <f aca="false">+'CCs # Master'!AJ48</f>
        <v>0</v>
      </c>
      <c r="AM156" s="39" t="n">
        <f aca="false">+'CCs # Master'!AK48</f>
        <v>0</v>
      </c>
      <c r="AN156" s="39" t="n">
        <f aca="false">+'CCs # Master'!AL48</f>
        <v>0</v>
      </c>
      <c r="AO156" s="39" t="n">
        <f aca="false">+'CCs # Master'!AM48</f>
        <v>3</v>
      </c>
      <c r="AP156" s="39" t="n">
        <f aca="false">+'CCs # Master'!AN48</f>
        <v>0</v>
      </c>
      <c r="AQ156" s="39" t="n">
        <f aca="false">+'CCs # Master'!AO48</f>
        <v>2</v>
      </c>
      <c r="AR156" s="39" t="n">
        <f aca="false">+'CCs # Master'!AP48</f>
        <v>1</v>
      </c>
      <c r="AS156" s="39" t="n">
        <f aca="false">+'CCs # Master'!AQ48</f>
        <v>0</v>
      </c>
      <c r="AT156" s="39" t="n">
        <f aca="false">+'CCs # Master'!AR48</f>
        <v>0</v>
      </c>
      <c r="AU156" s="39" t="n">
        <f aca="false">+'CCs # Master'!AS48</f>
        <v>0</v>
      </c>
      <c r="AV156" s="39" t="n">
        <f aca="false">+'CCs # Master'!AT48</f>
        <v>0</v>
      </c>
      <c r="AW156" s="100"/>
      <c r="AX156" s="71" t="n">
        <f aca="false">SUM(N156:AW156)</f>
        <v>47</v>
      </c>
      <c r="AY156" s="71" t="n">
        <f aca="false">+K156-AX156</f>
        <v>0</v>
      </c>
      <c r="AZ156" s="39"/>
      <c r="BA156" s="39" t="n">
        <f aca="false">+P156+Q156+T156+U156+V156+W156+X156+Y156</f>
        <v>9</v>
      </c>
      <c r="BB156" s="39" t="n">
        <f aca="false">N156</f>
        <v>5</v>
      </c>
      <c r="BC156" s="39" t="n">
        <f aca="false">SUM(P156:AW156)</f>
        <v>42</v>
      </c>
      <c r="BD156" s="39"/>
      <c r="BE156" s="39" t="n">
        <f aca="false">SUM(BB156:BC156)</f>
        <v>47</v>
      </c>
      <c r="BF156" s="39"/>
      <c r="BG156" s="48" t="n">
        <f aca="false">SUM(N156:AW156)</f>
        <v>47</v>
      </c>
      <c r="BH156" s="39" t="n">
        <f aca="false">BE156-BG156</f>
        <v>0</v>
      </c>
      <c r="BI156" s="39"/>
      <c r="BJ156" s="39"/>
      <c r="BK156" s="39"/>
      <c r="BL156" s="39"/>
      <c r="BM156" s="39"/>
      <c r="BN156" s="39"/>
      <c r="BO156" s="39"/>
      <c r="BP156" s="39"/>
      <c r="BQ156" s="39"/>
      <c r="BR156" s="39"/>
      <c r="BS156" s="39"/>
      <c r="BT156" s="39"/>
      <c r="BU156" s="39"/>
      <c r="BV156" s="39"/>
      <c r="BW156" s="39"/>
      <c r="BX156" s="39"/>
      <c r="BY156" s="39"/>
      <c r="BZ156" s="39"/>
      <c r="CA156" s="39"/>
      <c r="CB156" s="39"/>
      <c r="CC156" s="39"/>
      <c r="CD156" s="39"/>
      <c r="CE156" s="39"/>
      <c r="CF156" s="39"/>
      <c r="CG156" s="39"/>
      <c r="CH156" s="39"/>
      <c r="CI156" s="39"/>
      <c r="CJ156" s="39"/>
      <c r="CK156" s="39"/>
      <c r="CL156" s="39"/>
      <c r="CM156" s="39"/>
      <c r="CN156" s="39"/>
      <c r="CO156" s="39"/>
      <c r="CP156" s="39"/>
      <c r="CQ156" s="39"/>
      <c r="CR156" s="39"/>
      <c r="CS156" s="39"/>
      <c r="CT156" s="39"/>
      <c r="CU156" s="39"/>
      <c r="CV156" s="39"/>
      <c r="CW156" s="39"/>
      <c r="CX156" s="39"/>
      <c r="CY156" s="39"/>
      <c r="CZ156" s="39"/>
      <c r="DA156" s="39"/>
      <c r="DB156" s="39"/>
      <c r="DC156" s="39"/>
      <c r="DD156" s="39"/>
      <c r="DE156" s="39"/>
      <c r="DF156" s="39"/>
      <c r="DG156" s="39"/>
      <c r="DH156" s="39"/>
      <c r="DI156" s="39"/>
      <c r="DJ156" s="39"/>
      <c r="DK156" s="39"/>
      <c r="DL156" s="39"/>
      <c r="DM156" s="39"/>
      <c r="DN156" s="39"/>
      <c r="DO156" s="39"/>
      <c r="DP156" s="39"/>
      <c r="DQ156" s="39"/>
      <c r="DR156" s="39"/>
      <c r="DS156" s="39"/>
      <c r="DT156" s="39"/>
      <c r="DU156" s="39"/>
      <c r="DV156" s="39"/>
      <c r="DW156" s="39"/>
      <c r="DX156" s="39"/>
      <c r="DY156" s="39"/>
      <c r="DZ156" s="39"/>
      <c r="EA156" s="39"/>
      <c r="EB156" s="39"/>
      <c r="EC156" s="39"/>
      <c r="ED156" s="39"/>
      <c r="EE156" s="39"/>
      <c r="EF156" s="39"/>
      <c r="EG156" s="39"/>
      <c r="EH156" s="39"/>
      <c r="EI156" s="39"/>
      <c r="EJ156" s="39"/>
      <c r="EK156" s="39"/>
      <c r="EL156" s="39"/>
      <c r="EM156" s="39"/>
      <c r="EN156" s="39"/>
      <c r="EO156" s="39"/>
      <c r="EP156" s="39"/>
      <c r="EQ156" s="39"/>
      <c r="ER156" s="39"/>
      <c r="ES156" s="39"/>
      <c r="ET156" s="39"/>
      <c r="EU156" s="39"/>
      <c r="EV156" s="39"/>
      <c r="EW156" s="39"/>
      <c r="EX156" s="39"/>
      <c r="EY156" s="39"/>
      <c r="EZ156" s="39"/>
      <c r="FA156" s="39"/>
      <c r="FB156" s="39"/>
      <c r="FC156" s="39"/>
      <c r="FD156" s="39"/>
      <c r="FE156" s="39"/>
      <c r="FF156" s="39"/>
      <c r="FG156" s="39"/>
      <c r="FH156" s="39"/>
      <c r="FI156" s="39"/>
      <c r="FJ156" s="39"/>
      <c r="FK156" s="39"/>
      <c r="FL156" s="39"/>
      <c r="FM156" s="39"/>
      <c r="FN156" s="39"/>
      <c r="FO156" s="39"/>
      <c r="FP156" s="39"/>
      <c r="FQ156" s="39"/>
      <c r="FR156" s="39"/>
      <c r="FS156" s="39"/>
      <c r="FT156" s="39"/>
      <c r="FU156" s="39"/>
      <c r="FV156" s="39"/>
      <c r="FW156" s="39"/>
      <c r="FX156" s="39"/>
      <c r="FY156" s="39"/>
      <c r="FZ156" s="39"/>
      <c r="GA156" s="39"/>
      <c r="GB156" s="39"/>
      <c r="GC156" s="39"/>
      <c r="GD156" s="39"/>
      <c r="GE156" s="39"/>
      <c r="GF156" s="39"/>
      <c r="GG156" s="39"/>
      <c r="GH156" s="39"/>
      <c r="GI156" s="39"/>
      <c r="GJ156" s="39"/>
      <c r="GK156" s="39"/>
      <c r="GL156" s="39"/>
      <c r="GM156" s="39"/>
      <c r="GN156" s="39"/>
      <c r="GO156" s="39"/>
      <c r="GP156" s="39"/>
      <c r="GQ156" s="39"/>
      <c r="GR156" s="39"/>
      <c r="GS156" s="39"/>
      <c r="GT156" s="39"/>
      <c r="GU156" s="39"/>
      <c r="GV156" s="39"/>
      <c r="GW156" s="39"/>
      <c r="GX156" s="39"/>
      <c r="GY156" s="39"/>
      <c r="GZ156" s="39"/>
      <c r="HA156" s="39"/>
      <c r="HB156" s="39"/>
      <c r="HC156" s="39"/>
      <c r="HD156" s="39"/>
      <c r="HE156" s="39"/>
      <c r="HF156" s="39"/>
      <c r="HG156" s="39"/>
      <c r="HH156" s="39"/>
      <c r="HI156" s="39"/>
      <c r="HJ156" s="39"/>
      <c r="HK156" s="39"/>
      <c r="HL156" s="39"/>
      <c r="HM156" s="39"/>
      <c r="HN156" s="39"/>
      <c r="HO156" s="39"/>
      <c r="HP156" s="39"/>
      <c r="HQ156" s="39"/>
      <c r="HR156" s="39"/>
      <c r="HS156" s="39"/>
      <c r="HT156" s="39"/>
      <c r="HU156" s="39"/>
      <c r="HV156" s="39"/>
      <c r="HW156" s="39"/>
      <c r="HX156" s="39"/>
      <c r="HY156" s="39"/>
      <c r="HZ156" s="39"/>
      <c r="IA156" s="39"/>
      <c r="IB156" s="39"/>
      <c r="IC156" s="39"/>
      <c r="ID156" s="39"/>
      <c r="IE156" s="39"/>
      <c r="IF156" s="39"/>
      <c r="IG156" s="39"/>
      <c r="IH156" s="39"/>
      <c r="II156" s="39"/>
      <c r="IJ156" s="39"/>
      <c r="IK156" s="39"/>
      <c r="IL156" s="39"/>
      <c r="IM156" s="39"/>
      <c r="IN156" s="39"/>
      <c r="IO156" s="39"/>
      <c r="IP156" s="39"/>
      <c r="IQ156" s="39"/>
      <c r="IR156" s="39"/>
      <c r="IS156" s="39"/>
      <c r="IT156" s="39"/>
      <c r="IU156" s="39"/>
      <c r="IV156" s="39"/>
      <c r="IW156" s="39"/>
    </row>
    <row r="157" customFormat="false" ht="12.95" hidden="false" customHeight="true" outlineLevel="0" collapsed="false">
      <c r="A157" s="37" t="n">
        <f aca="false">+'CCs # Master'!A53</f>
        <v>11</v>
      </c>
      <c r="B157" s="39" t="str">
        <f aca="false">+'CCs # Master'!B53</f>
        <v>Houston Children's Chorus</v>
      </c>
      <c r="C157" s="39" t="str">
        <f aca="false">+'CCs # Master'!C53</f>
        <v>Lindsey, Mark</v>
      </c>
      <c r="D157" s="96" t="n">
        <f aca="false">+'CCs # Master'!D53</f>
        <v>100065</v>
      </c>
      <c r="E157" s="39" t="n">
        <f aca="false">+'CCs # Master'!E53</f>
        <v>0</v>
      </c>
      <c r="F157" s="39" t="n">
        <f aca="false">+'CCs # Master'!F53</f>
        <v>0</v>
      </c>
      <c r="G157" s="39" t="n">
        <f aca="false">+'CCs # Master'!G53</f>
        <v>0</v>
      </c>
      <c r="H157" s="39" t="n">
        <f aca="false">+'CCs # Master'!H53</f>
        <v>0</v>
      </c>
      <c r="I157" s="39" t="n">
        <f aca="false">+'CCs # Master'!I53</f>
        <v>0</v>
      </c>
      <c r="J157" s="39" t="n">
        <f aca="false">+'CCs # Master'!J53</f>
        <v>0</v>
      </c>
      <c r="K157" s="71" t="n">
        <f aca="false">SUM(E157:J157)</f>
        <v>0</v>
      </c>
      <c r="L157" s="39"/>
      <c r="M157" s="39" t="str">
        <f aca="false">+'CCs # Master'!M53</f>
        <v>MMF</v>
      </c>
      <c r="N157" s="39" t="n">
        <f aca="false">+'CCs # Master'!AW53</f>
        <v>0</v>
      </c>
      <c r="O157" s="39" t="n">
        <v>0</v>
      </c>
      <c r="P157" s="39" t="n">
        <f aca="false">+'CCs # Master'!N53</f>
        <v>0</v>
      </c>
      <c r="Q157" s="39" t="n">
        <f aca="false">+'CCs # Master'!O53</f>
        <v>0</v>
      </c>
      <c r="R157" s="39" t="n">
        <f aca="false">+'CCs # Master'!P53</f>
        <v>0</v>
      </c>
      <c r="S157" s="39" t="n">
        <f aca="false">+'CCs # Master'!Q53</f>
        <v>0</v>
      </c>
      <c r="T157" s="39" t="n">
        <f aca="false">+'CCs # Master'!R53</f>
        <v>0</v>
      </c>
      <c r="U157" s="39" t="n">
        <f aca="false">+'CCs # Master'!S53</f>
        <v>0</v>
      </c>
      <c r="V157" s="39" t="n">
        <f aca="false">+'CCs # Master'!T53</f>
        <v>0</v>
      </c>
      <c r="W157" s="39" t="n">
        <f aca="false">+'CCs # Master'!U53</f>
        <v>0</v>
      </c>
      <c r="X157" s="39" t="n">
        <f aca="false">+'CCs # Master'!V53</f>
        <v>0</v>
      </c>
      <c r="Y157" s="39" t="n">
        <f aca="false">+'CCs # Master'!W53</f>
        <v>0</v>
      </c>
      <c r="Z157" s="39" t="n">
        <f aca="false">+'CCs # Master'!X53</f>
        <v>0</v>
      </c>
      <c r="AA157" s="39" t="n">
        <f aca="false">+'CCs # Master'!Y53</f>
        <v>0</v>
      </c>
      <c r="AB157" s="39" t="n">
        <f aca="false">+'CCs # Master'!Z53</f>
        <v>0</v>
      </c>
      <c r="AC157" s="39" t="n">
        <f aca="false">+'CCs # Master'!AA53</f>
        <v>0</v>
      </c>
      <c r="AD157" s="39" t="n">
        <f aca="false">+'CCs # Master'!AB53</f>
        <v>0</v>
      </c>
      <c r="AE157" s="39" t="n">
        <f aca="false">+'CCs # Master'!AC53</f>
        <v>0</v>
      </c>
      <c r="AF157" s="39" t="n">
        <f aca="false">+'CCs # Master'!AD53</f>
        <v>0</v>
      </c>
      <c r="AG157" s="39" t="n">
        <f aca="false">+'CCs # Master'!AE53</f>
        <v>0</v>
      </c>
      <c r="AH157" s="39" t="n">
        <f aca="false">+'CCs # Master'!AF53</f>
        <v>0</v>
      </c>
      <c r="AI157" s="39" t="n">
        <f aca="false">+'CCs # Master'!AG53</f>
        <v>0</v>
      </c>
      <c r="AJ157" s="39" t="n">
        <f aca="false">+'CCs # Master'!AH53</f>
        <v>0</v>
      </c>
      <c r="AK157" s="39" t="n">
        <f aca="false">+'CCs # Master'!AI53</f>
        <v>0</v>
      </c>
      <c r="AL157" s="39" t="n">
        <f aca="false">+'CCs # Master'!AJ53</f>
        <v>0</v>
      </c>
      <c r="AM157" s="39" t="n">
        <f aca="false">+'CCs # Master'!AK53</f>
        <v>0</v>
      </c>
      <c r="AN157" s="39" t="n">
        <f aca="false">+'CCs # Master'!AL53</f>
        <v>0</v>
      </c>
      <c r="AO157" s="39" t="n">
        <f aca="false">+'CCs # Master'!AM53</f>
        <v>0</v>
      </c>
      <c r="AP157" s="39" t="n">
        <f aca="false">+'CCs # Master'!AN53</f>
        <v>0</v>
      </c>
      <c r="AQ157" s="39" t="n">
        <f aca="false">+'CCs # Master'!AO53</f>
        <v>0</v>
      </c>
      <c r="AR157" s="39" t="n">
        <f aca="false">+'CCs # Master'!AP53</f>
        <v>0</v>
      </c>
      <c r="AS157" s="39" t="n">
        <f aca="false">+'CCs # Master'!AQ53</f>
        <v>0</v>
      </c>
      <c r="AT157" s="39" t="n">
        <f aca="false">+'CCs # Master'!AR53</f>
        <v>0</v>
      </c>
      <c r="AU157" s="39" t="n">
        <f aca="false">+'CCs # Master'!AS53</f>
        <v>0</v>
      </c>
      <c r="AV157" s="39" t="n">
        <f aca="false">+'CCs # Master'!AT53</f>
        <v>0</v>
      </c>
      <c r="AW157" s="100"/>
      <c r="AX157" s="71" t="n">
        <f aca="false">SUM(N157:AW157)</f>
        <v>0</v>
      </c>
      <c r="AY157" s="71" t="n">
        <f aca="false">+K157-AX157</f>
        <v>0</v>
      </c>
      <c r="AZ157" s="39"/>
      <c r="BA157" s="39" t="n">
        <f aca="false">+P157+Q157+T157+U157+V157+W157+X157+Y157</f>
        <v>0</v>
      </c>
      <c r="BB157" s="39" t="n">
        <f aca="false">N157</f>
        <v>0</v>
      </c>
      <c r="BC157" s="39" t="n">
        <f aca="false">SUM(P157:AW157)</f>
        <v>0</v>
      </c>
      <c r="BD157" s="39"/>
      <c r="BE157" s="39" t="n">
        <f aca="false">SUM(BB157:BC157)</f>
        <v>0</v>
      </c>
      <c r="BF157" s="39"/>
      <c r="BG157" s="48" t="n">
        <f aca="false">SUM(N157:AW157)</f>
        <v>0</v>
      </c>
      <c r="BH157" s="39" t="n">
        <f aca="false">BE157-BG157</f>
        <v>0</v>
      </c>
      <c r="BI157" s="39"/>
      <c r="BJ157" s="39"/>
      <c r="BK157" s="39"/>
      <c r="BL157" s="39"/>
      <c r="BM157" s="39"/>
      <c r="BN157" s="39"/>
      <c r="BO157" s="39"/>
      <c r="BP157" s="39"/>
      <c r="BQ157" s="39"/>
      <c r="BR157" s="39"/>
      <c r="BS157" s="39"/>
      <c r="BT157" s="39"/>
      <c r="BU157" s="39"/>
      <c r="BV157" s="39"/>
      <c r="BW157" s="39"/>
      <c r="BX157" s="39"/>
      <c r="BY157" s="39"/>
      <c r="BZ157" s="39"/>
      <c r="CA157" s="39"/>
      <c r="CB157" s="39"/>
      <c r="CC157" s="39"/>
      <c r="CD157" s="39"/>
      <c r="CE157" s="39"/>
      <c r="CF157" s="39"/>
      <c r="CG157" s="39"/>
      <c r="CH157" s="39"/>
      <c r="CI157" s="39"/>
      <c r="CJ157" s="39"/>
      <c r="CK157" s="39"/>
      <c r="CL157" s="39"/>
      <c r="CM157" s="39"/>
      <c r="CN157" s="39"/>
      <c r="CO157" s="39"/>
      <c r="CP157" s="39"/>
      <c r="CQ157" s="39"/>
      <c r="CR157" s="39"/>
      <c r="CS157" s="39"/>
      <c r="CT157" s="39"/>
      <c r="CU157" s="39"/>
      <c r="CV157" s="39"/>
      <c r="CW157" s="39"/>
      <c r="CX157" s="39"/>
      <c r="CY157" s="39"/>
      <c r="CZ157" s="39"/>
      <c r="DA157" s="39"/>
      <c r="DB157" s="39"/>
      <c r="DC157" s="39"/>
      <c r="DD157" s="39"/>
      <c r="DE157" s="39"/>
      <c r="DF157" s="39"/>
      <c r="DG157" s="39"/>
      <c r="DH157" s="39"/>
      <c r="DI157" s="39"/>
      <c r="DJ157" s="39"/>
      <c r="DK157" s="39"/>
      <c r="DL157" s="39"/>
      <c r="DM157" s="39"/>
      <c r="DN157" s="39"/>
      <c r="DO157" s="39"/>
      <c r="DP157" s="39"/>
      <c r="DQ157" s="39"/>
      <c r="DR157" s="39"/>
      <c r="DS157" s="39"/>
      <c r="DT157" s="39"/>
      <c r="DU157" s="39"/>
      <c r="DV157" s="39"/>
      <c r="DW157" s="39"/>
      <c r="DX157" s="39"/>
      <c r="DY157" s="39"/>
      <c r="DZ157" s="39"/>
      <c r="EA157" s="39"/>
      <c r="EB157" s="39"/>
      <c r="EC157" s="39"/>
      <c r="ED157" s="39"/>
      <c r="EE157" s="39"/>
      <c r="EF157" s="39"/>
      <c r="EG157" s="39"/>
      <c r="EH157" s="39"/>
      <c r="EI157" s="39"/>
      <c r="EJ157" s="39"/>
      <c r="EK157" s="39"/>
      <c r="EL157" s="39"/>
      <c r="EM157" s="39"/>
      <c r="EN157" s="39"/>
      <c r="EO157" s="39"/>
      <c r="EP157" s="39"/>
      <c r="EQ157" s="39"/>
      <c r="ER157" s="39"/>
      <c r="ES157" s="39"/>
      <c r="ET157" s="39"/>
      <c r="EU157" s="39"/>
      <c r="EV157" s="39"/>
      <c r="EW157" s="39"/>
      <c r="EX157" s="39"/>
      <c r="EY157" s="39"/>
      <c r="EZ157" s="39"/>
      <c r="FA157" s="39"/>
      <c r="FB157" s="39"/>
      <c r="FC157" s="39"/>
      <c r="FD157" s="39"/>
      <c r="FE157" s="39"/>
      <c r="FF157" s="39"/>
      <c r="FG157" s="39"/>
      <c r="FH157" s="39"/>
      <c r="FI157" s="39"/>
      <c r="FJ157" s="39"/>
      <c r="FK157" s="39"/>
      <c r="FL157" s="39"/>
      <c r="FM157" s="39"/>
      <c r="FN157" s="39"/>
      <c r="FO157" s="39"/>
      <c r="FP157" s="39"/>
      <c r="FQ157" s="39"/>
      <c r="FR157" s="39"/>
      <c r="FS157" s="39"/>
      <c r="FT157" s="39"/>
      <c r="FU157" s="39"/>
      <c r="FV157" s="39"/>
      <c r="FW157" s="39"/>
      <c r="FX157" s="39"/>
      <c r="FY157" s="39"/>
      <c r="FZ157" s="39"/>
      <c r="GA157" s="39"/>
      <c r="GB157" s="39"/>
      <c r="GC157" s="39"/>
      <c r="GD157" s="39"/>
      <c r="GE157" s="39"/>
      <c r="GF157" s="39"/>
      <c r="GG157" s="39"/>
      <c r="GH157" s="39"/>
      <c r="GI157" s="39"/>
      <c r="GJ157" s="39"/>
      <c r="GK157" s="39"/>
      <c r="GL157" s="39"/>
      <c r="GM157" s="39"/>
      <c r="GN157" s="39"/>
      <c r="GO157" s="39"/>
      <c r="GP157" s="39"/>
      <c r="GQ157" s="39"/>
      <c r="GR157" s="39"/>
      <c r="GS157" s="39"/>
      <c r="GT157" s="39"/>
      <c r="GU157" s="39"/>
      <c r="GV157" s="39"/>
      <c r="GW157" s="39"/>
      <c r="GX157" s="39"/>
      <c r="GY157" s="39"/>
      <c r="GZ157" s="39"/>
      <c r="HA157" s="39"/>
      <c r="HB157" s="39"/>
      <c r="HC157" s="39"/>
      <c r="HD157" s="39"/>
      <c r="HE157" s="39"/>
      <c r="HF157" s="39"/>
      <c r="HG157" s="39"/>
      <c r="HH157" s="39"/>
      <c r="HI157" s="39"/>
      <c r="HJ157" s="39"/>
      <c r="HK157" s="39"/>
      <c r="HL157" s="39"/>
      <c r="HM157" s="39"/>
      <c r="HN157" s="39"/>
      <c r="HO157" s="39"/>
      <c r="HP157" s="39"/>
      <c r="HQ157" s="39"/>
      <c r="HR157" s="39"/>
      <c r="HS157" s="39"/>
      <c r="HT157" s="39"/>
      <c r="HU157" s="39"/>
      <c r="HV157" s="39"/>
      <c r="HW157" s="39"/>
      <c r="HX157" s="39"/>
      <c r="HY157" s="39"/>
      <c r="HZ157" s="39"/>
      <c r="IA157" s="39"/>
      <c r="IB157" s="39"/>
      <c r="IC157" s="39"/>
      <c r="ID157" s="39"/>
      <c r="IE157" s="39"/>
      <c r="IF157" s="39"/>
      <c r="IG157" s="39"/>
      <c r="IH157" s="39"/>
      <c r="II157" s="39"/>
      <c r="IJ157" s="39"/>
      <c r="IK157" s="39"/>
      <c r="IL157" s="39"/>
      <c r="IM157" s="39"/>
      <c r="IN157" s="39"/>
      <c r="IO157" s="39"/>
      <c r="IP157" s="39"/>
      <c r="IQ157" s="39"/>
      <c r="IR157" s="39"/>
      <c r="IS157" s="39"/>
      <c r="IT157" s="39"/>
      <c r="IU157" s="39"/>
      <c r="IV157" s="39"/>
      <c r="IW157" s="39"/>
    </row>
    <row r="158" customFormat="false" ht="12.95" hidden="false" customHeight="true" outlineLevel="0" collapsed="false">
      <c r="A158" s="37" t="n">
        <f aca="false">+'CCs # Master'!A61</f>
        <v>11</v>
      </c>
      <c r="B158" s="39" t="str">
        <f aca="false">+'CCs # Master'!B61</f>
        <v>Best Buddies</v>
      </c>
      <c r="C158" s="39" t="str">
        <f aca="false">+'CCs # Master'!C61</f>
        <v>Lindsey, Mark</v>
      </c>
      <c r="D158" s="96" t="n">
        <f aca="false">+'CCs # Master'!D61</f>
        <v>100076</v>
      </c>
      <c r="E158" s="39" t="n">
        <f aca="false">+'CCs # Master'!E61</f>
        <v>0</v>
      </c>
      <c r="F158" s="39" t="n">
        <f aca="false">+'CCs # Master'!F61</f>
        <v>0</v>
      </c>
      <c r="G158" s="39" t="n">
        <f aca="false">+'CCs # Master'!G61</f>
        <v>0</v>
      </c>
      <c r="H158" s="39" t="n">
        <f aca="false">+'CCs # Master'!H61</f>
        <v>0</v>
      </c>
      <c r="I158" s="39" t="n">
        <f aca="false">+'CCs # Master'!I61</f>
        <v>0</v>
      </c>
      <c r="J158" s="39" t="n">
        <f aca="false">+'CCs # Master'!J61</f>
        <v>0</v>
      </c>
      <c r="K158" s="71" t="n">
        <f aca="false">SUM(E158:J158)</f>
        <v>0</v>
      </c>
      <c r="L158" s="39"/>
      <c r="M158" s="39" t="str">
        <f aca="false">+'CCs # Master'!M61</f>
        <v>MMF</v>
      </c>
      <c r="N158" s="39" t="n">
        <f aca="false">+'CCs # Master'!AW61</f>
        <v>0</v>
      </c>
      <c r="O158" s="39" t="n">
        <v>0</v>
      </c>
      <c r="P158" s="39" t="n">
        <f aca="false">+'CCs # Master'!N61</f>
        <v>0</v>
      </c>
      <c r="Q158" s="39" t="n">
        <f aca="false">+'CCs # Master'!O61</f>
        <v>0</v>
      </c>
      <c r="R158" s="39" t="n">
        <f aca="false">+'CCs # Master'!P61</f>
        <v>0</v>
      </c>
      <c r="S158" s="39" t="n">
        <f aca="false">+'CCs # Master'!Q61</f>
        <v>0</v>
      </c>
      <c r="T158" s="39" t="n">
        <f aca="false">+'CCs # Master'!R61</f>
        <v>0</v>
      </c>
      <c r="U158" s="39" t="n">
        <f aca="false">+'CCs # Master'!S61</f>
        <v>0</v>
      </c>
      <c r="V158" s="39" t="n">
        <f aca="false">+'CCs # Master'!T61</f>
        <v>0</v>
      </c>
      <c r="W158" s="39" t="n">
        <f aca="false">+'CCs # Master'!U61</f>
        <v>0</v>
      </c>
      <c r="X158" s="39" t="n">
        <f aca="false">+'CCs # Master'!V61</f>
        <v>0</v>
      </c>
      <c r="Y158" s="39" t="n">
        <f aca="false">+'CCs # Master'!W61</f>
        <v>0</v>
      </c>
      <c r="Z158" s="39" t="n">
        <f aca="false">+'CCs # Master'!X61</f>
        <v>0</v>
      </c>
      <c r="AA158" s="39" t="n">
        <f aca="false">+'CCs # Master'!Y61</f>
        <v>0</v>
      </c>
      <c r="AB158" s="39" t="n">
        <f aca="false">+'CCs # Master'!Z61</f>
        <v>0</v>
      </c>
      <c r="AC158" s="39" t="n">
        <f aca="false">+'CCs # Master'!AA61</f>
        <v>0</v>
      </c>
      <c r="AD158" s="39" t="n">
        <f aca="false">+'CCs # Master'!AB61</f>
        <v>0</v>
      </c>
      <c r="AE158" s="39" t="n">
        <f aca="false">+'CCs # Master'!AC61</f>
        <v>0</v>
      </c>
      <c r="AF158" s="39" t="n">
        <f aca="false">+'CCs # Master'!AD61</f>
        <v>0</v>
      </c>
      <c r="AG158" s="39" t="n">
        <f aca="false">+'CCs # Master'!AE61</f>
        <v>0</v>
      </c>
      <c r="AH158" s="39" t="n">
        <f aca="false">+'CCs # Master'!AF61</f>
        <v>0</v>
      </c>
      <c r="AI158" s="39" t="n">
        <f aca="false">+'CCs # Master'!AG61</f>
        <v>0</v>
      </c>
      <c r="AJ158" s="39" t="n">
        <f aca="false">+'CCs # Master'!AH61</f>
        <v>0</v>
      </c>
      <c r="AK158" s="39" t="n">
        <f aca="false">+'CCs # Master'!AI61</f>
        <v>0</v>
      </c>
      <c r="AL158" s="39" t="n">
        <f aca="false">+'CCs # Master'!AJ61</f>
        <v>0</v>
      </c>
      <c r="AM158" s="39" t="n">
        <f aca="false">+'CCs # Master'!AK61</f>
        <v>0</v>
      </c>
      <c r="AN158" s="39" t="n">
        <f aca="false">+'CCs # Master'!AL61</f>
        <v>0</v>
      </c>
      <c r="AO158" s="39" t="n">
        <f aca="false">+'CCs # Master'!AM61</f>
        <v>0</v>
      </c>
      <c r="AP158" s="39" t="n">
        <f aca="false">+'CCs # Master'!AN61</f>
        <v>0</v>
      </c>
      <c r="AQ158" s="39" t="n">
        <f aca="false">+'CCs # Master'!AO61</f>
        <v>0</v>
      </c>
      <c r="AR158" s="39" t="n">
        <f aca="false">+'CCs # Master'!AP61</f>
        <v>0</v>
      </c>
      <c r="AS158" s="39" t="n">
        <f aca="false">+'CCs # Master'!AQ61</f>
        <v>0</v>
      </c>
      <c r="AT158" s="39" t="n">
        <f aca="false">+'CCs # Master'!AR61</f>
        <v>0</v>
      </c>
      <c r="AU158" s="39" t="n">
        <f aca="false">+'CCs # Master'!AS61</f>
        <v>0</v>
      </c>
      <c r="AV158" s="39" t="n">
        <f aca="false">+'CCs # Master'!AT61</f>
        <v>0</v>
      </c>
      <c r="AW158" s="100"/>
      <c r="AX158" s="71" t="n">
        <f aca="false">SUM(N158:AW158)</f>
        <v>0</v>
      </c>
      <c r="AY158" s="71" t="n">
        <f aca="false">+K158-AX158</f>
        <v>0</v>
      </c>
      <c r="AZ158" s="39"/>
      <c r="BA158" s="39" t="n">
        <f aca="false">+P158+Q158+T158+U158+V158+W158+X158+Y158</f>
        <v>0</v>
      </c>
      <c r="BB158" s="39" t="n">
        <f aca="false">N158</f>
        <v>0</v>
      </c>
      <c r="BC158" s="39" t="n">
        <f aca="false">SUM(P158:AW158)</f>
        <v>0</v>
      </c>
      <c r="BD158" s="39"/>
      <c r="BE158" s="39" t="n">
        <f aca="false">SUM(BB158:BC158)</f>
        <v>0</v>
      </c>
      <c r="BF158" s="39"/>
      <c r="BG158" s="48" t="n">
        <f aca="false">SUM(N158:AW158)</f>
        <v>0</v>
      </c>
      <c r="BH158" s="39" t="n">
        <f aca="false">BE158-BG158</f>
        <v>0</v>
      </c>
      <c r="BI158" s="39"/>
      <c r="BJ158" s="39"/>
      <c r="BK158" s="39"/>
      <c r="BL158" s="39"/>
      <c r="BM158" s="39"/>
      <c r="BN158" s="39"/>
      <c r="BO158" s="39"/>
      <c r="BP158" s="39"/>
      <c r="BQ158" s="39"/>
      <c r="BR158" s="39"/>
      <c r="BS158" s="39"/>
      <c r="BT158" s="39"/>
      <c r="BU158" s="39"/>
      <c r="BV158" s="39"/>
      <c r="BW158" s="39"/>
      <c r="BX158" s="39"/>
      <c r="BY158" s="39"/>
      <c r="BZ158" s="39"/>
      <c r="CA158" s="39"/>
      <c r="CB158" s="39"/>
      <c r="CC158" s="39"/>
      <c r="CD158" s="39"/>
      <c r="CE158" s="39"/>
      <c r="CF158" s="39"/>
      <c r="CG158" s="39"/>
      <c r="CH158" s="39"/>
      <c r="CI158" s="39"/>
      <c r="CJ158" s="39"/>
      <c r="CK158" s="39"/>
      <c r="CL158" s="39"/>
      <c r="CM158" s="39"/>
      <c r="CN158" s="39"/>
      <c r="CO158" s="39"/>
      <c r="CP158" s="39"/>
      <c r="CQ158" s="39"/>
      <c r="CR158" s="39"/>
      <c r="CS158" s="39"/>
      <c r="CT158" s="39"/>
      <c r="CU158" s="39"/>
      <c r="CV158" s="39"/>
      <c r="CW158" s="39"/>
      <c r="CX158" s="39"/>
      <c r="CY158" s="39"/>
      <c r="CZ158" s="39"/>
      <c r="DA158" s="39"/>
      <c r="DB158" s="39"/>
      <c r="DC158" s="39"/>
      <c r="DD158" s="39"/>
      <c r="DE158" s="39"/>
      <c r="DF158" s="39"/>
      <c r="DG158" s="39"/>
      <c r="DH158" s="39"/>
      <c r="DI158" s="39"/>
      <c r="DJ158" s="39"/>
      <c r="DK158" s="39"/>
      <c r="DL158" s="39"/>
      <c r="DM158" s="39"/>
      <c r="DN158" s="39"/>
      <c r="DO158" s="39"/>
      <c r="DP158" s="39"/>
      <c r="DQ158" s="39"/>
      <c r="DR158" s="39"/>
      <c r="DS158" s="39"/>
      <c r="DT158" s="39"/>
      <c r="DU158" s="39"/>
      <c r="DV158" s="39"/>
      <c r="DW158" s="39"/>
      <c r="DX158" s="39"/>
      <c r="DY158" s="39"/>
      <c r="DZ158" s="39"/>
      <c r="EA158" s="39"/>
      <c r="EB158" s="39"/>
      <c r="EC158" s="39"/>
      <c r="ED158" s="39"/>
      <c r="EE158" s="39"/>
      <c r="EF158" s="39"/>
      <c r="EG158" s="39"/>
      <c r="EH158" s="39"/>
      <c r="EI158" s="39"/>
      <c r="EJ158" s="39"/>
      <c r="EK158" s="39"/>
      <c r="EL158" s="39"/>
      <c r="EM158" s="39"/>
      <c r="EN158" s="39"/>
      <c r="EO158" s="39"/>
      <c r="EP158" s="39"/>
      <c r="EQ158" s="39"/>
      <c r="ER158" s="39"/>
      <c r="ES158" s="39"/>
      <c r="ET158" s="39"/>
      <c r="EU158" s="39"/>
      <c r="EV158" s="39"/>
      <c r="EW158" s="39"/>
      <c r="EX158" s="39"/>
      <c r="EY158" s="39"/>
      <c r="EZ158" s="39"/>
      <c r="FA158" s="39"/>
      <c r="FB158" s="39"/>
      <c r="FC158" s="39"/>
      <c r="FD158" s="39"/>
      <c r="FE158" s="39"/>
      <c r="FF158" s="39"/>
      <c r="FG158" s="39"/>
      <c r="FH158" s="39"/>
      <c r="FI158" s="39"/>
      <c r="FJ158" s="39"/>
      <c r="FK158" s="39"/>
      <c r="FL158" s="39"/>
      <c r="FM158" s="39"/>
      <c r="FN158" s="39"/>
      <c r="FO158" s="39"/>
      <c r="FP158" s="39"/>
      <c r="FQ158" s="39"/>
      <c r="FR158" s="39"/>
      <c r="FS158" s="39"/>
      <c r="FT158" s="39"/>
      <c r="FU158" s="39"/>
      <c r="FV158" s="39"/>
      <c r="FW158" s="39"/>
      <c r="FX158" s="39"/>
      <c r="FY158" s="39"/>
      <c r="FZ158" s="39"/>
      <c r="GA158" s="39"/>
      <c r="GB158" s="39"/>
      <c r="GC158" s="39"/>
      <c r="GD158" s="39"/>
      <c r="GE158" s="39"/>
      <c r="GF158" s="39"/>
      <c r="GG158" s="39"/>
      <c r="GH158" s="39"/>
      <c r="GI158" s="39"/>
      <c r="GJ158" s="39"/>
      <c r="GK158" s="39"/>
      <c r="GL158" s="39"/>
      <c r="GM158" s="39"/>
      <c r="GN158" s="39"/>
      <c r="GO158" s="39"/>
      <c r="GP158" s="39"/>
      <c r="GQ158" s="39"/>
      <c r="GR158" s="39"/>
      <c r="GS158" s="39"/>
      <c r="GT158" s="39"/>
      <c r="GU158" s="39"/>
      <c r="GV158" s="39"/>
      <c r="GW158" s="39"/>
      <c r="GX158" s="39"/>
      <c r="GY158" s="39"/>
      <c r="GZ158" s="39"/>
      <c r="HA158" s="39"/>
      <c r="HB158" s="39"/>
      <c r="HC158" s="39"/>
      <c r="HD158" s="39"/>
      <c r="HE158" s="39"/>
      <c r="HF158" s="39"/>
      <c r="HG158" s="39"/>
      <c r="HH158" s="39"/>
      <c r="HI158" s="39"/>
      <c r="HJ158" s="39"/>
      <c r="HK158" s="39"/>
      <c r="HL158" s="39"/>
      <c r="HM158" s="39"/>
      <c r="HN158" s="39"/>
      <c r="HO158" s="39"/>
      <c r="HP158" s="39"/>
      <c r="HQ158" s="39"/>
      <c r="HR158" s="39"/>
      <c r="HS158" s="39"/>
      <c r="HT158" s="39"/>
      <c r="HU158" s="39"/>
      <c r="HV158" s="39"/>
      <c r="HW158" s="39"/>
      <c r="HX158" s="39"/>
      <c r="HY158" s="39"/>
      <c r="HZ158" s="39"/>
      <c r="IA158" s="39"/>
      <c r="IB158" s="39"/>
      <c r="IC158" s="39"/>
      <c r="ID158" s="39"/>
      <c r="IE158" s="39"/>
      <c r="IF158" s="39"/>
      <c r="IG158" s="39"/>
      <c r="IH158" s="39"/>
      <c r="II158" s="39"/>
      <c r="IJ158" s="39"/>
      <c r="IK158" s="39"/>
      <c r="IL158" s="39"/>
      <c r="IM158" s="39"/>
      <c r="IN158" s="39"/>
      <c r="IO158" s="39"/>
      <c r="IP158" s="39"/>
      <c r="IQ158" s="39"/>
      <c r="IR158" s="39"/>
      <c r="IS158" s="39"/>
      <c r="IT158" s="39"/>
      <c r="IU158" s="39"/>
      <c r="IV158" s="39"/>
      <c r="IW158" s="39"/>
    </row>
    <row r="159" customFormat="false" ht="12.95" hidden="false" customHeight="true" outlineLevel="0" collapsed="false">
      <c r="A159" s="37" t="n">
        <f aca="false">+'CCs # Master'!A126</f>
        <v>11</v>
      </c>
      <c r="B159" s="99" t="str">
        <f aca="false">+'CCs # Master'!B126</f>
        <v>HR-Corporate Analysis and Reporting</v>
      </c>
      <c r="C159" s="99" t="str">
        <f aca="false">+'CCs # Master'!C126</f>
        <v>Daniels, D</v>
      </c>
      <c r="D159" s="37" t="n">
        <f aca="false">+'CCs # Master'!D126</f>
        <v>100090</v>
      </c>
      <c r="E159" s="39" t="n">
        <f aca="false">+'CCs # Master'!E126</f>
        <v>883</v>
      </c>
      <c r="F159" s="39" t="n">
        <f aca="false">+'CCs # Master'!F126</f>
        <v>40</v>
      </c>
      <c r="G159" s="39" t="n">
        <f aca="false">+'CCs # Master'!G126</f>
        <v>5</v>
      </c>
      <c r="H159" s="39" t="n">
        <f aca="false">+'CCs # Master'!H126</f>
        <v>0</v>
      </c>
      <c r="I159" s="39" t="n">
        <f aca="false">+'CCs # Master'!I126</f>
        <v>162</v>
      </c>
      <c r="J159" s="39" t="n">
        <f aca="false">+'CCs # Master'!J126</f>
        <v>-290</v>
      </c>
      <c r="K159" s="71" t="n">
        <f aca="false">SUM(E159:J159)</f>
        <v>800</v>
      </c>
      <c r="L159" s="39"/>
      <c r="M159" s="39" t="str">
        <f aca="false">+'CCs # Master'!M126</f>
        <v>% of Domestic Headcount</v>
      </c>
      <c r="N159" s="39" t="n">
        <f aca="false">+'CCs # Master'!AW126</f>
        <v>81</v>
      </c>
      <c r="O159" s="39" t="n">
        <v>0</v>
      </c>
      <c r="P159" s="39" t="n">
        <f aca="false">+'CCs # Master'!N126</f>
        <v>13</v>
      </c>
      <c r="Q159" s="39" t="n">
        <f aca="false">+'CCs # Master'!O126</f>
        <v>24</v>
      </c>
      <c r="R159" s="39" t="n">
        <f aca="false">+'CCs # Master'!P126</f>
        <v>26</v>
      </c>
      <c r="S159" s="39" t="n">
        <f aca="false">+'CCs # Master'!Q126</f>
        <v>27</v>
      </c>
      <c r="T159" s="39" t="n">
        <f aca="false">+'CCs # Master'!R126</f>
        <v>2</v>
      </c>
      <c r="U159" s="39" t="n">
        <f aca="false">+'CCs # Master'!S126</f>
        <v>0</v>
      </c>
      <c r="V159" s="39" t="n">
        <f aca="false">+'CCs # Master'!T126</f>
        <v>14</v>
      </c>
      <c r="W159" s="39" t="n">
        <f aca="false">+'CCs # Master'!U126</f>
        <v>93</v>
      </c>
      <c r="X159" s="39" t="n">
        <f aca="false">+'CCs # Master'!V126</f>
        <v>18</v>
      </c>
      <c r="Y159" s="39" t="n">
        <f aca="false">+'CCs # Master'!W126</f>
        <v>7</v>
      </c>
      <c r="Z159" s="39" t="n">
        <f aca="false">+'CCs # Master'!X126</f>
        <v>130</v>
      </c>
      <c r="AA159" s="39" t="n">
        <f aca="false">+'CCs # Master'!Y126</f>
        <v>1</v>
      </c>
      <c r="AB159" s="39" t="n">
        <f aca="false">+'CCs # Master'!Z126</f>
        <v>15</v>
      </c>
      <c r="AC159" s="39" t="n">
        <f aca="false">+'CCs # Master'!AA126</f>
        <v>3</v>
      </c>
      <c r="AD159" s="39" t="n">
        <f aca="false">+'CCs # Master'!AB126</f>
        <v>1</v>
      </c>
      <c r="AE159" s="39" t="n">
        <f aca="false">+'CCs # Master'!AC126</f>
        <v>6</v>
      </c>
      <c r="AF159" s="39" t="n">
        <f aca="false">+'CCs # Master'!AD126</f>
        <v>115</v>
      </c>
      <c r="AG159" s="39" t="n">
        <f aca="false">+'CCs # Master'!AE126</f>
        <v>93</v>
      </c>
      <c r="AH159" s="39" t="n">
        <f aca="false">+'CCs # Master'!AF126</f>
        <v>1</v>
      </c>
      <c r="AI159" s="39" t="n">
        <f aca="false">+'CCs # Master'!AG126</f>
        <v>0</v>
      </c>
      <c r="AJ159" s="39" t="n">
        <f aca="false">+'CCs # Master'!AH126</f>
        <v>6</v>
      </c>
      <c r="AK159" s="39" t="n">
        <f aca="false">+'CCs # Master'!AI126</f>
        <v>6</v>
      </c>
      <c r="AL159" s="39" t="n">
        <f aca="false">+'CCs # Master'!AJ126</f>
        <v>3</v>
      </c>
      <c r="AM159" s="39" t="n">
        <f aca="false">+'CCs # Master'!AK126</f>
        <v>8</v>
      </c>
      <c r="AN159" s="39" t="n">
        <f aca="false">+'CCs # Master'!AL126</f>
        <v>3</v>
      </c>
      <c r="AO159" s="39" t="n">
        <f aca="false">+'CCs # Master'!AM126</f>
        <v>60</v>
      </c>
      <c r="AP159" s="39" t="n">
        <f aca="false">+'CCs # Master'!AN126</f>
        <v>0</v>
      </c>
      <c r="AQ159" s="39" t="n">
        <f aca="false">+'CCs # Master'!AO126</f>
        <v>35</v>
      </c>
      <c r="AR159" s="39" t="n">
        <f aca="false">+'CCs # Master'!AP126</f>
        <v>9</v>
      </c>
      <c r="AS159" s="39" t="n">
        <f aca="false">+'CCs # Master'!AQ126</f>
        <v>0</v>
      </c>
      <c r="AT159" s="39" t="n">
        <f aca="false">+'CCs # Master'!AR126</f>
        <v>0</v>
      </c>
      <c r="AU159" s="39" t="n">
        <f aca="false">+'CCs # Master'!AS126</f>
        <v>0</v>
      </c>
      <c r="AV159" s="39" t="n">
        <f aca="false">+'CCs # Master'!AT126</f>
        <v>0</v>
      </c>
      <c r="AW159" s="100"/>
      <c r="AX159" s="71" t="n">
        <f aca="false">SUM(N159:AW159)</f>
        <v>800</v>
      </c>
      <c r="AY159" s="71" t="n">
        <f aca="false">+K159-AX159</f>
        <v>0</v>
      </c>
      <c r="AZ159" s="39"/>
      <c r="BA159" s="39" t="n">
        <f aca="false">+P159+Q159+T159+U159+V159+W159+X159+Y159</f>
        <v>171</v>
      </c>
      <c r="BB159" s="39" t="n">
        <f aca="false">N159</f>
        <v>81</v>
      </c>
      <c r="BC159" s="39" t="n">
        <f aca="false">SUM(P159:AW159)</f>
        <v>719</v>
      </c>
      <c r="BD159" s="39"/>
      <c r="BE159" s="39" t="n">
        <f aca="false">SUM(BB159:BC159)</f>
        <v>800</v>
      </c>
      <c r="BF159" s="39"/>
      <c r="BG159" s="48" t="n">
        <f aca="false">SUM(N159:AW159)</f>
        <v>800</v>
      </c>
      <c r="BH159" s="39" t="n">
        <f aca="false">BE159-BG159</f>
        <v>0</v>
      </c>
      <c r="BI159" s="39"/>
      <c r="BJ159" s="39"/>
      <c r="BK159" s="39"/>
      <c r="BL159" s="39"/>
      <c r="BM159" s="39"/>
      <c r="BN159" s="39"/>
      <c r="BO159" s="39"/>
      <c r="BP159" s="39"/>
      <c r="BQ159" s="39"/>
      <c r="BR159" s="39"/>
      <c r="BS159" s="39"/>
      <c r="BT159" s="39"/>
      <c r="BU159" s="39"/>
      <c r="BV159" s="39"/>
      <c r="BW159" s="39"/>
      <c r="BX159" s="39"/>
      <c r="BY159" s="39"/>
      <c r="BZ159" s="39"/>
      <c r="CA159" s="39"/>
      <c r="CB159" s="39"/>
      <c r="CC159" s="39"/>
      <c r="CD159" s="39"/>
      <c r="CE159" s="39"/>
      <c r="CF159" s="39"/>
      <c r="CG159" s="39"/>
      <c r="CH159" s="39"/>
      <c r="CI159" s="39"/>
      <c r="CJ159" s="39"/>
      <c r="CK159" s="39"/>
      <c r="CL159" s="39"/>
      <c r="CM159" s="39"/>
      <c r="CN159" s="39"/>
      <c r="CO159" s="39"/>
      <c r="CP159" s="39"/>
      <c r="CQ159" s="39"/>
      <c r="CR159" s="39"/>
      <c r="CS159" s="39"/>
      <c r="CT159" s="39"/>
      <c r="CU159" s="39"/>
      <c r="CV159" s="39"/>
      <c r="CW159" s="39"/>
      <c r="CX159" s="39"/>
      <c r="CY159" s="39"/>
      <c r="CZ159" s="39"/>
      <c r="DA159" s="39"/>
      <c r="DB159" s="39"/>
      <c r="DC159" s="39"/>
      <c r="DD159" s="39"/>
      <c r="DE159" s="39"/>
      <c r="DF159" s="39"/>
      <c r="DG159" s="39"/>
      <c r="DH159" s="39"/>
      <c r="DI159" s="39"/>
      <c r="DJ159" s="39"/>
      <c r="DK159" s="39"/>
      <c r="DL159" s="39"/>
      <c r="DM159" s="39"/>
      <c r="DN159" s="39"/>
      <c r="DO159" s="39"/>
      <c r="DP159" s="39"/>
      <c r="DQ159" s="39"/>
      <c r="DR159" s="39"/>
      <c r="DS159" s="39"/>
      <c r="DT159" s="39"/>
      <c r="DU159" s="39"/>
      <c r="DV159" s="39"/>
      <c r="DW159" s="39"/>
      <c r="DX159" s="39"/>
      <c r="DY159" s="39"/>
      <c r="DZ159" s="39"/>
      <c r="EA159" s="39"/>
      <c r="EB159" s="39"/>
      <c r="EC159" s="39"/>
      <c r="ED159" s="39"/>
      <c r="EE159" s="39"/>
      <c r="EF159" s="39"/>
      <c r="EG159" s="39"/>
      <c r="EH159" s="39"/>
      <c r="EI159" s="39"/>
      <c r="EJ159" s="39"/>
      <c r="EK159" s="39"/>
      <c r="EL159" s="39"/>
      <c r="EM159" s="39"/>
      <c r="EN159" s="39"/>
      <c r="EO159" s="39"/>
      <c r="EP159" s="39"/>
      <c r="EQ159" s="39"/>
      <c r="ER159" s="39"/>
      <c r="ES159" s="39"/>
      <c r="ET159" s="39"/>
      <c r="EU159" s="39"/>
      <c r="EV159" s="39"/>
      <c r="EW159" s="39"/>
      <c r="EX159" s="39"/>
      <c r="EY159" s="39"/>
      <c r="EZ159" s="39"/>
      <c r="FA159" s="39"/>
      <c r="FB159" s="39"/>
      <c r="FC159" s="39"/>
      <c r="FD159" s="39"/>
      <c r="FE159" s="39"/>
      <c r="FF159" s="39"/>
      <c r="FG159" s="39"/>
      <c r="FH159" s="39"/>
      <c r="FI159" s="39"/>
      <c r="FJ159" s="39"/>
      <c r="FK159" s="39"/>
      <c r="FL159" s="39"/>
      <c r="FM159" s="39"/>
      <c r="FN159" s="39"/>
      <c r="FO159" s="39"/>
      <c r="FP159" s="39"/>
      <c r="FQ159" s="39"/>
      <c r="FR159" s="39"/>
      <c r="FS159" s="39"/>
      <c r="FT159" s="39"/>
      <c r="FU159" s="39"/>
      <c r="FV159" s="39"/>
      <c r="FW159" s="39"/>
      <c r="FX159" s="39"/>
      <c r="FY159" s="39"/>
      <c r="FZ159" s="39"/>
      <c r="GA159" s="39"/>
      <c r="GB159" s="39"/>
      <c r="GC159" s="39"/>
      <c r="GD159" s="39"/>
      <c r="GE159" s="39"/>
      <c r="GF159" s="39"/>
      <c r="GG159" s="39"/>
      <c r="GH159" s="39"/>
      <c r="GI159" s="39"/>
      <c r="GJ159" s="39"/>
      <c r="GK159" s="39"/>
      <c r="GL159" s="39"/>
      <c r="GM159" s="39"/>
      <c r="GN159" s="39"/>
      <c r="GO159" s="39"/>
      <c r="GP159" s="39"/>
      <c r="GQ159" s="39"/>
      <c r="GR159" s="39"/>
      <c r="GS159" s="39"/>
      <c r="GT159" s="39"/>
      <c r="GU159" s="39"/>
      <c r="GV159" s="39"/>
      <c r="GW159" s="39"/>
      <c r="GX159" s="39"/>
      <c r="GY159" s="39"/>
      <c r="GZ159" s="39"/>
      <c r="HA159" s="39"/>
      <c r="HB159" s="39"/>
      <c r="HC159" s="39"/>
      <c r="HD159" s="39"/>
      <c r="HE159" s="39"/>
      <c r="HF159" s="39"/>
      <c r="HG159" s="39"/>
      <c r="HH159" s="39"/>
      <c r="HI159" s="39"/>
      <c r="HJ159" s="39"/>
      <c r="HK159" s="39"/>
      <c r="HL159" s="39"/>
      <c r="HM159" s="39"/>
      <c r="HN159" s="39"/>
      <c r="HO159" s="39"/>
      <c r="HP159" s="39"/>
      <c r="HQ159" s="39"/>
      <c r="HR159" s="39"/>
      <c r="HS159" s="39"/>
      <c r="HT159" s="39"/>
      <c r="HU159" s="39"/>
      <c r="HV159" s="39"/>
      <c r="HW159" s="39"/>
      <c r="HX159" s="39"/>
      <c r="HY159" s="39"/>
      <c r="HZ159" s="39"/>
      <c r="IA159" s="39"/>
      <c r="IB159" s="39"/>
      <c r="IC159" s="39"/>
      <c r="ID159" s="39"/>
      <c r="IE159" s="39"/>
      <c r="IF159" s="39"/>
      <c r="IG159" s="39"/>
      <c r="IH159" s="39"/>
      <c r="II159" s="39"/>
      <c r="IJ159" s="39"/>
      <c r="IK159" s="39"/>
      <c r="IL159" s="39"/>
      <c r="IM159" s="39"/>
      <c r="IN159" s="39"/>
      <c r="IO159" s="39"/>
      <c r="IP159" s="39"/>
      <c r="IQ159" s="39"/>
      <c r="IR159" s="39"/>
      <c r="IS159" s="39"/>
      <c r="IT159" s="39"/>
      <c r="IU159" s="39"/>
      <c r="IV159" s="39"/>
      <c r="IW159" s="39"/>
    </row>
    <row r="160" customFormat="false" ht="12.95" hidden="false" customHeight="true" outlineLevel="0" collapsed="false">
      <c r="A160" s="37" t="str">
        <f aca="false">+'CCs # Master'!A67</f>
        <v>0011</v>
      </c>
      <c r="B160" s="39" t="str">
        <f aca="false">+'CCs # Master'!B67</f>
        <v>Labor Relations Risk Management</v>
      </c>
      <c r="C160" s="39" t="str">
        <f aca="false">+'CCs # Master'!C67</f>
        <v>Gonzales, Paul</v>
      </c>
      <c r="D160" s="96" t="n">
        <f aca="false">+'CCs # Master'!D67</f>
        <v>100092</v>
      </c>
      <c r="E160" s="39" t="n">
        <f aca="false">+'CCs # Master'!E67</f>
        <v>119</v>
      </c>
      <c r="F160" s="39" t="n">
        <f aca="false">+'CCs # Master'!F67</f>
        <v>43</v>
      </c>
      <c r="G160" s="39" t="n">
        <f aca="false">+'CCs # Master'!G67</f>
        <v>3</v>
      </c>
      <c r="H160" s="39" t="n">
        <f aca="false">+'CCs # Master'!H67</f>
        <v>11</v>
      </c>
      <c r="I160" s="39" t="n">
        <f aca="false">+'CCs # Master'!I67</f>
        <v>21</v>
      </c>
      <c r="J160" s="39" t="n">
        <f aca="false">+'CCs # Master'!J67</f>
        <v>8</v>
      </c>
      <c r="K160" s="71" t="n">
        <f aca="false">SUM(E160:J160)</f>
        <v>205</v>
      </c>
      <c r="L160" s="39"/>
      <c r="M160" s="39" t="str">
        <f aca="false">+'CCs # Master'!M67</f>
        <v>% of Domestic Headcount</v>
      </c>
      <c r="N160" s="39" t="n">
        <f aca="false">+'CCs # Master'!AW67</f>
        <v>21</v>
      </c>
      <c r="O160" s="39" t="n">
        <v>0</v>
      </c>
      <c r="P160" s="39" t="n">
        <f aca="false">+'CCs # Master'!N67</f>
        <v>3</v>
      </c>
      <c r="Q160" s="39" t="n">
        <f aca="false">+'CCs # Master'!O67</f>
        <v>6</v>
      </c>
      <c r="R160" s="39" t="n">
        <f aca="false">+'CCs # Master'!P67</f>
        <v>7</v>
      </c>
      <c r="S160" s="39" t="n">
        <f aca="false">+'CCs # Master'!Q67</f>
        <v>7</v>
      </c>
      <c r="T160" s="39" t="n">
        <f aca="false">+'CCs # Master'!R67</f>
        <v>1</v>
      </c>
      <c r="U160" s="39" t="n">
        <f aca="false">+'CCs # Master'!S67</f>
        <v>0</v>
      </c>
      <c r="V160" s="39" t="n">
        <f aca="false">+'CCs # Master'!T67</f>
        <v>4</v>
      </c>
      <c r="W160" s="39" t="n">
        <f aca="false">+'CCs # Master'!U67</f>
        <v>24</v>
      </c>
      <c r="X160" s="39" t="n">
        <f aca="false">+'CCs # Master'!V67</f>
        <v>5</v>
      </c>
      <c r="Y160" s="39" t="n">
        <f aca="false">+'CCs # Master'!W67</f>
        <v>0</v>
      </c>
      <c r="Z160" s="39" t="n">
        <f aca="false">+'CCs # Master'!X67</f>
        <v>34</v>
      </c>
      <c r="AA160" s="39" t="n">
        <f aca="false">+'CCs # Master'!Y67</f>
        <v>0</v>
      </c>
      <c r="AB160" s="39" t="n">
        <f aca="false">+'CCs # Master'!Z67</f>
        <v>4</v>
      </c>
      <c r="AC160" s="39" t="n">
        <f aca="false">+'CCs # Master'!AA67</f>
        <v>1</v>
      </c>
      <c r="AD160" s="39" t="n">
        <f aca="false">+'CCs # Master'!AB67</f>
        <v>0</v>
      </c>
      <c r="AE160" s="39" t="n">
        <f aca="false">+'CCs # Master'!AC67</f>
        <v>1</v>
      </c>
      <c r="AF160" s="39" t="n">
        <f aca="false">+'CCs # Master'!AD67</f>
        <v>29</v>
      </c>
      <c r="AG160" s="39" t="n">
        <f aca="false">+'CCs # Master'!AE67</f>
        <v>24</v>
      </c>
      <c r="AH160" s="39" t="n">
        <f aca="false">+'CCs # Master'!AF67</f>
        <v>0</v>
      </c>
      <c r="AI160" s="39" t="n">
        <f aca="false">+'CCs # Master'!AG67</f>
        <v>0</v>
      </c>
      <c r="AJ160" s="39" t="n">
        <f aca="false">+'CCs # Master'!AH67</f>
        <v>2</v>
      </c>
      <c r="AK160" s="39" t="n">
        <f aca="false">+'CCs # Master'!AI67</f>
        <v>2</v>
      </c>
      <c r="AL160" s="39" t="n">
        <f aca="false">+'CCs # Master'!AJ67</f>
        <v>1</v>
      </c>
      <c r="AM160" s="39" t="n">
        <f aca="false">+'CCs # Master'!AK67</f>
        <v>2</v>
      </c>
      <c r="AN160" s="39" t="n">
        <f aca="false">+'CCs # Master'!AL67</f>
        <v>1</v>
      </c>
      <c r="AO160" s="39" t="n">
        <f aca="false">+'CCs # Master'!AM67</f>
        <v>15</v>
      </c>
      <c r="AP160" s="39" t="n">
        <f aca="false">+'CCs # Master'!AN67</f>
        <v>0</v>
      </c>
      <c r="AQ160" s="39" t="n">
        <f aca="false">+'CCs # Master'!AO67</f>
        <v>9</v>
      </c>
      <c r="AR160" s="39" t="n">
        <f aca="false">+'CCs # Master'!AP67</f>
        <v>2</v>
      </c>
      <c r="AS160" s="39" t="n">
        <f aca="false">+'CCs # Master'!AQ67</f>
        <v>0</v>
      </c>
      <c r="AT160" s="39" t="n">
        <f aca="false">+'CCs # Master'!AR67</f>
        <v>0</v>
      </c>
      <c r="AU160" s="39" t="n">
        <f aca="false">+'CCs # Master'!AS67</f>
        <v>0</v>
      </c>
      <c r="AV160" s="39" t="n">
        <f aca="false">+'CCs # Master'!AT67</f>
        <v>0</v>
      </c>
      <c r="AW160" s="100"/>
      <c r="AX160" s="71" t="n">
        <f aca="false">SUM(N160:AW160)</f>
        <v>205</v>
      </c>
      <c r="AY160" s="71" t="n">
        <f aca="false">+K160-AX160</f>
        <v>0</v>
      </c>
      <c r="AZ160" s="39"/>
      <c r="BA160" s="39" t="n">
        <f aca="false">+P160+Q160+T160+U160+V160+W160+X160+Y160</f>
        <v>43</v>
      </c>
      <c r="BB160" s="39" t="n">
        <f aca="false">N160</f>
        <v>21</v>
      </c>
      <c r="BC160" s="39" t="n">
        <f aca="false">SUM(P160:AW160)</f>
        <v>184</v>
      </c>
      <c r="BD160" s="39"/>
      <c r="BE160" s="39" t="n">
        <f aca="false">SUM(BB160:BC160)</f>
        <v>205</v>
      </c>
      <c r="BF160" s="39"/>
      <c r="BG160" s="48" t="n">
        <f aca="false">SUM(N160:AW160)</f>
        <v>205</v>
      </c>
      <c r="BH160" s="39" t="n">
        <f aca="false">BE160-BG160</f>
        <v>0</v>
      </c>
      <c r="BI160" s="39"/>
      <c r="BJ160" s="39"/>
      <c r="BK160" s="39"/>
      <c r="BL160" s="39"/>
      <c r="BM160" s="39"/>
      <c r="BN160" s="39"/>
      <c r="BO160" s="39"/>
      <c r="BP160" s="39"/>
      <c r="BQ160" s="39"/>
      <c r="BR160" s="39"/>
      <c r="BS160" s="39"/>
      <c r="BT160" s="39"/>
      <c r="BU160" s="39"/>
      <c r="BV160" s="39"/>
      <c r="BW160" s="39"/>
      <c r="BX160" s="39"/>
      <c r="BY160" s="39"/>
      <c r="BZ160" s="39"/>
      <c r="CA160" s="39"/>
      <c r="CB160" s="39"/>
      <c r="CC160" s="39"/>
      <c r="CD160" s="39"/>
      <c r="CE160" s="39"/>
      <c r="CF160" s="39"/>
      <c r="CG160" s="39"/>
      <c r="CH160" s="39"/>
      <c r="CI160" s="39"/>
      <c r="CJ160" s="39"/>
      <c r="CK160" s="39"/>
      <c r="CL160" s="39"/>
      <c r="CM160" s="39"/>
      <c r="CN160" s="39"/>
      <c r="CO160" s="39"/>
      <c r="CP160" s="39"/>
      <c r="CQ160" s="39"/>
      <c r="CR160" s="39"/>
      <c r="CS160" s="39"/>
      <c r="CT160" s="39"/>
      <c r="CU160" s="39"/>
      <c r="CV160" s="39"/>
      <c r="CW160" s="39"/>
      <c r="CX160" s="39"/>
      <c r="CY160" s="39"/>
      <c r="CZ160" s="39"/>
      <c r="DA160" s="39"/>
      <c r="DB160" s="39"/>
      <c r="DC160" s="39"/>
      <c r="DD160" s="39"/>
      <c r="DE160" s="39"/>
      <c r="DF160" s="39"/>
      <c r="DG160" s="39"/>
      <c r="DH160" s="39"/>
      <c r="DI160" s="39"/>
      <c r="DJ160" s="39"/>
      <c r="DK160" s="39"/>
      <c r="DL160" s="39"/>
      <c r="DM160" s="39"/>
      <c r="DN160" s="39"/>
      <c r="DO160" s="39"/>
      <c r="DP160" s="39"/>
      <c r="DQ160" s="39"/>
      <c r="DR160" s="39"/>
      <c r="DS160" s="39"/>
      <c r="DT160" s="39"/>
      <c r="DU160" s="39"/>
      <c r="DV160" s="39"/>
      <c r="DW160" s="39"/>
      <c r="DX160" s="39"/>
      <c r="DY160" s="39"/>
      <c r="DZ160" s="39"/>
      <c r="EA160" s="39"/>
      <c r="EB160" s="39"/>
      <c r="EC160" s="39"/>
      <c r="ED160" s="39"/>
      <c r="EE160" s="39"/>
      <c r="EF160" s="39"/>
      <c r="EG160" s="39"/>
      <c r="EH160" s="39"/>
      <c r="EI160" s="39"/>
      <c r="EJ160" s="39"/>
      <c r="EK160" s="39"/>
      <c r="EL160" s="39"/>
      <c r="EM160" s="39"/>
      <c r="EN160" s="39"/>
      <c r="EO160" s="39"/>
      <c r="EP160" s="39"/>
      <c r="EQ160" s="39"/>
      <c r="ER160" s="39"/>
      <c r="ES160" s="39"/>
      <c r="ET160" s="39"/>
      <c r="EU160" s="39"/>
      <c r="EV160" s="39"/>
      <c r="EW160" s="39"/>
      <c r="EX160" s="39"/>
      <c r="EY160" s="39"/>
      <c r="EZ160" s="39"/>
      <c r="FA160" s="39"/>
      <c r="FB160" s="39"/>
      <c r="FC160" s="39"/>
      <c r="FD160" s="39"/>
      <c r="FE160" s="39"/>
      <c r="FF160" s="39"/>
      <c r="FG160" s="39"/>
      <c r="FH160" s="39"/>
      <c r="FI160" s="39"/>
      <c r="FJ160" s="39"/>
      <c r="FK160" s="39"/>
      <c r="FL160" s="39"/>
      <c r="FM160" s="39"/>
      <c r="FN160" s="39"/>
      <c r="FO160" s="39"/>
      <c r="FP160" s="39"/>
      <c r="FQ160" s="39"/>
      <c r="FR160" s="39"/>
      <c r="FS160" s="39"/>
      <c r="FT160" s="39"/>
      <c r="FU160" s="39"/>
      <c r="FV160" s="39"/>
      <c r="FW160" s="39"/>
      <c r="FX160" s="39"/>
      <c r="FY160" s="39"/>
      <c r="FZ160" s="39"/>
      <c r="GA160" s="39"/>
      <c r="GB160" s="39"/>
      <c r="GC160" s="39"/>
      <c r="GD160" s="39"/>
      <c r="GE160" s="39"/>
      <c r="GF160" s="39"/>
      <c r="GG160" s="39"/>
      <c r="GH160" s="39"/>
      <c r="GI160" s="39"/>
      <c r="GJ160" s="39"/>
      <c r="GK160" s="39"/>
      <c r="GL160" s="39"/>
      <c r="GM160" s="39"/>
      <c r="GN160" s="39"/>
      <c r="GO160" s="39"/>
      <c r="GP160" s="39"/>
      <c r="GQ160" s="39"/>
      <c r="GR160" s="39"/>
      <c r="GS160" s="39"/>
      <c r="GT160" s="39"/>
      <c r="GU160" s="39"/>
      <c r="GV160" s="39"/>
      <c r="GW160" s="39"/>
      <c r="GX160" s="39"/>
      <c r="GY160" s="39"/>
      <c r="GZ160" s="39"/>
      <c r="HA160" s="39"/>
      <c r="HB160" s="39"/>
      <c r="HC160" s="39"/>
      <c r="HD160" s="39"/>
      <c r="HE160" s="39"/>
      <c r="HF160" s="39"/>
      <c r="HG160" s="39"/>
      <c r="HH160" s="39"/>
      <c r="HI160" s="39"/>
      <c r="HJ160" s="39"/>
      <c r="HK160" s="39"/>
      <c r="HL160" s="39"/>
      <c r="HM160" s="39"/>
      <c r="HN160" s="39"/>
      <c r="HO160" s="39"/>
      <c r="HP160" s="39"/>
      <c r="HQ160" s="39"/>
      <c r="HR160" s="39"/>
      <c r="HS160" s="39"/>
      <c r="HT160" s="39"/>
      <c r="HU160" s="39"/>
      <c r="HV160" s="39"/>
      <c r="HW160" s="39"/>
      <c r="HX160" s="39"/>
      <c r="HY160" s="39"/>
      <c r="HZ160" s="39"/>
      <c r="IA160" s="39"/>
      <c r="IB160" s="39"/>
      <c r="IC160" s="39"/>
      <c r="ID160" s="39"/>
      <c r="IE160" s="39"/>
      <c r="IF160" s="39"/>
      <c r="IG160" s="39"/>
      <c r="IH160" s="39"/>
      <c r="II160" s="39"/>
      <c r="IJ160" s="39"/>
      <c r="IK160" s="39"/>
      <c r="IL160" s="39"/>
      <c r="IM160" s="39"/>
      <c r="IN160" s="39"/>
      <c r="IO160" s="39"/>
      <c r="IP160" s="39"/>
      <c r="IQ160" s="39"/>
      <c r="IR160" s="39"/>
      <c r="IS160" s="39"/>
      <c r="IT160" s="39"/>
      <c r="IU160" s="39"/>
      <c r="IV160" s="39"/>
      <c r="IW160" s="39"/>
    </row>
    <row r="161" customFormat="false" ht="12.95" hidden="false" customHeight="true" outlineLevel="0" collapsed="false">
      <c r="A161" s="37" t="str">
        <f aca="false">+'CCs # Master'!A73</f>
        <v>0011</v>
      </c>
      <c r="B161" s="39" t="str">
        <f aca="false">+'CCs # Master'!B73</f>
        <v>OLER</v>
      </c>
      <c r="C161" s="39" t="str">
        <f aca="false">+'CCs # Master'!C73</f>
        <v>Hope, V.</v>
      </c>
      <c r="D161" s="96" t="n">
        <f aca="false">+'CCs # Master'!D73</f>
        <v>100110</v>
      </c>
      <c r="E161" s="39" t="n">
        <f aca="false">+'CCs # Master'!E73</f>
        <v>209</v>
      </c>
      <c r="F161" s="39" t="n">
        <f aca="false">+'CCs # Master'!F73</f>
        <v>62</v>
      </c>
      <c r="G161" s="39" t="n">
        <f aca="false">+'CCs # Master'!G73</f>
        <v>2</v>
      </c>
      <c r="H161" s="39" t="n">
        <f aca="false">+'CCs # Master'!H73</f>
        <v>48</v>
      </c>
      <c r="I161" s="39" t="n">
        <f aca="false">+'CCs # Master'!I73</f>
        <v>42</v>
      </c>
      <c r="J161" s="39" t="n">
        <f aca="false">+'CCs # Master'!J73</f>
        <v>8</v>
      </c>
      <c r="K161" s="71" t="n">
        <f aca="false">SUM(E161:J161)</f>
        <v>371</v>
      </c>
      <c r="L161" s="39"/>
      <c r="M161" s="39" t="str">
        <f aca="false">+'CCs # Master'!M73</f>
        <v>% of Domestic Headcount</v>
      </c>
      <c r="N161" s="39" t="n">
        <f aca="false">+'CCs # Master'!AW73</f>
        <v>38</v>
      </c>
      <c r="O161" s="39" t="n">
        <v>0</v>
      </c>
      <c r="P161" s="39" t="n">
        <f aca="false">+'CCs # Master'!N73</f>
        <v>6</v>
      </c>
      <c r="Q161" s="39" t="n">
        <f aca="false">+'CCs # Master'!O73</f>
        <v>11</v>
      </c>
      <c r="R161" s="39" t="n">
        <f aca="false">+'CCs # Master'!P73</f>
        <v>12</v>
      </c>
      <c r="S161" s="39" t="n">
        <f aca="false">+'CCs # Master'!Q73</f>
        <v>13</v>
      </c>
      <c r="T161" s="39" t="n">
        <f aca="false">+'CCs # Master'!R73</f>
        <v>1</v>
      </c>
      <c r="U161" s="39" t="n">
        <f aca="false">+'CCs # Master'!S73</f>
        <v>0</v>
      </c>
      <c r="V161" s="39" t="n">
        <f aca="false">+'CCs # Master'!T73</f>
        <v>7</v>
      </c>
      <c r="W161" s="39" t="n">
        <f aca="false">+'CCs # Master'!U73</f>
        <v>43</v>
      </c>
      <c r="X161" s="39" t="n">
        <f aca="false">+'CCs # Master'!V73</f>
        <v>10</v>
      </c>
      <c r="Y161" s="39" t="n">
        <f aca="false">+'CCs # Master'!W73</f>
        <v>0</v>
      </c>
      <c r="Z161" s="39" t="n">
        <f aca="false">+'CCs # Master'!X73</f>
        <v>63</v>
      </c>
      <c r="AA161" s="39" t="n">
        <f aca="false">+'CCs # Master'!Y73</f>
        <v>1</v>
      </c>
      <c r="AB161" s="39" t="n">
        <f aca="false">+'CCs # Master'!Z73</f>
        <v>7</v>
      </c>
      <c r="AC161" s="39" t="n">
        <f aca="false">+'CCs # Master'!AA73</f>
        <v>1</v>
      </c>
      <c r="AD161" s="39" t="n">
        <f aca="false">+'CCs # Master'!AB73</f>
        <v>0</v>
      </c>
      <c r="AE161" s="39" t="n">
        <f aca="false">+'CCs # Master'!AC73</f>
        <v>3</v>
      </c>
      <c r="AF161" s="39" t="n">
        <f aca="false">+'CCs # Master'!AD73</f>
        <v>53</v>
      </c>
      <c r="AG161" s="39" t="n">
        <f aca="false">+'CCs # Master'!AE73</f>
        <v>43</v>
      </c>
      <c r="AH161" s="39" t="n">
        <f aca="false">+'CCs # Master'!AF73</f>
        <v>1</v>
      </c>
      <c r="AI161" s="39" t="n">
        <f aca="false">+'CCs # Master'!AG73</f>
        <v>0</v>
      </c>
      <c r="AJ161" s="39" t="n">
        <f aca="false">+'CCs # Master'!AH73</f>
        <v>3</v>
      </c>
      <c r="AK161" s="39" t="n">
        <f aca="false">+'CCs # Master'!AI73</f>
        <v>3</v>
      </c>
      <c r="AL161" s="39" t="n">
        <f aca="false">+'CCs # Master'!AJ73</f>
        <v>1</v>
      </c>
      <c r="AM161" s="39" t="n">
        <f aca="false">+'CCs # Master'!AK73</f>
        <v>4</v>
      </c>
      <c r="AN161" s="39" t="n">
        <f aca="false">+'CCs # Master'!AL73</f>
        <v>1</v>
      </c>
      <c r="AO161" s="39" t="n">
        <f aca="false">+'CCs # Master'!AM73</f>
        <v>26</v>
      </c>
      <c r="AP161" s="39" t="n">
        <f aca="false">+'CCs # Master'!AN73</f>
        <v>0</v>
      </c>
      <c r="AQ161" s="39" t="n">
        <f aca="false">+'CCs # Master'!AO73</f>
        <v>16</v>
      </c>
      <c r="AR161" s="39" t="n">
        <f aca="false">+'CCs # Master'!AP73</f>
        <v>4</v>
      </c>
      <c r="AS161" s="39" t="n">
        <f aca="false">+'CCs # Master'!AQ73</f>
        <v>0</v>
      </c>
      <c r="AT161" s="39" t="n">
        <f aca="false">+'CCs # Master'!AR73</f>
        <v>0</v>
      </c>
      <c r="AU161" s="39" t="n">
        <f aca="false">+'CCs # Master'!AS73</f>
        <v>0</v>
      </c>
      <c r="AV161" s="39" t="n">
        <f aca="false">+'CCs # Master'!AT73</f>
        <v>0</v>
      </c>
      <c r="AW161" s="100"/>
      <c r="AX161" s="71" t="n">
        <f aca="false">SUM(N161:AW161)</f>
        <v>371</v>
      </c>
      <c r="AY161" s="71" t="n">
        <f aca="false">+K161-AX161</f>
        <v>0</v>
      </c>
      <c r="AZ161" s="39"/>
      <c r="BA161" s="39" t="n">
        <f aca="false">+P161+Q161+T161+U161+V161+W161+X161+Y161</f>
        <v>78</v>
      </c>
      <c r="BB161" s="39" t="n">
        <f aca="false">N161</f>
        <v>38</v>
      </c>
      <c r="BC161" s="39" t="n">
        <f aca="false">SUM(P161:AW161)</f>
        <v>333</v>
      </c>
      <c r="BD161" s="39"/>
      <c r="BE161" s="39" t="n">
        <f aca="false">SUM(BB161:BC161)</f>
        <v>371</v>
      </c>
      <c r="BF161" s="39"/>
      <c r="BG161" s="48" t="n">
        <f aca="false">SUM(N161:AW161)</f>
        <v>371</v>
      </c>
      <c r="BH161" s="39" t="n">
        <f aca="false">BE161-BG161</f>
        <v>0</v>
      </c>
      <c r="BI161" s="39"/>
      <c r="BJ161" s="39"/>
      <c r="BK161" s="39"/>
      <c r="BL161" s="39"/>
      <c r="BM161" s="39"/>
      <c r="BN161" s="39"/>
      <c r="BO161" s="39"/>
      <c r="BP161" s="39"/>
      <c r="BQ161" s="39"/>
      <c r="BR161" s="39"/>
      <c r="BS161" s="39"/>
      <c r="BT161" s="39"/>
      <c r="BU161" s="39"/>
      <c r="BV161" s="39"/>
      <c r="BW161" s="39"/>
      <c r="BX161" s="39"/>
      <c r="BY161" s="39"/>
      <c r="BZ161" s="39"/>
      <c r="CA161" s="39"/>
      <c r="CB161" s="39"/>
      <c r="CC161" s="39"/>
      <c r="CD161" s="39"/>
      <c r="CE161" s="39"/>
      <c r="CF161" s="39"/>
      <c r="CG161" s="39"/>
      <c r="CH161" s="39"/>
      <c r="CI161" s="39"/>
      <c r="CJ161" s="39"/>
      <c r="CK161" s="39"/>
      <c r="CL161" s="39"/>
      <c r="CM161" s="39"/>
      <c r="CN161" s="39"/>
      <c r="CO161" s="39"/>
      <c r="CP161" s="39"/>
      <c r="CQ161" s="39"/>
      <c r="CR161" s="39"/>
      <c r="CS161" s="39"/>
      <c r="CT161" s="39"/>
      <c r="CU161" s="39"/>
      <c r="CV161" s="39"/>
      <c r="CW161" s="39"/>
      <c r="CX161" s="39"/>
      <c r="CY161" s="39"/>
      <c r="CZ161" s="39"/>
      <c r="DA161" s="39"/>
      <c r="DB161" s="39"/>
      <c r="DC161" s="39"/>
      <c r="DD161" s="39"/>
      <c r="DE161" s="39"/>
      <c r="DF161" s="39"/>
      <c r="DG161" s="39"/>
      <c r="DH161" s="39"/>
      <c r="DI161" s="39"/>
      <c r="DJ161" s="39"/>
      <c r="DK161" s="39"/>
      <c r="DL161" s="39"/>
      <c r="DM161" s="39"/>
      <c r="DN161" s="39"/>
      <c r="DO161" s="39"/>
      <c r="DP161" s="39"/>
      <c r="DQ161" s="39"/>
      <c r="DR161" s="39"/>
      <c r="DS161" s="39"/>
      <c r="DT161" s="39"/>
      <c r="DU161" s="39"/>
      <c r="DV161" s="39"/>
      <c r="DW161" s="39"/>
      <c r="DX161" s="39"/>
      <c r="DY161" s="39"/>
      <c r="DZ161" s="39"/>
      <c r="EA161" s="39"/>
      <c r="EB161" s="39"/>
      <c r="EC161" s="39"/>
      <c r="ED161" s="39"/>
      <c r="EE161" s="39"/>
      <c r="EF161" s="39"/>
      <c r="EG161" s="39"/>
      <c r="EH161" s="39"/>
      <c r="EI161" s="39"/>
      <c r="EJ161" s="39"/>
      <c r="EK161" s="39"/>
      <c r="EL161" s="39"/>
      <c r="EM161" s="39"/>
      <c r="EN161" s="39"/>
      <c r="EO161" s="39"/>
      <c r="EP161" s="39"/>
      <c r="EQ161" s="39"/>
      <c r="ER161" s="39"/>
      <c r="ES161" s="39"/>
      <c r="ET161" s="39"/>
      <c r="EU161" s="39"/>
      <c r="EV161" s="39"/>
      <c r="EW161" s="39"/>
      <c r="EX161" s="39"/>
      <c r="EY161" s="39"/>
      <c r="EZ161" s="39"/>
      <c r="FA161" s="39"/>
      <c r="FB161" s="39"/>
      <c r="FC161" s="39"/>
      <c r="FD161" s="39"/>
      <c r="FE161" s="39"/>
      <c r="FF161" s="39"/>
      <c r="FG161" s="39"/>
      <c r="FH161" s="39"/>
      <c r="FI161" s="39"/>
      <c r="FJ161" s="39"/>
      <c r="FK161" s="39"/>
      <c r="FL161" s="39"/>
      <c r="FM161" s="39"/>
      <c r="FN161" s="39"/>
      <c r="FO161" s="39"/>
      <c r="FP161" s="39"/>
      <c r="FQ161" s="39"/>
      <c r="FR161" s="39"/>
      <c r="FS161" s="39"/>
      <c r="FT161" s="39"/>
      <c r="FU161" s="39"/>
      <c r="FV161" s="39"/>
      <c r="FW161" s="39"/>
      <c r="FX161" s="39"/>
      <c r="FY161" s="39"/>
      <c r="FZ161" s="39"/>
      <c r="GA161" s="39"/>
      <c r="GB161" s="39"/>
      <c r="GC161" s="39"/>
      <c r="GD161" s="39"/>
      <c r="GE161" s="39"/>
      <c r="GF161" s="39"/>
      <c r="GG161" s="39"/>
      <c r="GH161" s="39"/>
      <c r="GI161" s="39"/>
      <c r="GJ161" s="39"/>
      <c r="GK161" s="39"/>
      <c r="GL161" s="39"/>
      <c r="GM161" s="39"/>
      <c r="GN161" s="39"/>
      <c r="GO161" s="39"/>
      <c r="GP161" s="39"/>
      <c r="GQ161" s="39"/>
      <c r="GR161" s="39"/>
      <c r="GS161" s="39"/>
      <c r="GT161" s="39"/>
      <c r="GU161" s="39"/>
      <c r="GV161" s="39"/>
      <c r="GW161" s="39"/>
      <c r="GX161" s="39"/>
      <c r="GY161" s="39"/>
      <c r="GZ161" s="39"/>
      <c r="HA161" s="39"/>
      <c r="HB161" s="39"/>
      <c r="HC161" s="39"/>
      <c r="HD161" s="39"/>
      <c r="HE161" s="39"/>
      <c r="HF161" s="39"/>
      <c r="HG161" s="39"/>
      <c r="HH161" s="39"/>
      <c r="HI161" s="39"/>
      <c r="HJ161" s="39"/>
      <c r="HK161" s="39"/>
      <c r="HL161" s="39"/>
      <c r="HM161" s="39"/>
      <c r="HN161" s="39"/>
      <c r="HO161" s="39"/>
      <c r="HP161" s="39"/>
      <c r="HQ161" s="39"/>
      <c r="HR161" s="39"/>
      <c r="HS161" s="39"/>
      <c r="HT161" s="39"/>
      <c r="HU161" s="39"/>
      <c r="HV161" s="39"/>
      <c r="HW161" s="39"/>
      <c r="HX161" s="39"/>
      <c r="HY161" s="39"/>
      <c r="HZ161" s="39"/>
      <c r="IA161" s="39"/>
      <c r="IB161" s="39"/>
      <c r="IC161" s="39"/>
      <c r="ID161" s="39"/>
      <c r="IE161" s="39"/>
      <c r="IF161" s="39"/>
      <c r="IG161" s="39"/>
      <c r="IH161" s="39"/>
      <c r="II161" s="39"/>
      <c r="IJ161" s="39"/>
      <c r="IK161" s="39"/>
      <c r="IL161" s="39"/>
      <c r="IM161" s="39"/>
      <c r="IN161" s="39"/>
      <c r="IO161" s="39"/>
      <c r="IP161" s="39"/>
      <c r="IQ161" s="39"/>
      <c r="IR161" s="39"/>
      <c r="IS161" s="39"/>
      <c r="IT161" s="39"/>
      <c r="IU161" s="39"/>
      <c r="IV161" s="39"/>
      <c r="IW161" s="39"/>
    </row>
    <row r="162" customFormat="false" ht="12.95" hidden="false" customHeight="true" outlineLevel="0" collapsed="false">
      <c r="A162" s="37" t="str">
        <f aca="false">+'CCs # Master'!A99</f>
        <v>0011</v>
      </c>
      <c r="B162" s="39" t="str">
        <f aca="false">+'CCs # Master'!B99</f>
        <v>Body Shop / Wellness</v>
      </c>
      <c r="C162" s="39" t="str">
        <f aca="false">+'CCs # Master'!C99</f>
        <v>Jones, Robert</v>
      </c>
      <c r="D162" s="96" t="n">
        <f aca="false">+'CCs # Master'!D99</f>
        <v>100141</v>
      </c>
      <c r="E162" s="39" t="n">
        <f aca="false">+'CCs # Master'!E99</f>
        <v>0</v>
      </c>
      <c r="F162" s="39" t="n">
        <f aca="false">+'CCs # Master'!F99</f>
        <v>592</v>
      </c>
      <c r="G162" s="39" t="n">
        <f aca="false">+'CCs # Master'!G99</f>
        <v>24</v>
      </c>
      <c r="H162" s="39" t="n">
        <f aca="false">+'CCs # Master'!H99</f>
        <v>84</v>
      </c>
      <c r="I162" s="39" t="n">
        <f aca="false">+'CCs # Master'!I99</f>
        <v>872</v>
      </c>
      <c r="J162" s="39" t="n">
        <f aca="false">+'CCs # Master'!J99</f>
        <v>-524</v>
      </c>
      <c r="K162" s="71" t="n">
        <f aca="false">SUM(E162:J162)</f>
        <v>1048</v>
      </c>
      <c r="L162" s="39"/>
      <c r="M162" s="39" t="str">
        <f aca="false">+'CCs # Master'!M99</f>
        <v>% of DT Headcount</v>
      </c>
      <c r="N162" s="39" t="n">
        <f aca="false">+'CCs # Master'!AW99</f>
        <v>134</v>
      </c>
      <c r="O162" s="39" t="n">
        <v>0</v>
      </c>
      <c r="P162" s="39" t="n">
        <f aca="false">+'CCs # Master'!N99</f>
        <v>8</v>
      </c>
      <c r="Q162" s="39" t="n">
        <f aca="false">+'CCs # Master'!O99</f>
        <v>11</v>
      </c>
      <c r="R162" s="39" t="n">
        <f aca="false">+'CCs # Master'!P99</f>
        <v>55</v>
      </c>
      <c r="S162" s="39" t="n">
        <f aca="false">+'CCs # Master'!Q99</f>
        <v>0</v>
      </c>
      <c r="T162" s="39" t="n">
        <f aca="false">+'CCs # Master'!R99</f>
        <v>7</v>
      </c>
      <c r="U162" s="39" t="n">
        <f aca="false">+'CCs # Master'!S99</f>
        <v>0</v>
      </c>
      <c r="V162" s="39" t="n">
        <f aca="false">+'CCs # Master'!T99</f>
        <v>0</v>
      </c>
      <c r="W162" s="39" t="n">
        <f aca="false">+'CCs # Master'!U99</f>
        <v>22</v>
      </c>
      <c r="X162" s="39" t="n">
        <f aca="false">+'CCs # Master'!V99</f>
        <v>39</v>
      </c>
      <c r="Y162" s="39" t="n">
        <f aca="false">+'CCs # Master'!W99</f>
        <v>0</v>
      </c>
      <c r="Z162" s="39" t="n">
        <f aca="false">+'CCs # Master'!X99</f>
        <v>246</v>
      </c>
      <c r="AA162" s="39" t="n">
        <f aca="false">+'CCs # Master'!Y99</f>
        <v>2</v>
      </c>
      <c r="AB162" s="39" t="n">
        <f aca="false">+'CCs # Master'!Z99</f>
        <v>2</v>
      </c>
      <c r="AC162" s="39" t="n">
        <f aca="false">+'CCs # Master'!AA99</f>
        <v>6</v>
      </c>
      <c r="AD162" s="39" t="n">
        <f aca="false">+'CCs # Master'!AB99</f>
        <v>17</v>
      </c>
      <c r="AE162" s="39" t="n">
        <f aca="false">+'CCs # Master'!AC99</f>
        <v>12</v>
      </c>
      <c r="AF162" s="39" t="n">
        <f aca="false">+'CCs # Master'!AD99</f>
        <v>117</v>
      </c>
      <c r="AG162" s="39" t="n">
        <f aca="false">+'CCs # Master'!AE99</f>
        <v>108</v>
      </c>
      <c r="AH162" s="39" t="n">
        <f aca="false">+'CCs # Master'!AF99</f>
        <v>3</v>
      </c>
      <c r="AI162" s="39" t="n">
        <f aca="false">+'CCs # Master'!AG99</f>
        <v>24</v>
      </c>
      <c r="AJ162" s="39" t="n">
        <f aca="false">+'CCs # Master'!AH99</f>
        <v>13</v>
      </c>
      <c r="AK162" s="39" t="n">
        <f aca="false">+'CCs # Master'!AI99</f>
        <v>9</v>
      </c>
      <c r="AL162" s="39" t="n">
        <f aca="false">+'CCs # Master'!AJ99</f>
        <v>6</v>
      </c>
      <c r="AM162" s="39" t="n">
        <f aca="false">+'CCs # Master'!AK99</f>
        <v>17</v>
      </c>
      <c r="AN162" s="39" t="n">
        <f aca="false">+'CCs # Master'!AL99</f>
        <v>29</v>
      </c>
      <c r="AO162" s="39" t="n">
        <f aca="false">+'CCs # Master'!AM99</f>
        <v>161</v>
      </c>
      <c r="AP162" s="39" t="n">
        <f aca="false">+'CCs # Master'!AN99</f>
        <v>0</v>
      </c>
      <c r="AQ162" s="39" t="n">
        <f aca="false">+'CCs # Master'!AO99</f>
        <v>0</v>
      </c>
      <c r="AR162" s="39" t="n">
        <f aca="false">+'CCs # Master'!AP99</f>
        <v>0</v>
      </c>
      <c r="AS162" s="39" t="n">
        <f aca="false">+'CCs # Master'!AQ99</f>
        <v>0</v>
      </c>
      <c r="AT162" s="39" t="n">
        <f aca="false">+'CCs # Master'!AR99</f>
        <v>0</v>
      </c>
      <c r="AU162" s="39" t="n">
        <f aca="false">+'CCs # Master'!AS99</f>
        <v>0</v>
      </c>
      <c r="AV162" s="39" t="n">
        <f aca="false">+'CCs # Master'!AT99</f>
        <v>0</v>
      </c>
      <c r="AW162" s="100"/>
      <c r="AX162" s="71" t="n">
        <f aca="false">SUM(N162:AW162)</f>
        <v>1048</v>
      </c>
      <c r="AY162" s="71" t="n">
        <f aca="false">+K162-AX162</f>
        <v>0</v>
      </c>
      <c r="AZ162" s="39"/>
      <c r="BA162" s="39" t="n">
        <f aca="false">+P162+Q162+T162+U162+V162+W162+X162+Y162</f>
        <v>87</v>
      </c>
      <c r="BB162" s="39" t="n">
        <f aca="false">N162</f>
        <v>134</v>
      </c>
      <c r="BC162" s="39" t="n">
        <f aca="false">SUM(P162:AW162)</f>
        <v>914</v>
      </c>
      <c r="BD162" s="39"/>
      <c r="BE162" s="39" t="n">
        <f aca="false">SUM(BB162:BC162)</f>
        <v>1048</v>
      </c>
      <c r="BF162" s="39"/>
      <c r="BG162" s="48" t="n">
        <f aca="false">SUM(N162:AW162)</f>
        <v>1048</v>
      </c>
      <c r="BH162" s="39" t="n">
        <f aca="false">BE162-BG162</f>
        <v>0</v>
      </c>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c r="CN162" s="39"/>
      <c r="CO162" s="39"/>
      <c r="CP162" s="39"/>
      <c r="CQ162" s="39"/>
      <c r="CR162" s="39"/>
      <c r="CS162" s="39"/>
      <c r="CT162" s="39"/>
      <c r="CU162" s="39"/>
      <c r="CV162" s="39"/>
      <c r="CW162" s="39"/>
      <c r="CX162" s="39"/>
      <c r="CY162" s="39"/>
      <c r="CZ162" s="39"/>
      <c r="DA162" s="39"/>
      <c r="DB162" s="39"/>
      <c r="DC162" s="39"/>
      <c r="DD162" s="39"/>
      <c r="DE162" s="39"/>
      <c r="DF162" s="39"/>
      <c r="DG162" s="39"/>
      <c r="DH162" s="39"/>
      <c r="DI162" s="39"/>
      <c r="DJ162" s="39"/>
      <c r="DK162" s="39"/>
      <c r="DL162" s="39"/>
      <c r="DM162" s="39"/>
      <c r="DN162" s="39"/>
      <c r="DO162" s="39"/>
      <c r="DP162" s="39"/>
      <c r="DQ162" s="39"/>
      <c r="DR162" s="39"/>
      <c r="DS162" s="39"/>
      <c r="DT162" s="39"/>
      <c r="DU162" s="39"/>
      <c r="DV162" s="39"/>
      <c r="DW162" s="39"/>
      <c r="DX162" s="39"/>
      <c r="DY162" s="39"/>
      <c r="DZ162" s="39"/>
      <c r="EA162" s="39"/>
      <c r="EB162" s="39"/>
      <c r="EC162" s="39"/>
      <c r="ED162" s="39"/>
      <c r="EE162" s="39"/>
      <c r="EF162" s="39"/>
      <c r="EG162" s="39"/>
      <c r="EH162" s="39"/>
      <c r="EI162" s="39"/>
      <c r="EJ162" s="39"/>
      <c r="EK162" s="39"/>
      <c r="EL162" s="39"/>
      <c r="EM162" s="39"/>
      <c r="EN162" s="39"/>
      <c r="EO162" s="39"/>
      <c r="EP162" s="39"/>
      <c r="EQ162" s="39"/>
      <c r="ER162" s="39"/>
      <c r="ES162" s="39"/>
      <c r="ET162" s="39"/>
      <c r="EU162" s="39"/>
      <c r="EV162" s="39"/>
      <c r="EW162" s="39"/>
      <c r="EX162" s="39"/>
      <c r="EY162" s="39"/>
      <c r="EZ162" s="39"/>
      <c r="FA162" s="39"/>
      <c r="FB162" s="39"/>
      <c r="FC162" s="39"/>
      <c r="FD162" s="39"/>
      <c r="FE162" s="39"/>
      <c r="FF162" s="39"/>
      <c r="FG162" s="39"/>
      <c r="FH162" s="39"/>
      <c r="FI162" s="39"/>
      <c r="FJ162" s="3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9"/>
      <c r="GJ162" s="39"/>
      <c r="GK162" s="39"/>
      <c r="GL162" s="39"/>
      <c r="GM162" s="39"/>
      <c r="GN162" s="39"/>
      <c r="GO162" s="39"/>
      <c r="GP162" s="39"/>
      <c r="GQ162" s="39"/>
      <c r="GR162" s="39"/>
      <c r="GS162" s="39"/>
      <c r="GT162" s="39"/>
      <c r="GU162" s="39"/>
      <c r="GV162" s="39"/>
      <c r="GW162" s="39"/>
      <c r="GX162" s="39"/>
      <c r="GY162" s="39"/>
      <c r="GZ162" s="39"/>
      <c r="HA162" s="39"/>
      <c r="HB162" s="39"/>
      <c r="HC162" s="39"/>
      <c r="HD162" s="39"/>
      <c r="HE162" s="39"/>
      <c r="HF162" s="39"/>
      <c r="HG162" s="39"/>
      <c r="HH162" s="39"/>
      <c r="HI162" s="39"/>
      <c r="HJ162" s="39"/>
      <c r="HK162" s="39"/>
      <c r="HL162" s="39"/>
      <c r="HM162" s="39"/>
      <c r="HN162" s="39"/>
      <c r="HO162" s="39"/>
      <c r="HP162" s="39"/>
      <c r="HQ162" s="39"/>
      <c r="HR162" s="39"/>
      <c r="HS162" s="39"/>
      <c r="HT162" s="39"/>
      <c r="HU162" s="39"/>
      <c r="HV162" s="39"/>
      <c r="HW162" s="39"/>
      <c r="HX162" s="39"/>
      <c r="HY162" s="39"/>
      <c r="HZ162" s="39"/>
      <c r="IA162" s="39"/>
      <c r="IB162" s="39"/>
      <c r="IC162" s="39"/>
      <c r="ID162" s="39"/>
      <c r="IE162" s="39"/>
      <c r="IF162" s="39"/>
      <c r="IG162" s="39"/>
      <c r="IH162" s="39"/>
      <c r="II162" s="39"/>
      <c r="IJ162" s="39"/>
      <c r="IK162" s="39"/>
      <c r="IL162" s="39"/>
      <c r="IM162" s="39"/>
      <c r="IN162" s="39"/>
      <c r="IO162" s="39"/>
      <c r="IP162" s="39"/>
      <c r="IQ162" s="39"/>
      <c r="IR162" s="39"/>
      <c r="IS162" s="39"/>
      <c r="IT162" s="39"/>
      <c r="IU162" s="39"/>
      <c r="IV162" s="39"/>
      <c r="IW162" s="39"/>
    </row>
    <row r="163" customFormat="false" ht="12.95" hidden="false" customHeight="true" outlineLevel="0" collapsed="false">
      <c r="A163" s="37" t="str">
        <f aca="false">+'CCs # Master'!A100</f>
        <v>0011</v>
      </c>
      <c r="B163" s="39" t="str">
        <f aca="false">+'CCs # Master'!B100</f>
        <v>Employee Recreation</v>
      </c>
      <c r="C163" s="39" t="str">
        <f aca="false">+'CCs # Master'!C100</f>
        <v>Jones, Robert</v>
      </c>
      <c r="D163" s="96" t="n">
        <f aca="false">+'CCs # Master'!D100</f>
        <v>100142</v>
      </c>
      <c r="E163" s="39" t="n">
        <f aca="false">+'CCs # Master'!E100</f>
        <v>0</v>
      </c>
      <c r="F163" s="39" t="n">
        <f aca="false">+'CCs # Master'!F100</f>
        <v>2</v>
      </c>
      <c r="G163" s="39" t="n">
        <f aca="false">+'CCs # Master'!G100</f>
        <v>0</v>
      </c>
      <c r="H163" s="39" t="n">
        <f aca="false">+'CCs # Master'!H100</f>
        <v>0</v>
      </c>
      <c r="I163" s="39" t="n">
        <f aca="false">+'CCs # Master'!I100</f>
        <v>0</v>
      </c>
      <c r="J163" s="39" t="n">
        <f aca="false">+'CCs # Master'!J100</f>
        <v>179</v>
      </c>
      <c r="K163" s="71" t="n">
        <f aca="false">SUM(E163:J163)</f>
        <v>181</v>
      </c>
      <c r="L163" s="39"/>
      <c r="M163" s="39" t="str">
        <f aca="false">+'CCs # Master'!M100</f>
        <v>% of DT Headcount</v>
      </c>
      <c r="N163" s="39" t="n">
        <f aca="false">+'CCs # Master'!AW100</f>
        <v>24</v>
      </c>
      <c r="O163" s="39" t="n">
        <v>0</v>
      </c>
      <c r="P163" s="39" t="n">
        <f aca="false">+'CCs # Master'!N100</f>
        <v>1</v>
      </c>
      <c r="Q163" s="39" t="n">
        <f aca="false">+'CCs # Master'!O100</f>
        <v>2</v>
      </c>
      <c r="R163" s="39" t="n">
        <f aca="false">+'CCs # Master'!P100</f>
        <v>10</v>
      </c>
      <c r="S163" s="39" t="n">
        <f aca="false">+'CCs # Master'!Q100</f>
        <v>0</v>
      </c>
      <c r="T163" s="39" t="n">
        <f aca="false">+'CCs # Master'!R100</f>
        <v>1</v>
      </c>
      <c r="U163" s="39" t="n">
        <f aca="false">+'CCs # Master'!S100</f>
        <v>0</v>
      </c>
      <c r="V163" s="39" t="n">
        <f aca="false">+'CCs # Master'!T100</f>
        <v>0</v>
      </c>
      <c r="W163" s="39" t="n">
        <f aca="false">+'CCs # Master'!U100</f>
        <v>4</v>
      </c>
      <c r="X163" s="39" t="n">
        <f aca="false">+'CCs # Master'!V100</f>
        <v>7</v>
      </c>
      <c r="Y163" s="39" t="n">
        <f aca="false">+'CCs # Master'!W100</f>
        <v>0</v>
      </c>
      <c r="Z163" s="39" t="n">
        <f aca="false">+'CCs # Master'!X100</f>
        <v>43</v>
      </c>
      <c r="AA163" s="39" t="n">
        <f aca="false">+'CCs # Master'!Y100</f>
        <v>0</v>
      </c>
      <c r="AB163" s="39" t="n">
        <f aca="false">+'CCs # Master'!Z100</f>
        <v>0</v>
      </c>
      <c r="AC163" s="39" t="n">
        <f aca="false">+'CCs # Master'!AA100</f>
        <v>1</v>
      </c>
      <c r="AD163" s="39" t="n">
        <f aca="false">+'CCs # Master'!AB100</f>
        <v>3</v>
      </c>
      <c r="AE163" s="39" t="n">
        <f aca="false">+'CCs # Master'!AC100</f>
        <v>2</v>
      </c>
      <c r="AF163" s="39" t="n">
        <f aca="false">+'CCs # Master'!AD100</f>
        <v>20</v>
      </c>
      <c r="AG163" s="39" t="n">
        <f aca="false">+'CCs # Master'!AE100</f>
        <v>18</v>
      </c>
      <c r="AH163" s="39" t="n">
        <f aca="false">+'CCs # Master'!AF100</f>
        <v>1</v>
      </c>
      <c r="AI163" s="39" t="n">
        <f aca="false">+'CCs # Master'!AG100</f>
        <v>4</v>
      </c>
      <c r="AJ163" s="39" t="n">
        <f aca="false">+'CCs # Master'!AH100</f>
        <v>2</v>
      </c>
      <c r="AK163" s="39" t="n">
        <f aca="false">+'CCs # Master'!AI100</f>
        <v>1</v>
      </c>
      <c r="AL163" s="39" t="n">
        <f aca="false">+'CCs # Master'!AJ100</f>
        <v>1</v>
      </c>
      <c r="AM163" s="39" t="n">
        <f aca="false">+'CCs # Master'!AK100</f>
        <v>3</v>
      </c>
      <c r="AN163" s="39" t="n">
        <f aca="false">+'CCs # Master'!AL100</f>
        <v>5</v>
      </c>
      <c r="AO163" s="39" t="n">
        <f aca="false">+'CCs # Master'!AM100</f>
        <v>28</v>
      </c>
      <c r="AP163" s="39" t="n">
        <f aca="false">+'CCs # Master'!AN100</f>
        <v>0</v>
      </c>
      <c r="AQ163" s="39" t="n">
        <f aca="false">+'CCs # Master'!AO100</f>
        <v>0</v>
      </c>
      <c r="AR163" s="39" t="n">
        <f aca="false">+'CCs # Master'!AP100</f>
        <v>0</v>
      </c>
      <c r="AS163" s="39" t="n">
        <f aca="false">+'CCs # Master'!AQ100</f>
        <v>0</v>
      </c>
      <c r="AT163" s="39" t="n">
        <f aca="false">+'CCs # Master'!AR100</f>
        <v>0</v>
      </c>
      <c r="AU163" s="39" t="n">
        <f aca="false">+'CCs # Master'!AS100</f>
        <v>0</v>
      </c>
      <c r="AV163" s="39" t="n">
        <f aca="false">+'CCs # Master'!AT100</f>
        <v>0</v>
      </c>
      <c r="AW163" s="100"/>
      <c r="AX163" s="71" t="n">
        <f aca="false">SUM(N163:AW163)</f>
        <v>181</v>
      </c>
      <c r="AY163" s="71" t="n">
        <f aca="false">+K163-AX163</f>
        <v>0</v>
      </c>
      <c r="AZ163" s="39"/>
      <c r="BA163" s="39" t="n">
        <f aca="false">+P163+Q163+T163+U163+V163+W163+X163+Y163</f>
        <v>15</v>
      </c>
      <c r="BB163" s="39" t="n">
        <f aca="false">N163</f>
        <v>24</v>
      </c>
      <c r="BC163" s="39" t="n">
        <f aca="false">SUM(P163:AW163)</f>
        <v>157</v>
      </c>
      <c r="BD163" s="39"/>
      <c r="BE163" s="39" t="n">
        <f aca="false">SUM(BB163:BC163)</f>
        <v>181</v>
      </c>
      <c r="BF163" s="39"/>
      <c r="BG163" s="48" t="n">
        <f aca="false">SUM(N163:AW163)</f>
        <v>181</v>
      </c>
      <c r="BH163" s="39" t="n">
        <f aca="false">BE163-BG163</f>
        <v>0</v>
      </c>
      <c r="BI163" s="39"/>
      <c r="BJ163" s="39"/>
      <c r="BK163" s="39"/>
      <c r="BL163" s="39"/>
      <c r="BM163" s="39"/>
      <c r="BN163" s="39"/>
      <c r="BO163" s="39"/>
      <c r="BP163" s="39"/>
      <c r="BQ163" s="39"/>
      <c r="BR163" s="39"/>
      <c r="BS163" s="39"/>
      <c r="BT163" s="39"/>
      <c r="BU163" s="39"/>
      <c r="BV163" s="39"/>
      <c r="BW163" s="39"/>
      <c r="BX163" s="39"/>
      <c r="BY163" s="39"/>
      <c r="BZ163" s="39"/>
      <c r="CA163" s="39"/>
      <c r="CB163" s="39"/>
      <c r="CC163" s="39"/>
      <c r="CD163" s="39"/>
      <c r="CE163" s="39"/>
      <c r="CF163" s="39"/>
      <c r="CG163" s="39"/>
      <c r="CH163" s="39"/>
      <c r="CI163" s="39"/>
      <c r="CJ163" s="39"/>
      <c r="CK163" s="39"/>
      <c r="CL163" s="39"/>
      <c r="CM163" s="39"/>
      <c r="CN163" s="39"/>
      <c r="CO163" s="39"/>
      <c r="CP163" s="39"/>
      <c r="CQ163" s="39"/>
      <c r="CR163" s="39"/>
      <c r="CS163" s="39"/>
      <c r="CT163" s="39"/>
      <c r="CU163" s="39"/>
      <c r="CV163" s="39"/>
      <c r="CW163" s="39"/>
      <c r="CX163" s="39"/>
      <c r="CY163" s="39"/>
      <c r="CZ163" s="39"/>
      <c r="DA163" s="39"/>
      <c r="DB163" s="39"/>
      <c r="DC163" s="39"/>
      <c r="DD163" s="39"/>
      <c r="DE163" s="39"/>
      <c r="DF163" s="39"/>
      <c r="DG163" s="39"/>
      <c r="DH163" s="39"/>
      <c r="DI163" s="39"/>
      <c r="DJ163" s="39"/>
      <c r="DK163" s="39"/>
      <c r="DL163" s="39"/>
      <c r="DM163" s="39"/>
      <c r="DN163" s="39"/>
      <c r="DO163" s="39"/>
      <c r="DP163" s="39"/>
      <c r="DQ163" s="39"/>
      <c r="DR163" s="39"/>
      <c r="DS163" s="39"/>
      <c r="DT163" s="39"/>
      <c r="DU163" s="39"/>
      <c r="DV163" s="39"/>
      <c r="DW163" s="39"/>
      <c r="DX163" s="39"/>
      <c r="DY163" s="39"/>
      <c r="DZ163" s="39"/>
      <c r="EA163" s="39"/>
      <c r="EB163" s="39"/>
      <c r="EC163" s="39"/>
      <c r="ED163" s="39"/>
      <c r="EE163" s="39"/>
      <c r="EF163" s="39"/>
      <c r="EG163" s="39"/>
      <c r="EH163" s="39"/>
      <c r="EI163" s="39"/>
      <c r="EJ163" s="39"/>
      <c r="EK163" s="39"/>
      <c r="EL163" s="39"/>
      <c r="EM163" s="39"/>
      <c r="EN163" s="39"/>
      <c r="EO163" s="39"/>
      <c r="EP163" s="39"/>
      <c r="EQ163" s="39"/>
      <c r="ER163" s="39"/>
      <c r="ES163" s="39"/>
      <c r="ET163" s="39"/>
      <c r="EU163" s="39"/>
      <c r="EV163" s="39"/>
      <c r="EW163" s="39"/>
      <c r="EX163" s="39"/>
      <c r="EY163" s="39"/>
      <c r="EZ163" s="39"/>
      <c r="FA163" s="39"/>
      <c r="FB163" s="39"/>
      <c r="FC163" s="39"/>
      <c r="FD163" s="39"/>
      <c r="FE163" s="39"/>
      <c r="FF163" s="39"/>
      <c r="FG163" s="39"/>
      <c r="FH163" s="39"/>
      <c r="FI163" s="39"/>
      <c r="FJ163" s="39"/>
      <c r="FK163" s="39"/>
      <c r="FL163" s="39"/>
      <c r="FM163" s="39"/>
      <c r="FN163" s="39"/>
      <c r="FO163" s="39"/>
      <c r="FP163" s="39"/>
      <c r="FQ163" s="39"/>
      <c r="FR163" s="39"/>
      <c r="FS163" s="39"/>
      <c r="FT163" s="39"/>
      <c r="FU163" s="39"/>
      <c r="FV163" s="39"/>
      <c r="FW163" s="39"/>
      <c r="FX163" s="39"/>
      <c r="FY163" s="39"/>
      <c r="FZ163" s="39"/>
      <c r="GA163" s="39"/>
      <c r="GB163" s="39"/>
      <c r="GC163" s="39"/>
      <c r="GD163" s="39"/>
      <c r="GE163" s="39"/>
      <c r="GF163" s="39"/>
      <c r="GG163" s="39"/>
      <c r="GH163" s="39"/>
      <c r="GI163" s="39"/>
      <c r="GJ163" s="39"/>
      <c r="GK163" s="39"/>
      <c r="GL163" s="39"/>
      <c r="GM163" s="39"/>
      <c r="GN163" s="39"/>
      <c r="GO163" s="39"/>
      <c r="GP163" s="39"/>
      <c r="GQ163" s="39"/>
      <c r="GR163" s="39"/>
      <c r="GS163" s="39"/>
      <c r="GT163" s="39"/>
      <c r="GU163" s="39"/>
      <c r="GV163" s="39"/>
      <c r="GW163" s="39"/>
      <c r="GX163" s="39"/>
      <c r="GY163" s="39"/>
      <c r="GZ163" s="39"/>
      <c r="HA163" s="39"/>
      <c r="HB163" s="39"/>
      <c r="HC163" s="39"/>
      <c r="HD163" s="39"/>
      <c r="HE163" s="39"/>
      <c r="HF163" s="39"/>
      <c r="HG163" s="39"/>
      <c r="HH163" s="39"/>
      <c r="HI163" s="39"/>
      <c r="HJ163" s="39"/>
      <c r="HK163" s="39"/>
      <c r="HL163" s="39"/>
      <c r="HM163" s="39"/>
      <c r="HN163" s="39"/>
      <c r="HO163" s="39"/>
      <c r="HP163" s="39"/>
      <c r="HQ163" s="39"/>
      <c r="HR163" s="39"/>
      <c r="HS163" s="39"/>
      <c r="HT163" s="39"/>
      <c r="HU163" s="39"/>
      <c r="HV163" s="39"/>
      <c r="HW163" s="39"/>
      <c r="HX163" s="39"/>
      <c r="HY163" s="39"/>
      <c r="HZ163" s="39"/>
      <c r="IA163" s="39"/>
      <c r="IB163" s="39"/>
      <c r="IC163" s="39"/>
      <c r="ID163" s="39"/>
      <c r="IE163" s="39"/>
      <c r="IF163" s="39"/>
      <c r="IG163" s="39"/>
      <c r="IH163" s="39"/>
      <c r="II163" s="39"/>
      <c r="IJ163" s="39"/>
      <c r="IK163" s="39"/>
      <c r="IL163" s="39"/>
      <c r="IM163" s="39"/>
      <c r="IN163" s="39"/>
      <c r="IO163" s="39"/>
      <c r="IP163" s="39"/>
      <c r="IQ163" s="39"/>
      <c r="IR163" s="39"/>
      <c r="IS163" s="39"/>
      <c r="IT163" s="39"/>
      <c r="IU163" s="39"/>
      <c r="IV163" s="39"/>
      <c r="IW163" s="39"/>
    </row>
    <row r="164" customFormat="false" ht="12.95" hidden="false" customHeight="true" outlineLevel="0" collapsed="false">
      <c r="A164" s="37" t="n">
        <f aca="false">+'CCs # Master'!A105</f>
        <v>11</v>
      </c>
      <c r="B164" s="39" t="str">
        <f aca="false">+'CCs # Master'!B105</f>
        <v>HR &amp; Community Relations - Executive</v>
      </c>
      <c r="C164" s="39" t="str">
        <f aca="false">+'CCs # Master'!C105</f>
        <v>Olson, Cindy</v>
      </c>
      <c r="D164" s="96" t="n">
        <f aca="false">+'CCs # Master'!D105</f>
        <v>100218</v>
      </c>
      <c r="E164" s="39" t="n">
        <f aca="false">+'CCs # Master'!E105</f>
        <v>411</v>
      </c>
      <c r="F164" s="39" t="n">
        <f aca="false">+'CCs # Master'!F105</f>
        <v>144</v>
      </c>
      <c r="G164" s="39" t="n">
        <f aca="false">+'CCs # Master'!G105</f>
        <v>6</v>
      </c>
      <c r="H164" s="39" t="n">
        <f aca="false">+'CCs # Master'!H105</f>
        <v>0</v>
      </c>
      <c r="I164" s="39" t="n">
        <f aca="false">+'CCs # Master'!I105</f>
        <v>38</v>
      </c>
      <c r="J164" s="39" t="n">
        <f aca="false">+'CCs # Master'!J105</f>
        <v>-100</v>
      </c>
      <c r="K164" s="71" t="n">
        <f aca="false">SUM(E164:J164)</f>
        <v>499</v>
      </c>
      <c r="L164" s="39"/>
      <c r="M164" s="39" t="str">
        <f aca="false">+'CCs # Master'!M105</f>
        <v>MMF</v>
      </c>
      <c r="N164" s="39" t="n">
        <f aca="false">+'CCs # Master'!AW105</f>
        <v>499</v>
      </c>
      <c r="O164" s="39" t="n">
        <v>0</v>
      </c>
      <c r="P164" s="39" t="n">
        <f aca="false">+'CCs # Master'!N105</f>
        <v>0</v>
      </c>
      <c r="Q164" s="39" t="n">
        <f aca="false">+'CCs # Master'!O105</f>
        <v>0</v>
      </c>
      <c r="R164" s="39" t="n">
        <f aca="false">+'CCs # Master'!P105</f>
        <v>0</v>
      </c>
      <c r="S164" s="39" t="n">
        <f aca="false">+'CCs # Master'!Q105</f>
        <v>0</v>
      </c>
      <c r="T164" s="39" t="n">
        <f aca="false">+'CCs # Master'!R105</f>
        <v>0</v>
      </c>
      <c r="U164" s="39" t="n">
        <f aca="false">+'CCs # Master'!S105</f>
        <v>0</v>
      </c>
      <c r="V164" s="39" t="n">
        <f aca="false">+'CCs # Master'!T105</f>
        <v>0</v>
      </c>
      <c r="W164" s="39" t="n">
        <f aca="false">+'CCs # Master'!U105</f>
        <v>0</v>
      </c>
      <c r="X164" s="39" t="n">
        <f aca="false">+'CCs # Master'!V105</f>
        <v>0</v>
      </c>
      <c r="Y164" s="39" t="n">
        <f aca="false">+'CCs # Master'!W105</f>
        <v>0</v>
      </c>
      <c r="Z164" s="39" t="n">
        <f aca="false">+'CCs # Master'!X105</f>
        <v>0</v>
      </c>
      <c r="AA164" s="39" t="n">
        <f aca="false">+'CCs # Master'!Y105</f>
        <v>0</v>
      </c>
      <c r="AB164" s="39" t="n">
        <f aca="false">+'CCs # Master'!Z105</f>
        <v>0</v>
      </c>
      <c r="AC164" s="39" t="n">
        <f aca="false">+'CCs # Master'!AA105</f>
        <v>0</v>
      </c>
      <c r="AD164" s="39" t="n">
        <f aca="false">+'CCs # Master'!AB105</f>
        <v>0</v>
      </c>
      <c r="AE164" s="39" t="n">
        <f aca="false">+'CCs # Master'!AC105</f>
        <v>0</v>
      </c>
      <c r="AF164" s="39" t="n">
        <f aca="false">+'CCs # Master'!AD105</f>
        <v>0</v>
      </c>
      <c r="AG164" s="39" t="n">
        <f aca="false">+'CCs # Master'!AE105</f>
        <v>0</v>
      </c>
      <c r="AH164" s="39" t="n">
        <f aca="false">+'CCs # Master'!AF105</f>
        <v>0</v>
      </c>
      <c r="AI164" s="39" t="n">
        <f aca="false">+'CCs # Master'!AG105</f>
        <v>0</v>
      </c>
      <c r="AJ164" s="39" t="n">
        <f aca="false">+'CCs # Master'!AH105</f>
        <v>0</v>
      </c>
      <c r="AK164" s="39" t="n">
        <f aca="false">+'CCs # Master'!AI105</f>
        <v>0</v>
      </c>
      <c r="AL164" s="39" t="n">
        <f aca="false">+'CCs # Master'!AJ105</f>
        <v>0</v>
      </c>
      <c r="AM164" s="39" t="n">
        <f aca="false">+'CCs # Master'!AK105</f>
        <v>0</v>
      </c>
      <c r="AN164" s="39" t="n">
        <f aca="false">+'CCs # Master'!AL105</f>
        <v>0</v>
      </c>
      <c r="AO164" s="39" t="n">
        <f aca="false">+'CCs # Master'!AM105</f>
        <v>0</v>
      </c>
      <c r="AP164" s="39" t="n">
        <f aca="false">+'CCs # Master'!AN105</f>
        <v>0</v>
      </c>
      <c r="AQ164" s="39" t="n">
        <f aca="false">+'CCs # Master'!AO105</f>
        <v>0</v>
      </c>
      <c r="AR164" s="39" t="n">
        <f aca="false">+'CCs # Master'!AP105</f>
        <v>0</v>
      </c>
      <c r="AS164" s="39" t="n">
        <f aca="false">+'CCs # Master'!AQ105</f>
        <v>0</v>
      </c>
      <c r="AT164" s="39" t="n">
        <f aca="false">+'CCs # Master'!AR105</f>
        <v>0</v>
      </c>
      <c r="AU164" s="39" t="n">
        <f aca="false">+'CCs # Master'!AS105</f>
        <v>0</v>
      </c>
      <c r="AV164" s="39" t="n">
        <f aca="false">+'CCs # Master'!AT105</f>
        <v>0</v>
      </c>
      <c r="AW164" s="100"/>
      <c r="AX164" s="71" t="n">
        <f aca="false">SUM(N164:AW164)</f>
        <v>499</v>
      </c>
      <c r="AY164" s="71" t="n">
        <f aca="false">+K164-AX164</f>
        <v>0</v>
      </c>
      <c r="AZ164" s="39"/>
      <c r="BA164" s="39" t="n">
        <f aca="false">+P164+Q164+T164+U164+V164+W164+X164+Y164</f>
        <v>0</v>
      </c>
      <c r="BB164" s="39" t="n">
        <f aca="false">N164</f>
        <v>499</v>
      </c>
      <c r="BC164" s="39" t="n">
        <f aca="false">SUM(P164:AW164)</f>
        <v>0</v>
      </c>
      <c r="BD164" s="39"/>
      <c r="BE164" s="39" t="n">
        <f aca="false">SUM(BB164:BC164)</f>
        <v>499</v>
      </c>
      <c r="BF164" s="39"/>
      <c r="BG164" s="48" t="n">
        <f aca="false">SUM(N164:AW164)</f>
        <v>499</v>
      </c>
      <c r="BH164" s="39" t="n">
        <f aca="false">BE164-BG164</f>
        <v>0</v>
      </c>
      <c r="BI164" s="39"/>
      <c r="BJ164" s="39"/>
      <c r="BK164" s="39"/>
      <c r="BL164" s="39"/>
      <c r="BM164" s="39"/>
      <c r="BN164" s="39"/>
      <c r="BO164" s="39"/>
      <c r="BP164" s="39"/>
      <c r="BQ164" s="39"/>
      <c r="BR164" s="39"/>
      <c r="BS164" s="39"/>
      <c r="BT164" s="39"/>
      <c r="BU164" s="39"/>
      <c r="BV164" s="39"/>
      <c r="BW164" s="39"/>
      <c r="BX164" s="39"/>
      <c r="BY164" s="39"/>
      <c r="BZ164" s="39"/>
      <c r="CA164" s="39"/>
      <c r="CB164" s="39"/>
      <c r="CC164" s="39"/>
      <c r="CD164" s="39"/>
      <c r="CE164" s="39"/>
      <c r="CF164" s="39"/>
      <c r="CG164" s="39"/>
      <c r="CH164" s="39"/>
      <c r="CI164" s="39"/>
      <c r="CJ164" s="39"/>
      <c r="CK164" s="39"/>
      <c r="CL164" s="39"/>
      <c r="CM164" s="39"/>
      <c r="CN164" s="39"/>
      <c r="CO164" s="39"/>
      <c r="CP164" s="39"/>
      <c r="CQ164" s="39"/>
      <c r="CR164" s="39"/>
      <c r="CS164" s="39"/>
      <c r="CT164" s="39"/>
      <c r="CU164" s="39"/>
      <c r="CV164" s="39"/>
      <c r="CW164" s="39"/>
      <c r="CX164" s="39"/>
      <c r="CY164" s="39"/>
      <c r="CZ164" s="39"/>
      <c r="DA164" s="39"/>
      <c r="DB164" s="39"/>
      <c r="DC164" s="39"/>
      <c r="DD164" s="39"/>
      <c r="DE164" s="39"/>
      <c r="DF164" s="39"/>
      <c r="DG164" s="39"/>
      <c r="DH164" s="39"/>
      <c r="DI164" s="39"/>
      <c r="DJ164" s="39"/>
      <c r="DK164" s="39"/>
      <c r="DL164" s="39"/>
      <c r="DM164" s="39"/>
      <c r="DN164" s="39"/>
      <c r="DO164" s="39"/>
      <c r="DP164" s="39"/>
      <c r="DQ164" s="39"/>
      <c r="DR164" s="39"/>
      <c r="DS164" s="39"/>
      <c r="DT164" s="39"/>
      <c r="DU164" s="39"/>
      <c r="DV164" s="39"/>
      <c r="DW164" s="39"/>
      <c r="DX164" s="39"/>
      <c r="DY164" s="39"/>
      <c r="DZ164" s="39"/>
      <c r="EA164" s="39"/>
      <c r="EB164" s="39"/>
      <c r="EC164" s="39"/>
      <c r="ED164" s="39"/>
      <c r="EE164" s="39"/>
      <c r="EF164" s="39"/>
      <c r="EG164" s="39"/>
      <c r="EH164" s="39"/>
      <c r="EI164" s="39"/>
      <c r="EJ164" s="39"/>
      <c r="EK164" s="39"/>
      <c r="EL164" s="39"/>
      <c r="EM164" s="39"/>
      <c r="EN164" s="39"/>
      <c r="EO164" s="39"/>
      <c r="EP164" s="39"/>
      <c r="EQ164" s="39"/>
      <c r="ER164" s="39"/>
      <c r="ES164" s="39"/>
      <c r="ET164" s="39"/>
      <c r="EU164" s="39"/>
      <c r="EV164" s="39"/>
      <c r="EW164" s="39"/>
      <c r="EX164" s="39"/>
      <c r="EY164" s="39"/>
      <c r="EZ164" s="39"/>
      <c r="FA164" s="39"/>
      <c r="FB164" s="39"/>
      <c r="FC164" s="39"/>
      <c r="FD164" s="39"/>
      <c r="FE164" s="39"/>
      <c r="FF164" s="39"/>
      <c r="FG164" s="39"/>
      <c r="FH164" s="39"/>
      <c r="FI164" s="39"/>
      <c r="FJ164" s="39"/>
      <c r="FK164" s="39"/>
      <c r="FL164" s="39"/>
      <c r="FM164" s="39"/>
      <c r="FN164" s="39"/>
      <c r="FO164" s="39"/>
      <c r="FP164" s="39"/>
      <c r="FQ164" s="39"/>
      <c r="FR164" s="39"/>
      <c r="FS164" s="39"/>
      <c r="FT164" s="39"/>
      <c r="FU164" s="39"/>
      <c r="FV164" s="39"/>
      <c r="FW164" s="39"/>
      <c r="FX164" s="39"/>
      <c r="FY164" s="39"/>
      <c r="FZ164" s="39"/>
      <c r="GA164" s="39"/>
      <c r="GB164" s="39"/>
      <c r="GC164" s="39"/>
      <c r="GD164" s="39"/>
      <c r="GE164" s="39"/>
      <c r="GF164" s="39"/>
      <c r="GG164" s="39"/>
      <c r="GH164" s="39"/>
      <c r="GI164" s="39"/>
      <c r="GJ164" s="39"/>
      <c r="GK164" s="39"/>
      <c r="GL164" s="39"/>
      <c r="GM164" s="39"/>
      <c r="GN164" s="39"/>
      <c r="GO164" s="39"/>
      <c r="GP164" s="39"/>
      <c r="GQ164" s="39"/>
      <c r="GR164" s="39"/>
      <c r="GS164" s="39"/>
      <c r="GT164" s="39"/>
      <c r="GU164" s="39"/>
      <c r="GV164" s="39"/>
      <c r="GW164" s="39"/>
      <c r="GX164" s="39"/>
      <c r="GY164" s="39"/>
      <c r="GZ164" s="39"/>
      <c r="HA164" s="39"/>
      <c r="HB164" s="39"/>
      <c r="HC164" s="39"/>
      <c r="HD164" s="39"/>
      <c r="HE164" s="39"/>
      <c r="HF164" s="39"/>
      <c r="HG164" s="39"/>
      <c r="HH164" s="39"/>
      <c r="HI164" s="39"/>
      <c r="HJ164" s="39"/>
      <c r="HK164" s="39"/>
      <c r="HL164" s="39"/>
      <c r="HM164" s="39"/>
      <c r="HN164" s="39"/>
      <c r="HO164" s="39"/>
      <c r="HP164" s="39"/>
      <c r="HQ164" s="39"/>
      <c r="HR164" s="39"/>
      <c r="HS164" s="39"/>
      <c r="HT164" s="39"/>
      <c r="HU164" s="39"/>
      <c r="HV164" s="39"/>
      <c r="HW164" s="39"/>
      <c r="HX164" s="39"/>
      <c r="HY164" s="39"/>
      <c r="HZ164" s="39"/>
      <c r="IA164" s="39"/>
      <c r="IB164" s="39"/>
      <c r="IC164" s="39"/>
      <c r="ID164" s="39"/>
      <c r="IE164" s="39"/>
      <c r="IF164" s="39"/>
      <c r="IG164" s="39"/>
      <c r="IH164" s="39"/>
      <c r="II164" s="39"/>
      <c r="IJ164" s="39"/>
      <c r="IK164" s="39"/>
      <c r="IL164" s="39"/>
      <c r="IM164" s="39"/>
      <c r="IN164" s="39"/>
      <c r="IO164" s="39"/>
      <c r="IP164" s="39"/>
      <c r="IQ164" s="39"/>
      <c r="IR164" s="39"/>
      <c r="IS164" s="39"/>
      <c r="IT164" s="39"/>
      <c r="IU164" s="39"/>
      <c r="IV164" s="39"/>
      <c r="IW164" s="39"/>
    </row>
    <row r="165" customFormat="false" ht="12.95" hidden="false" customHeight="true" outlineLevel="0" collapsed="false">
      <c r="A165" s="37" t="n">
        <f aca="false">+'CCs # Master'!A119</f>
        <v>11</v>
      </c>
      <c r="B165" s="39" t="str">
        <f aca="false">+'CCs # Master'!B119</f>
        <v>Work Life</v>
      </c>
      <c r="C165" s="39" t="str">
        <f aca="false">+'CCs # Master'!C119</f>
        <v>Roman deMeza, MaryAnn</v>
      </c>
      <c r="D165" s="96" t="n">
        <f aca="false">+'CCs # Master'!D119</f>
        <v>100805</v>
      </c>
      <c r="E165" s="39" t="n">
        <f aca="false">+'CCs # Master'!E119</f>
        <v>102</v>
      </c>
      <c r="F165" s="39" t="n">
        <f aca="false">+'CCs # Master'!F119</f>
        <v>6</v>
      </c>
      <c r="G165" s="39" t="n">
        <f aca="false">+'CCs # Master'!G119</f>
        <v>3</v>
      </c>
      <c r="H165" s="39" t="n">
        <f aca="false">+'CCs # Master'!H119</f>
        <v>0</v>
      </c>
      <c r="I165" s="39" t="n">
        <f aca="false">+'CCs # Master'!I119</f>
        <v>9</v>
      </c>
      <c r="J165" s="39" t="n">
        <f aca="false">+'CCs # Master'!J119</f>
        <v>0</v>
      </c>
      <c r="K165" s="71" t="n">
        <f aca="false">SUM(E165:J165)</f>
        <v>120</v>
      </c>
      <c r="L165" s="39"/>
      <c r="M165" s="39" t="str">
        <f aca="false">+'CCs # Master'!M119</f>
        <v>% of DT Headcount</v>
      </c>
      <c r="N165" s="39" t="n">
        <f aca="false">+'CCs # Master'!AW119</f>
        <v>14</v>
      </c>
      <c r="O165" s="39" t="n">
        <v>0</v>
      </c>
      <c r="P165" s="39" t="n">
        <f aca="false">+'CCs # Master'!N119</f>
        <v>2</v>
      </c>
      <c r="Q165" s="39" t="n">
        <f aca="false">+'CCs # Master'!O119</f>
        <v>4</v>
      </c>
      <c r="R165" s="39" t="n">
        <f aca="false">+'CCs # Master'!P119</f>
        <v>9</v>
      </c>
      <c r="S165" s="39" t="n">
        <f aca="false">+'CCs # Master'!Q119</f>
        <v>0</v>
      </c>
      <c r="T165" s="39" t="n">
        <f aca="false">+'CCs # Master'!R119</f>
        <v>0</v>
      </c>
      <c r="U165" s="39" t="n">
        <f aca="false">+'CCs # Master'!S119</f>
        <v>0</v>
      </c>
      <c r="V165" s="39" t="n">
        <f aca="false">+'CCs # Master'!T119</f>
        <v>2</v>
      </c>
      <c r="W165" s="39" t="n">
        <f aca="false">+'CCs # Master'!U119</f>
        <v>11</v>
      </c>
      <c r="X165" s="39" t="n">
        <f aca="false">+'CCs # Master'!V119</f>
        <v>4</v>
      </c>
      <c r="Y165" s="39" t="n">
        <f aca="false">+'CCs # Master'!W119</f>
        <v>0</v>
      </c>
      <c r="Z165" s="39" t="n">
        <f aca="false">+'CCs # Master'!X119</f>
        <v>20</v>
      </c>
      <c r="AA165" s="39" t="n">
        <f aca="false">+'CCs # Master'!Y119</f>
        <v>0</v>
      </c>
      <c r="AB165" s="39" t="n">
        <f aca="false">+'CCs # Master'!Z119</f>
        <v>2</v>
      </c>
      <c r="AC165" s="39" t="n">
        <f aca="false">+'CCs # Master'!AA119</f>
        <v>0</v>
      </c>
      <c r="AD165" s="39" t="n">
        <f aca="false">+'CCs # Master'!AB119</f>
        <v>0</v>
      </c>
      <c r="AE165" s="39" t="n">
        <f aca="false">+'CCs # Master'!AC119</f>
        <v>1</v>
      </c>
      <c r="AF165" s="39" t="n">
        <f aca="false">+'CCs # Master'!AD119</f>
        <v>13</v>
      </c>
      <c r="AG165" s="39" t="n">
        <f aca="false">+'CCs # Master'!AE119</f>
        <v>16</v>
      </c>
      <c r="AH165" s="39" t="n">
        <f aca="false">+'CCs # Master'!AF119</f>
        <v>5</v>
      </c>
      <c r="AI165" s="39" t="n">
        <f aca="false">+'CCs # Master'!AG119</f>
        <v>1</v>
      </c>
      <c r="AJ165" s="39" t="n">
        <f aca="false">+'CCs # Master'!AH119</f>
        <v>1</v>
      </c>
      <c r="AK165" s="39" t="n">
        <f aca="false">+'CCs # Master'!AI119</f>
        <v>1</v>
      </c>
      <c r="AL165" s="39" t="n">
        <f aca="false">+'CCs # Master'!AJ119</f>
        <v>1</v>
      </c>
      <c r="AM165" s="39" t="n">
        <f aca="false">+'CCs # Master'!AK119</f>
        <v>1</v>
      </c>
      <c r="AN165" s="39" t="n">
        <f aca="false">+'CCs # Master'!AL119</f>
        <v>2</v>
      </c>
      <c r="AO165" s="39" t="n">
        <f aca="false">+'CCs # Master'!AM119</f>
        <v>10</v>
      </c>
      <c r="AP165" s="39" t="n">
        <f aca="false">+'CCs # Master'!AN119</f>
        <v>0</v>
      </c>
      <c r="AQ165" s="39" t="n">
        <f aca="false">+'CCs # Master'!AO119</f>
        <v>0</v>
      </c>
      <c r="AR165" s="39" t="n">
        <f aca="false">+'CCs # Master'!AP119</f>
        <v>0</v>
      </c>
      <c r="AS165" s="39" t="n">
        <f aca="false">+'CCs # Master'!AQ119</f>
        <v>0</v>
      </c>
      <c r="AT165" s="39" t="n">
        <f aca="false">+'CCs # Master'!AR119</f>
        <v>0</v>
      </c>
      <c r="AU165" s="39" t="n">
        <f aca="false">+'CCs # Master'!AS119</f>
        <v>0</v>
      </c>
      <c r="AV165" s="39" t="n">
        <f aca="false">+'CCs # Master'!AT119</f>
        <v>0</v>
      </c>
      <c r="AW165" s="100"/>
      <c r="AX165" s="71" t="n">
        <f aca="false">SUM(N165:AW165)</f>
        <v>120</v>
      </c>
      <c r="AY165" s="71" t="n">
        <f aca="false">+K165-AX165</f>
        <v>0</v>
      </c>
      <c r="AZ165" s="39"/>
      <c r="BA165" s="39" t="n">
        <f aca="false">+P165+Q165+T165+U165+V165+W165+X165+Y165</f>
        <v>23</v>
      </c>
      <c r="BB165" s="39" t="n">
        <f aca="false">N165</f>
        <v>14</v>
      </c>
      <c r="BC165" s="39" t="n">
        <f aca="false">SUM(P165:AW165)</f>
        <v>106</v>
      </c>
      <c r="BD165" s="39"/>
      <c r="BE165" s="39" t="n">
        <f aca="false">SUM(BB165:BC165)</f>
        <v>120</v>
      </c>
      <c r="BF165" s="39"/>
      <c r="BG165" s="48" t="n">
        <f aca="false">SUM(N165:AW165)</f>
        <v>120</v>
      </c>
      <c r="BH165" s="39" t="n">
        <f aca="false">BE165-BG165</f>
        <v>0</v>
      </c>
      <c r="BI165" s="39"/>
      <c r="BJ165" s="39"/>
      <c r="BK165" s="39"/>
      <c r="BL165" s="39"/>
      <c r="BM165" s="39"/>
      <c r="BN165" s="39"/>
      <c r="BO165" s="39"/>
      <c r="BP165" s="39"/>
      <c r="BQ165" s="39"/>
      <c r="BR165" s="39"/>
      <c r="BS165" s="39"/>
      <c r="BT165" s="39"/>
      <c r="BU165" s="39"/>
      <c r="BV165" s="39"/>
      <c r="BW165" s="39"/>
      <c r="BX165" s="39"/>
      <c r="BY165" s="39"/>
      <c r="BZ165" s="39"/>
      <c r="CA165" s="39"/>
      <c r="CB165" s="39"/>
      <c r="CC165" s="39"/>
      <c r="CD165" s="39"/>
      <c r="CE165" s="39"/>
      <c r="CF165" s="39"/>
      <c r="CG165" s="39"/>
      <c r="CH165" s="39"/>
      <c r="CI165" s="39"/>
      <c r="CJ165" s="39"/>
      <c r="CK165" s="39"/>
      <c r="CL165" s="39"/>
      <c r="CM165" s="39"/>
      <c r="CN165" s="39"/>
      <c r="CO165" s="39"/>
      <c r="CP165" s="39"/>
      <c r="CQ165" s="39"/>
      <c r="CR165" s="39"/>
      <c r="CS165" s="39"/>
      <c r="CT165" s="39"/>
      <c r="CU165" s="39"/>
      <c r="CV165" s="39"/>
      <c r="CW165" s="39"/>
      <c r="CX165" s="39"/>
      <c r="CY165" s="39"/>
      <c r="CZ165" s="39"/>
      <c r="DA165" s="39"/>
      <c r="DB165" s="39"/>
      <c r="DC165" s="39"/>
      <c r="DD165" s="39"/>
      <c r="DE165" s="39"/>
      <c r="DF165" s="39"/>
      <c r="DG165" s="39"/>
      <c r="DH165" s="39"/>
      <c r="DI165" s="39"/>
      <c r="DJ165" s="39"/>
      <c r="DK165" s="39"/>
      <c r="DL165" s="39"/>
      <c r="DM165" s="39"/>
      <c r="DN165" s="39"/>
      <c r="DO165" s="39"/>
      <c r="DP165" s="39"/>
      <c r="DQ165" s="39"/>
      <c r="DR165" s="39"/>
      <c r="DS165" s="39"/>
      <c r="DT165" s="39"/>
      <c r="DU165" s="39"/>
      <c r="DV165" s="39"/>
      <c r="DW165" s="39"/>
      <c r="DX165" s="39"/>
      <c r="DY165" s="39"/>
      <c r="DZ165" s="39"/>
      <c r="EA165" s="39"/>
      <c r="EB165" s="39"/>
      <c r="EC165" s="39"/>
      <c r="ED165" s="39"/>
      <c r="EE165" s="39"/>
      <c r="EF165" s="39"/>
      <c r="EG165" s="39"/>
      <c r="EH165" s="39"/>
      <c r="EI165" s="39"/>
      <c r="EJ165" s="39"/>
      <c r="EK165" s="39"/>
      <c r="EL165" s="39"/>
      <c r="EM165" s="39"/>
      <c r="EN165" s="39"/>
      <c r="EO165" s="39"/>
      <c r="EP165" s="39"/>
      <c r="EQ165" s="39"/>
      <c r="ER165" s="39"/>
      <c r="ES165" s="39"/>
      <c r="ET165" s="39"/>
      <c r="EU165" s="39"/>
      <c r="EV165" s="39"/>
      <c r="EW165" s="39"/>
      <c r="EX165" s="39"/>
      <c r="EY165" s="39"/>
      <c r="EZ165" s="39"/>
      <c r="FA165" s="39"/>
      <c r="FB165" s="39"/>
      <c r="FC165" s="39"/>
      <c r="FD165" s="39"/>
      <c r="FE165" s="39"/>
      <c r="FF165" s="39"/>
      <c r="FG165" s="39"/>
      <c r="FH165" s="39"/>
      <c r="FI165" s="39"/>
      <c r="FJ165" s="39"/>
      <c r="FK165" s="39"/>
      <c r="FL165" s="39"/>
      <c r="FM165" s="39"/>
      <c r="FN165" s="39"/>
      <c r="FO165" s="39"/>
      <c r="FP165" s="39"/>
      <c r="FQ165" s="39"/>
      <c r="FR165" s="39"/>
      <c r="FS165" s="39"/>
      <c r="FT165" s="39"/>
      <c r="FU165" s="39"/>
      <c r="FV165" s="39"/>
      <c r="FW165" s="39"/>
      <c r="FX165" s="39"/>
      <c r="FY165" s="39"/>
      <c r="FZ165" s="39"/>
      <c r="GA165" s="39"/>
      <c r="GB165" s="39"/>
      <c r="GC165" s="39"/>
      <c r="GD165" s="39"/>
      <c r="GE165" s="39"/>
      <c r="GF165" s="39"/>
      <c r="GG165" s="39"/>
      <c r="GH165" s="39"/>
      <c r="GI165" s="39"/>
      <c r="GJ165" s="39"/>
      <c r="GK165" s="39"/>
      <c r="GL165" s="39"/>
      <c r="GM165" s="39"/>
      <c r="GN165" s="39"/>
      <c r="GO165" s="39"/>
      <c r="GP165" s="39"/>
      <c r="GQ165" s="39"/>
      <c r="GR165" s="39"/>
      <c r="GS165" s="39"/>
      <c r="GT165" s="39"/>
      <c r="GU165" s="39"/>
      <c r="GV165" s="39"/>
      <c r="GW165" s="39"/>
      <c r="GX165" s="39"/>
      <c r="GY165" s="39"/>
      <c r="GZ165" s="39"/>
      <c r="HA165" s="39"/>
      <c r="HB165" s="39"/>
      <c r="HC165" s="39"/>
      <c r="HD165" s="39"/>
      <c r="HE165" s="39"/>
      <c r="HF165" s="39"/>
      <c r="HG165" s="39"/>
      <c r="HH165" s="39"/>
      <c r="HI165" s="39"/>
      <c r="HJ165" s="39"/>
      <c r="HK165" s="39"/>
      <c r="HL165" s="39"/>
      <c r="HM165" s="39"/>
      <c r="HN165" s="39"/>
      <c r="HO165" s="39"/>
      <c r="HP165" s="39"/>
      <c r="HQ165" s="39"/>
      <c r="HR165" s="39"/>
      <c r="HS165" s="39"/>
      <c r="HT165" s="39"/>
      <c r="HU165" s="39"/>
      <c r="HV165" s="39"/>
      <c r="HW165" s="39"/>
      <c r="HX165" s="39"/>
      <c r="HY165" s="39"/>
      <c r="HZ165" s="39"/>
      <c r="IA165" s="39"/>
      <c r="IB165" s="39"/>
      <c r="IC165" s="39"/>
      <c r="ID165" s="39"/>
      <c r="IE165" s="39"/>
      <c r="IF165" s="39"/>
      <c r="IG165" s="39"/>
      <c r="IH165" s="39"/>
      <c r="II165" s="39"/>
      <c r="IJ165" s="39"/>
      <c r="IK165" s="39"/>
      <c r="IL165" s="39"/>
      <c r="IM165" s="39"/>
      <c r="IN165" s="39"/>
      <c r="IO165" s="39"/>
      <c r="IP165" s="39"/>
      <c r="IQ165" s="39"/>
      <c r="IR165" s="39"/>
      <c r="IS165" s="39"/>
      <c r="IT165" s="39"/>
      <c r="IU165" s="39"/>
      <c r="IV165" s="39"/>
      <c r="IW165" s="39"/>
    </row>
    <row r="166" customFormat="false" ht="12.95" hidden="false" customHeight="true" outlineLevel="0" collapsed="false">
      <c r="A166" s="37" t="n">
        <f aca="false">+'CCs # Master'!A122</f>
        <v>11</v>
      </c>
      <c r="B166" s="39" t="str">
        <f aca="false">+'CCs # Master'!B122</f>
        <v>Resource Management</v>
      </c>
      <c r="C166" s="39" t="str">
        <f aca="false">+'CCs # Master'!C122</f>
        <v>Davis, Sarah</v>
      </c>
      <c r="D166" s="96" t="n">
        <f aca="false">+'CCs # Master'!D122</f>
        <v>100808</v>
      </c>
      <c r="E166" s="39" t="n">
        <f aca="false">+'CCs # Master'!E122</f>
        <v>456</v>
      </c>
      <c r="F166" s="39" t="n">
        <f aca="false">+'CCs # Master'!F122</f>
        <v>48</v>
      </c>
      <c r="G166" s="39" t="n">
        <f aca="false">+'CCs # Master'!G122</f>
        <v>10</v>
      </c>
      <c r="H166" s="39" t="n">
        <f aca="false">+'CCs # Master'!H122</f>
        <v>78</v>
      </c>
      <c r="I166" s="39" t="n">
        <f aca="false">+'CCs # Master'!I122</f>
        <v>126</v>
      </c>
      <c r="J166" s="39" t="n">
        <f aca="false">+'CCs # Master'!J122</f>
        <v>-487</v>
      </c>
      <c r="K166" s="71" t="n">
        <f aca="false">SUM(E166:J166)</f>
        <v>231</v>
      </c>
      <c r="L166" s="39"/>
      <c r="M166" s="39" t="str">
        <f aca="false">+'CCs # Master'!M122</f>
        <v>% of Domestic Headcount</v>
      </c>
      <c r="N166" s="39" t="n">
        <f aca="false">+'CCs # Master'!AW122</f>
        <v>23</v>
      </c>
      <c r="O166" s="39" t="n">
        <v>0</v>
      </c>
      <c r="P166" s="39" t="n">
        <f aca="false">+'CCs # Master'!N122</f>
        <v>4</v>
      </c>
      <c r="Q166" s="39" t="n">
        <f aca="false">+'CCs # Master'!O122</f>
        <v>7</v>
      </c>
      <c r="R166" s="39" t="n">
        <f aca="false">+'CCs # Master'!P122</f>
        <v>7</v>
      </c>
      <c r="S166" s="39" t="n">
        <f aca="false">+'CCs # Master'!Q122</f>
        <v>8</v>
      </c>
      <c r="T166" s="39" t="n">
        <f aca="false">+'CCs # Master'!R122</f>
        <v>1</v>
      </c>
      <c r="U166" s="39" t="n">
        <f aca="false">+'CCs # Master'!S122</f>
        <v>0</v>
      </c>
      <c r="V166" s="39" t="n">
        <f aca="false">+'CCs # Master'!T122</f>
        <v>4</v>
      </c>
      <c r="W166" s="39" t="n">
        <f aca="false">+'CCs # Master'!U122</f>
        <v>27</v>
      </c>
      <c r="X166" s="39" t="n">
        <f aca="false">+'CCs # Master'!V122</f>
        <v>5</v>
      </c>
      <c r="Y166" s="39" t="n">
        <f aca="false">+'CCs # Master'!W122</f>
        <v>2</v>
      </c>
      <c r="Z166" s="39" t="n">
        <f aca="false">+'CCs # Master'!X122</f>
        <v>38</v>
      </c>
      <c r="AA166" s="39" t="n">
        <f aca="false">+'CCs # Master'!Y122</f>
        <v>0</v>
      </c>
      <c r="AB166" s="39" t="n">
        <f aca="false">+'CCs # Master'!Z122</f>
        <v>4</v>
      </c>
      <c r="AC166" s="39" t="n">
        <f aca="false">+'CCs # Master'!AA122</f>
        <v>1</v>
      </c>
      <c r="AD166" s="39" t="n">
        <f aca="false">+'CCs # Master'!AB122</f>
        <v>0</v>
      </c>
      <c r="AE166" s="39" t="n">
        <f aca="false">+'CCs # Master'!AC122</f>
        <v>2</v>
      </c>
      <c r="AF166" s="39" t="n">
        <f aca="false">+'CCs # Master'!AD122</f>
        <v>33</v>
      </c>
      <c r="AG166" s="39" t="n">
        <f aca="false">+'CCs # Master'!AE122</f>
        <v>27</v>
      </c>
      <c r="AH166" s="39" t="n">
        <f aca="false">+'CCs # Master'!AF122</f>
        <v>0</v>
      </c>
      <c r="AI166" s="39" t="n">
        <f aca="false">+'CCs # Master'!AG122</f>
        <v>0</v>
      </c>
      <c r="AJ166" s="39" t="n">
        <f aca="false">+'CCs # Master'!AH122</f>
        <v>2</v>
      </c>
      <c r="AK166" s="39" t="n">
        <f aca="false">+'CCs # Master'!AI122</f>
        <v>2</v>
      </c>
      <c r="AL166" s="39" t="n">
        <f aca="false">+'CCs # Master'!AJ122</f>
        <v>1</v>
      </c>
      <c r="AM166" s="39" t="n">
        <f aca="false">+'CCs # Master'!AK122</f>
        <v>2</v>
      </c>
      <c r="AN166" s="39" t="n">
        <f aca="false">+'CCs # Master'!AL122</f>
        <v>1</v>
      </c>
      <c r="AO166" s="39" t="n">
        <f aca="false">+'CCs # Master'!AM122</f>
        <v>17</v>
      </c>
      <c r="AP166" s="39" t="n">
        <f aca="false">+'CCs # Master'!AN122</f>
        <v>0</v>
      </c>
      <c r="AQ166" s="39" t="n">
        <f aca="false">+'CCs # Master'!AO122</f>
        <v>10</v>
      </c>
      <c r="AR166" s="39" t="n">
        <f aca="false">+'CCs # Master'!AP122</f>
        <v>3</v>
      </c>
      <c r="AS166" s="39" t="n">
        <f aca="false">+'CCs # Master'!AQ122</f>
        <v>0</v>
      </c>
      <c r="AT166" s="39" t="n">
        <f aca="false">+'CCs # Master'!AR122</f>
        <v>0</v>
      </c>
      <c r="AU166" s="39" t="n">
        <f aca="false">+'CCs # Master'!AS122</f>
        <v>0</v>
      </c>
      <c r="AV166" s="39" t="n">
        <f aca="false">+'CCs # Master'!AT122</f>
        <v>0</v>
      </c>
      <c r="AW166" s="100"/>
      <c r="AX166" s="71" t="n">
        <f aca="false">SUM(N166:AW166)</f>
        <v>231</v>
      </c>
      <c r="AY166" s="71" t="n">
        <f aca="false">+K166-AX166</f>
        <v>0</v>
      </c>
      <c r="AZ166" s="39"/>
      <c r="BA166" s="39" t="n">
        <f aca="false">+P166+Q166+T166+U166+V166+W166+X166+Y166</f>
        <v>50</v>
      </c>
      <c r="BB166" s="39" t="n">
        <f aca="false">N166</f>
        <v>23</v>
      </c>
      <c r="BC166" s="39" t="n">
        <f aca="false">SUM(P166:AW166)</f>
        <v>208</v>
      </c>
      <c r="BD166" s="39"/>
      <c r="BE166" s="39" t="n">
        <f aca="false">SUM(BB166:BC166)</f>
        <v>231</v>
      </c>
      <c r="BF166" s="39"/>
      <c r="BG166" s="48" t="n">
        <f aca="false">SUM(N166:AW166)</f>
        <v>231</v>
      </c>
      <c r="BH166" s="39" t="n">
        <f aca="false">BE166-BG166</f>
        <v>0</v>
      </c>
      <c r="BI166" s="39"/>
      <c r="BJ166" s="39"/>
      <c r="BK166" s="39"/>
      <c r="BL166" s="39"/>
      <c r="BM166" s="39"/>
      <c r="BN166" s="39"/>
      <c r="BO166" s="39"/>
      <c r="BP166" s="39"/>
      <c r="BQ166" s="39"/>
      <c r="BR166" s="39"/>
      <c r="BS166" s="39"/>
      <c r="BT166" s="39"/>
      <c r="BU166" s="39"/>
      <c r="BV166" s="39"/>
      <c r="BW166" s="39"/>
      <c r="BX166" s="39"/>
      <c r="BY166" s="39"/>
      <c r="BZ166" s="39"/>
      <c r="CA166" s="39"/>
      <c r="CB166" s="39"/>
      <c r="CC166" s="39"/>
      <c r="CD166" s="39"/>
      <c r="CE166" s="39"/>
      <c r="CF166" s="39"/>
      <c r="CG166" s="39"/>
      <c r="CH166" s="39"/>
      <c r="CI166" s="39"/>
      <c r="CJ166" s="39"/>
      <c r="CK166" s="39"/>
      <c r="CL166" s="39"/>
      <c r="CM166" s="39"/>
      <c r="CN166" s="39"/>
      <c r="CO166" s="39"/>
      <c r="CP166" s="39"/>
      <c r="CQ166" s="39"/>
      <c r="CR166" s="39"/>
      <c r="CS166" s="39"/>
      <c r="CT166" s="39"/>
      <c r="CU166" s="39"/>
      <c r="CV166" s="39"/>
      <c r="CW166" s="39"/>
      <c r="CX166" s="39"/>
      <c r="CY166" s="39"/>
      <c r="CZ166" s="39"/>
      <c r="DA166" s="39"/>
      <c r="DB166" s="39"/>
      <c r="DC166" s="39"/>
      <c r="DD166" s="39"/>
      <c r="DE166" s="39"/>
      <c r="DF166" s="39"/>
      <c r="DG166" s="39"/>
      <c r="DH166" s="39"/>
      <c r="DI166" s="39"/>
      <c r="DJ166" s="39"/>
      <c r="DK166" s="39"/>
      <c r="DL166" s="39"/>
      <c r="DM166" s="39"/>
      <c r="DN166" s="39"/>
      <c r="DO166" s="39"/>
      <c r="DP166" s="39"/>
      <c r="DQ166" s="39"/>
      <c r="DR166" s="39"/>
      <c r="DS166" s="39"/>
      <c r="DT166" s="39"/>
      <c r="DU166" s="39"/>
      <c r="DV166" s="39"/>
      <c r="DW166" s="39"/>
      <c r="DX166" s="39"/>
      <c r="DY166" s="39"/>
      <c r="DZ166" s="39"/>
      <c r="EA166" s="39"/>
      <c r="EB166" s="39"/>
      <c r="EC166" s="39"/>
      <c r="ED166" s="39"/>
      <c r="EE166" s="39"/>
      <c r="EF166" s="39"/>
      <c r="EG166" s="39"/>
      <c r="EH166" s="39"/>
      <c r="EI166" s="39"/>
      <c r="EJ166" s="39"/>
      <c r="EK166" s="39"/>
      <c r="EL166" s="39"/>
      <c r="EM166" s="39"/>
      <c r="EN166" s="39"/>
      <c r="EO166" s="39"/>
      <c r="EP166" s="39"/>
      <c r="EQ166" s="39"/>
      <c r="ER166" s="39"/>
      <c r="ES166" s="39"/>
      <c r="ET166" s="39"/>
      <c r="EU166" s="39"/>
      <c r="EV166" s="39"/>
      <c r="EW166" s="39"/>
      <c r="EX166" s="39"/>
      <c r="EY166" s="39"/>
      <c r="EZ166" s="39"/>
      <c r="FA166" s="39"/>
      <c r="FB166" s="39"/>
      <c r="FC166" s="39"/>
      <c r="FD166" s="39"/>
      <c r="FE166" s="39"/>
      <c r="FF166" s="39"/>
      <c r="FG166" s="39"/>
      <c r="FH166" s="39"/>
      <c r="FI166" s="39"/>
      <c r="FJ166" s="39"/>
      <c r="FK166" s="39"/>
      <c r="FL166" s="39"/>
      <c r="FM166" s="39"/>
      <c r="FN166" s="39"/>
      <c r="FO166" s="39"/>
      <c r="FP166" s="39"/>
      <c r="FQ166" s="39"/>
      <c r="FR166" s="39"/>
      <c r="FS166" s="39"/>
      <c r="FT166" s="39"/>
      <c r="FU166" s="39"/>
      <c r="FV166" s="39"/>
      <c r="FW166" s="39"/>
      <c r="FX166" s="39"/>
      <c r="FY166" s="39"/>
      <c r="FZ166" s="39"/>
      <c r="GA166" s="39"/>
      <c r="GB166" s="39"/>
      <c r="GC166" s="39"/>
      <c r="GD166" s="39"/>
      <c r="GE166" s="39"/>
      <c r="GF166" s="39"/>
      <c r="GG166" s="39"/>
      <c r="GH166" s="39"/>
      <c r="GI166" s="39"/>
      <c r="GJ166" s="39"/>
      <c r="GK166" s="39"/>
      <c r="GL166" s="39"/>
      <c r="GM166" s="39"/>
      <c r="GN166" s="39"/>
      <c r="GO166" s="39"/>
      <c r="GP166" s="39"/>
      <c r="GQ166" s="39"/>
      <c r="GR166" s="39"/>
      <c r="GS166" s="39"/>
      <c r="GT166" s="39"/>
      <c r="GU166" s="39"/>
      <c r="GV166" s="39"/>
      <c r="GW166" s="39"/>
      <c r="GX166" s="39"/>
      <c r="GY166" s="39"/>
      <c r="GZ166" s="39"/>
      <c r="HA166" s="39"/>
      <c r="HB166" s="39"/>
      <c r="HC166" s="39"/>
      <c r="HD166" s="39"/>
      <c r="HE166" s="39"/>
      <c r="HF166" s="39"/>
      <c r="HG166" s="39"/>
      <c r="HH166" s="39"/>
      <c r="HI166" s="39"/>
      <c r="HJ166" s="39"/>
      <c r="HK166" s="39"/>
      <c r="HL166" s="39"/>
      <c r="HM166" s="39"/>
      <c r="HN166" s="39"/>
      <c r="HO166" s="39"/>
      <c r="HP166" s="39"/>
      <c r="HQ166" s="39"/>
      <c r="HR166" s="39"/>
      <c r="HS166" s="39"/>
      <c r="HT166" s="39"/>
      <c r="HU166" s="39"/>
      <c r="HV166" s="39"/>
      <c r="HW166" s="39"/>
      <c r="HX166" s="39"/>
      <c r="HY166" s="39"/>
      <c r="HZ166" s="39"/>
      <c r="IA166" s="39"/>
      <c r="IB166" s="39"/>
      <c r="IC166" s="39"/>
      <c r="ID166" s="39"/>
      <c r="IE166" s="39"/>
      <c r="IF166" s="39"/>
      <c r="IG166" s="39"/>
      <c r="IH166" s="39"/>
      <c r="II166" s="39"/>
      <c r="IJ166" s="39"/>
      <c r="IK166" s="39"/>
      <c r="IL166" s="39"/>
      <c r="IM166" s="39"/>
      <c r="IN166" s="39"/>
      <c r="IO166" s="39"/>
      <c r="IP166" s="39"/>
      <c r="IQ166" s="39"/>
      <c r="IR166" s="39"/>
      <c r="IS166" s="39"/>
      <c r="IT166" s="39"/>
      <c r="IU166" s="39"/>
      <c r="IV166" s="39"/>
      <c r="IW166" s="39"/>
    </row>
    <row r="167" customFormat="false" ht="12.95" hidden="false" customHeight="true" outlineLevel="0" collapsed="false">
      <c r="A167" s="37" t="n">
        <f aca="false">+'CCs # Master'!A143</f>
        <v>1</v>
      </c>
      <c r="B167" s="99" t="str">
        <f aca="false">+'CCs # Master'!B143</f>
        <v>Corp-HR Benefits</v>
      </c>
      <c r="C167" s="99" t="str">
        <f aca="false">+'CCs # Master'!C143</f>
        <v>Barrow, Cynthia</v>
      </c>
      <c r="D167" s="37" t="n">
        <f aca="false">+'CCs # Master'!D143</f>
        <v>100879</v>
      </c>
      <c r="E167" s="39" t="n">
        <f aca="false">+'CCs # Master'!E143</f>
        <v>1004</v>
      </c>
      <c r="F167" s="39" t="n">
        <f aca="false">+'CCs # Master'!F143</f>
        <v>-198</v>
      </c>
      <c r="G167" s="39" t="n">
        <f aca="false">+'CCs # Master'!G143</f>
        <v>32</v>
      </c>
      <c r="H167" s="39" t="n">
        <f aca="false">+'CCs # Master'!H143</f>
        <v>481</v>
      </c>
      <c r="I167" s="39" t="n">
        <f aca="false">+'CCs # Master'!I143</f>
        <v>230</v>
      </c>
      <c r="J167" s="39" t="n">
        <f aca="false">+'CCs # Master'!J143</f>
        <v>-50</v>
      </c>
      <c r="K167" s="39" t="n">
        <f aca="false">SUM(E167:J167)</f>
        <v>1499</v>
      </c>
      <c r="L167" s="39"/>
      <c r="M167" s="39" t="str">
        <f aca="false">+'CCs # Master'!M143</f>
        <v>% of Domestic Headcount</v>
      </c>
      <c r="N167" s="39" t="n">
        <f aca="false">+'CCs # Master'!AW143</f>
        <v>152</v>
      </c>
      <c r="O167" s="39" t="n">
        <v>0</v>
      </c>
      <c r="P167" s="39" t="n">
        <f aca="false">+'CCs # Master'!N143</f>
        <v>24</v>
      </c>
      <c r="Q167" s="39" t="n">
        <f aca="false">+'CCs # Master'!O143</f>
        <v>45</v>
      </c>
      <c r="R167" s="39" t="n">
        <f aca="false">+'CCs # Master'!P143</f>
        <v>48</v>
      </c>
      <c r="S167" s="39" t="n">
        <f aca="false">+'CCs # Master'!Q143</f>
        <v>51</v>
      </c>
      <c r="T167" s="39" t="n">
        <f aca="false">+'CCs # Master'!R143</f>
        <v>5</v>
      </c>
      <c r="U167" s="39" t="n">
        <f aca="false">+'CCs # Master'!S143</f>
        <v>0</v>
      </c>
      <c r="V167" s="39" t="n">
        <f aca="false">+'CCs # Master'!T143</f>
        <v>27</v>
      </c>
      <c r="W167" s="39" t="n">
        <f aca="false">+'CCs # Master'!U143</f>
        <v>175</v>
      </c>
      <c r="X167" s="39" t="n">
        <f aca="false">+'CCs # Master'!V143</f>
        <v>33</v>
      </c>
      <c r="Y167" s="39" t="n">
        <f aca="false">+'CCs # Master'!W143</f>
        <v>13</v>
      </c>
      <c r="Z167" s="39" t="n">
        <f aca="false">+'CCs # Master'!X143</f>
        <v>244</v>
      </c>
      <c r="AA167" s="39" t="n">
        <f aca="false">+'CCs # Master'!Y143</f>
        <v>2</v>
      </c>
      <c r="AB167" s="39" t="n">
        <f aca="false">+'CCs # Master'!Z143</f>
        <v>27</v>
      </c>
      <c r="AC167" s="39" t="n">
        <f aca="false">+'CCs # Master'!AA143</f>
        <v>5</v>
      </c>
      <c r="AD167" s="39" t="n">
        <f aca="false">+'CCs # Master'!AB143</f>
        <v>1</v>
      </c>
      <c r="AE167" s="39" t="n">
        <f aca="false">+'CCs # Master'!AC143</f>
        <v>11</v>
      </c>
      <c r="AF167" s="39" t="n">
        <f aca="false">+'CCs # Master'!AD143</f>
        <v>216</v>
      </c>
      <c r="AG167" s="39" t="n">
        <f aca="false">+'CCs # Master'!AE143</f>
        <v>174</v>
      </c>
      <c r="AH167" s="39" t="n">
        <f aca="false">+'CCs # Master'!AF143</f>
        <v>2</v>
      </c>
      <c r="AI167" s="39" t="n">
        <f aca="false">+'CCs # Master'!AG143</f>
        <v>0</v>
      </c>
      <c r="AJ167" s="39" t="n">
        <f aca="false">+'CCs # Master'!AH143</f>
        <v>12</v>
      </c>
      <c r="AK167" s="39" t="n">
        <f aca="false">+'CCs # Master'!AI143</f>
        <v>12</v>
      </c>
      <c r="AL167" s="39" t="n">
        <f aca="false">+'CCs # Master'!AJ143</f>
        <v>6</v>
      </c>
      <c r="AM167" s="39" t="n">
        <f aca="false">+'CCs # Master'!AK143</f>
        <v>14</v>
      </c>
      <c r="AN167" s="39" t="n">
        <f aca="false">+'CCs # Master'!AL143</f>
        <v>5</v>
      </c>
      <c r="AO167" s="39" t="n">
        <f aca="false">+'CCs # Master'!AM143</f>
        <v>112</v>
      </c>
      <c r="AP167" s="39" t="n">
        <f aca="false">+'CCs # Master'!AN143</f>
        <v>0</v>
      </c>
      <c r="AQ167" s="39" t="n">
        <f aca="false">+'CCs # Master'!AO143</f>
        <v>65</v>
      </c>
      <c r="AR167" s="39" t="n">
        <f aca="false">+'CCs # Master'!AP143</f>
        <v>18</v>
      </c>
      <c r="AS167" s="39" t="n">
        <f aca="false">+'CCs # Master'!AQ143</f>
        <v>0</v>
      </c>
      <c r="AT167" s="39" t="n">
        <f aca="false">+'CCs # Master'!AR143</f>
        <v>0</v>
      </c>
      <c r="AU167" s="39" t="n">
        <f aca="false">+'CCs # Master'!AS143</f>
        <v>0</v>
      </c>
      <c r="AV167" s="39" t="n">
        <f aca="false">+'CCs # Master'!AT143</f>
        <v>0</v>
      </c>
      <c r="AW167" s="100"/>
      <c r="AX167" s="71" t="n">
        <f aca="false">SUM(N167:AW167)</f>
        <v>1499</v>
      </c>
      <c r="AY167" s="71" t="n">
        <f aca="false">+K167-AX167</f>
        <v>0</v>
      </c>
      <c r="AZ167" s="39"/>
      <c r="BA167" s="39" t="n">
        <f aca="false">+P167+Q167+T167+U167+V167+W167+X167+Y167</f>
        <v>322</v>
      </c>
      <c r="BB167" s="39" t="n">
        <f aca="false">N167</f>
        <v>152</v>
      </c>
      <c r="BC167" s="39" t="n">
        <f aca="false">SUM(P167:AW167)</f>
        <v>1347</v>
      </c>
      <c r="BD167" s="39"/>
      <c r="BE167" s="39" t="n">
        <f aca="false">SUM(BB167:BC167)</f>
        <v>1499</v>
      </c>
      <c r="BF167" s="39"/>
      <c r="BG167" s="48" t="n">
        <f aca="false">SUM(N167:AW167)</f>
        <v>1499</v>
      </c>
      <c r="BH167" s="39" t="n">
        <f aca="false">BE167-BG167</f>
        <v>0</v>
      </c>
      <c r="BI167" s="39"/>
      <c r="BJ167" s="39"/>
      <c r="BK167" s="39"/>
      <c r="BL167" s="39"/>
      <c r="BM167" s="39"/>
      <c r="BN167" s="39"/>
      <c r="BO167" s="39"/>
      <c r="BP167" s="39"/>
      <c r="BQ167" s="39"/>
      <c r="BR167" s="39"/>
      <c r="BS167" s="39"/>
      <c r="BT167" s="39"/>
      <c r="BU167" s="39"/>
      <c r="BV167" s="39"/>
      <c r="BW167" s="39"/>
      <c r="BX167" s="39"/>
      <c r="BY167" s="39"/>
      <c r="BZ167" s="39"/>
      <c r="CA167" s="39"/>
      <c r="CB167" s="39"/>
      <c r="CC167" s="39"/>
      <c r="CD167" s="39"/>
      <c r="CE167" s="39"/>
      <c r="CF167" s="39"/>
      <c r="CG167" s="39"/>
      <c r="CH167" s="39"/>
      <c r="CI167" s="39"/>
      <c r="CJ167" s="39"/>
      <c r="CK167" s="39"/>
      <c r="CL167" s="39"/>
      <c r="CM167" s="39"/>
      <c r="CN167" s="39"/>
      <c r="CO167" s="39"/>
      <c r="CP167" s="39"/>
      <c r="CQ167" s="39"/>
      <c r="CR167" s="39"/>
      <c r="CS167" s="39"/>
      <c r="CT167" s="39"/>
      <c r="CU167" s="39"/>
      <c r="CV167" s="39"/>
      <c r="CW167" s="39"/>
      <c r="CX167" s="39"/>
      <c r="CY167" s="39"/>
      <c r="CZ167" s="39"/>
      <c r="DA167" s="39"/>
      <c r="DB167" s="39"/>
      <c r="DC167" s="39"/>
      <c r="DD167" s="39"/>
      <c r="DE167" s="39"/>
      <c r="DF167" s="39"/>
      <c r="DG167" s="39"/>
      <c r="DH167" s="39"/>
      <c r="DI167" s="39"/>
      <c r="DJ167" s="39"/>
      <c r="DK167" s="39"/>
      <c r="DL167" s="39"/>
      <c r="DM167" s="39"/>
      <c r="DN167" s="39"/>
      <c r="DO167" s="39"/>
      <c r="DP167" s="39"/>
      <c r="DQ167" s="39"/>
      <c r="DR167" s="39"/>
      <c r="DS167" s="39"/>
      <c r="DT167" s="39"/>
      <c r="DU167" s="39"/>
      <c r="DV167" s="39"/>
      <c r="DW167" s="39"/>
      <c r="DX167" s="39"/>
      <c r="DY167" s="39"/>
      <c r="DZ167" s="39"/>
      <c r="EA167" s="39"/>
      <c r="EB167" s="39"/>
      <c r="EC167" s="39"/>
      <c r="ED167" s="39"/>
      <c r="EE167" s="39"/>
      <c r="EF167" s="39"/>
      <c r="EG167" s="39"/>
      <c r="EH167" s="39"/>
      <c r="EI167" s="39"/>
      <c r="EJ167" s="39"/>
      <c r="EK167" s="39"/>
      <c r="EL167" s="39"/>
      <c r="EM167" s="39"/>
      <c r="EN167" s="39"/>
      <c r="EO167" s="39"/>
      <c r="EP167" s="39"/>
      <c r="EQ167" s="39"/>
      <c r="ER167" s="39"/>
      <c r="ES167" s="39"/>
      <c r="ET167" s="39"/>
      <c r="EU167" s="39"/>
      <c r="EV167" s="39"/>
      <c r="EW167" s="39"/>
      <c r="EX167" s="39"/>
      <c r="EY167" s="39"/>
      <c r="EZ167" s="39"/>
      <c r="FA167" s="39"/>
      <c r="FB167" s="39"/>
      <c r="FC167" s="39"/>
      <c r="FD167" s="39"/>
      <c r="FE167" s="39"/>
      <c r="FF167" s="39"/>
      <c r="FG167" s="39"/>
      <c r="FH167" s="39"/>
      <c r="FI167" s="39"/>
      <c r="FJ167" s="39"/>
      <c r="FK167" s="39"/>
      <c r="FL167" s="39"/>
      <c r="FM167" s="39"/>
      <c r="FN167" s="39"/>
      <c r="FO167" s="39"/>
      <c r="FP167" s="39"/>
      <c r="FQ167" s="39"/>
      <c r="FR167" s="39"/>
      <c r="FS167" s="39"/>
      <c r="FT167" s="39"/>
      <c r="FU167" s="39"/>
      <c r="FV167" s="39"/>
      <c r="FW167" s="39"/>
      <c r="FX167" s="39"/>
      <c r="FY167" s="39"/>
      <c r="FZ167" s="39"/>
      <c r="GA167" s="39"/>
      <c r="GB167" s="39"/>
      <c r="GC167" s="39"/>
      <c r="GD167" s="39"/>
      <c r="GE167" s="39"/>
      <c r="GF167" s="39"/>
      <c r="GG167" s="39"/>
      <c r="GH167" s="39"/>
      <c r="GI167" s="39"/>
      <c r="GJ167" s="39"/>
      <c r="GK167" s="39"/>
      <c r="GL167" s="39"/>
      <c r="GM167" s="39"/>
      <c r="GN167" s="39"/>
      <c r="GO167" s="39"/>
      <c r="GP167" s="39"/>
      <c r="GQ167" s="39"/>
      <c r="GR167" s="39"/>
      <c r="GS167" s="39"/>
      <c r="GT167" s="39"/>
      <c r="GU167" s="39"/>
      <c r="GV167" s="39"/>
      <c r="GW167" s="39"/>
      <c r="GX167" s="39"/>
      <c r="GY167" s="39"/>
      <c r="GZ167" s="39"/>
      <c r="HA167" s="39"/>
      <c r="HB167" s="39"/>
      <c r="HC167" s="39"/>
      <c r="HD167" s="39"/>
      <c r="HE167" s="39"/>
      <c r="HF167" s="39"/>
      <c r="HG167" s="39"/>
      <c r="HH167" s="39"/>
      <c r="HI167" s="39"/>
      <c r="HJ167" s="39"/>
      <c r="HK167" s="39"/>
      <c r="HL167" s="39"/>
      <c r="HM167" s="39"/>
      <c r="HN167" s="39"/>
      <c r="HO167" s="39"/>
      <c r="HP167" s="39"/>
      <c r="HQ167" s="39"/>
      <c r="HR167" s="39"/>
      <c r="HS167" s="39"/>
      <c r="HT167" s="39"/>
      <c r="HU167" s="39"/>
      <c r="HV167" s="39"/>
      <c r="HW167" s="39"/>
      <c r="HX167" s="39"/>
      <c r="HY167" s="39"/>
      <c r="HZ167" s="39"/>
      <c r="IA167" s="39"/>
      <c r="IB167" s="39"/>
      <c r="IC167" s="39"/>
      <c r="ID167" s="39"/>
      <c r="IE167" s="39"/>
      <c r="IF167" s="39"/>
      <c r="IG167" s="39"/>
      <c r="IH167" s="39"/>
      <c r="II167" s="39"/>
      <c r="IJ167" s="39"/>
      <c r="IK167" s="39"/>
      <c r="IL167" s="39"/>
      <c r="IM167" s="39"/>
      <c r="IN167" s="39"/>
      <c r="IO167" s="39"/>
      <c r="IP167" s="39"/>
      <c r="IQ167" s="39"/>
      <c r="IR167" s="39"/>
      <c r="IS167" s="39"/>
      <c r="IT167" s="39"/>
      <c r="IU167" s="39"/>
      <c r="IV167" s="39"/>
      <c r="IW167" s="39"/>
    </row>
    <row r="168" customFormat="false" ht="12.95" hidden="false" customHeight="true" outlineLevel="0" collapsed="false">
      <c r="A168" s="37" t="n">
        <f aca="false">+'CCs # Master'!A149</f>
        <v>11</v>
      </c>
      <c r="B168" s="99" t="str">
        <f aca="false">+'CCs # Master'!B149</f>
        <v>HR Process Improvement</v>
      </c>
      <c r="C168" s="99" t="str">
        <f aca="false">+'CCs # Master'!C149</f>
        <v>Sparger, Bob, Coleman, Brad</v>
      </c>
      <c r="D168" s="37" t="n">
        <f aca="false">+'CCs # Master'!D149</f>
        <v>102723</v>
      </c>
      <c r="E168" s="39" t="n">
        <f aca="false">+'CCs # Master'!E149</f>
        <v>0</v>
      </c>
      <c r="F168" s="39" t="n">
        <f aca="false">+'CCs # Master'!F149</f>
        <v>0</v>
      </c>
      <c r="G168" s="39" t="n">
        <f aca="false">+'CCs # Master'!G149</f>
        <v>300</v>
      </c>
      <c r="H168" s="39" t="n">
        <f aca="false">+'CCs # Master'!H149</f>
        <v>300</v>
      </c>
      <c r="I168" s="39" t="n">
        <f aca="false">+'CCs # Master'!I149</f>
        <v>0</v>
      </c>
      <c r="J168" s="39" t="n">
        <f aca="false">+'CCs # Master'!J149</f>
        <v>-300</v>
      </c>
      <c r="K168" s="71" t="n">
        <f aca="false">SUM(E168:J168)</f>
        <v>300</v>
      </c>
      <c r="L168" s="39"/>
      <c r="M168" s="39" t="str">
        <f aca="false">+'CCs # Master'!M149</f>
        <v>% of Domestic Headcount</v>
      </c>
      <c r="N168" s="39" t="n">
        <f aca="false">+'CCs # Master'!AW149</f>
        <v>30</v>
      </c>
      <c r="O168" s="39" t="n">
        <v>0</v>
      </c>
      <c r="P168" s="39" t="n">
        <f aca="false">+'CCs # Master'!N149</f>
        <v>5</v>
      </c>
      <c r="Q168" s="39" t="n">
        <f aca="false">+'CCs # Master'!O149</f>
        <v>9</v>
      </c>
      <c r="R168" s="39" t="n">
        <f aca="false">+'CCs # Master'!P149</f>
        <v>10</v>
      </c>
      <c r="S168" s="39" t="n">
        <f aca="false">+'CCs # Master'!Q149</f>
        <v>10</v>
      </c>
      <c r="T168" s="39" t="n">
        <f aca="false">+'CCs # Master'!R149</f>
        <v>1</v>
      </c>
      <c r="U168" s="39" t="n">
        <f aca="false">+'CCs # Master'!S149</f>
        <v>0</v>
      </c>
      <c r="V168" s="39" t="n">
        <f aca="false">+'CCs # Master'!T149</f>
        <v>5</v>
      </c>
      <c r="W168" s="39" t="n">
        <f aca="false">+'CCs # Master'!U149</f>
        <v>35</v>
      </c>
      <c r="X168" s="39" t="n">
        <f aca="false">+'CCs # Master'!V149</f>
        <v>7</v>
      </c>
      <c r="Y168" s="39" t="n">
        <f aca="false">+'CCs # Master'!W149</f>
        <v>3</v>
      </c>
      <c r="Z168" s="39" t="n">
        <f aca="false">+'CCs # Master'!X149</f>
        <v>49</v>
      </c>
      <c r="AA168" s="39" t="n">
        <f aca="false">+'CCs # Master'!Y149</f>
        <v>0</v>
      </c>
      <c r="AB168" s="39" t="n">
        <f aca="false">+'CCs # Master'!Z149</f>
        <v>5</v>
      </c>
      <c r="AC168" s="39" t="n">
        <f aca="false">+'CCs # Master'!AA149</f>
        <v>1</v>
      </c>
      <c r="AD168" s="39" t="n">
        <f aca="false">+'CCs # Master'!AB149</f>
        <v>0</v>
      </c>
      <c r="AE168" s="39" t="n">
        <f aca="false">+'CCs # Master'!AC149</f>
        <v>2</v>
      </c>
      <c r="AF168" s="39" t="n">
        <f aca="false">+'CCs # Master'!AD149</f>
        <v>44</v>
      </c>
      <c r="AG168" s="39" t="n">
        <f aca="false">+'CCs # Master'!AE149</f>
        <v>36</v>
      </c>
      <c r="AH168" s="39" t="n">
        <f aca="false">+'CCs # Master'!AF149</f>
        <v>0</v>
      </c>
      <c r="AI168" s="39" t="n">
        <f aca="false">+'CCs # Master'!AG149</f>
        <v>0</v>
      </c>
      <c r="AJ168" s="39" t="n">
        <f aca="false">+'CCs # Master'!AH149</f>
        <v>2</v>
      </c>
      <c r="AK168" s="39" t="n">
        <f aca="false">+'CCs # Master'!AI149</f>
        <v>2</v>
      </c>
      <c r="AL168" s="39" t="n">
        <f aca="false">+'CCs # Master'!AJ149</f>
        <v>1</v>
      </c>
      <c r="AM168" s="39" t="n">
        <f aca="false">+'CCs # Master'!AK149</f>
        <v>3</v>
      </c>
      <c r="AN168" s="39" t="n">
        <f aca="false">+'CCs # Master'!AL149</f>
        <v>1</v>
      </c>
      <c r="AO168" s="39" t="n">
        <f aca="false">+'CCs # Master'!AM149</f>
        <v>22</v>
      </c>
      <c r="AP168" s="39" t="n">
        <f aca="false">+'CCs # Master'!AN149</f>
        <v>0</v>
      </c>
      <c r="AQ168" s="39" t="n">
        <f aca="false">+'CCs # Master'!AO149</f>
        <v>13</v>
      </c>
      <c r="AR168" s="39" t="n">
        <f aca="false">+'CCs # Master'!AP149</f>
        <v>4</v>
      </c>
      <c r="AS168" s="39" t="n">
        <f aca="false">+'CCs # Master'!AQ149</f>
        <v>0</v>
      </c>
      <c r="AT168" s="39" t="n">
        <f aca="false">+'CCs # Master'!AR149</f>
        <v>0</v>
      </c>
      <c r="AU168" s="39" t="n">
        <f aca="false">+'CCs # Master'!AS149</f>
        <v>0</v>
      </c>
      <c r="AV168" s="39" t="n">
        <f aca="false">+'CCs # Master'!AT149</f>
        <v>0</v>
      </c>
      <c r="AW168" s="100"/>
      <c r="AX168" s="71" t="n">
        <f aca="false">SUM(N168:AW168)</f>
        <v>300</v>
      </c>
      <c r="AY168" s="71" t="n">
        <f aca="false">+K168-AX168</f>
        <v>0</v>
      </c>
      <c r="AZ168" s="39"/>
      <c r="BA168" s="39" t="n">
        <f aca="false">+P168+Q168+T168+U168+V168+W168+X168+Y168</f>
        <v>65</v>
      </c>
      <c r="BB168" s="39" t="n">
        <f aca="false">N168</f>
        <v>30</v>
      </c>
      <c r="BC168" s="39" t="n">
        <f aca="false">SUM(P168:AW168)</f>
        <v>270</v>
      </c>
      <c r="BD168" s="39"/>
      <c r="BE168" s="39" t="n">
        <f aca="false">SUM(BB168:BC168)</f>
        <v>300</v>
      </c>
      <c r="BF168" s="39"/>
      <c r="BG168" s="48" t="n">
        <f aca="false">SUM(N168:AW168)</f>
        <v>300</v>
      </c>
      <c r="BH168" s="39" t="n">
        <f aca="false">BE168-BG168</f>
        <v>0</v>
      </c>
      <c r="BI168" s="39"/>
      <c r="BJ168" s="39"/>
      <c r="BK168" s="39"/>
      <c r="BL168" s="39"/>
      <c r="BM168" s="39"/>
      <c r="BN168" s="39"/>
      <c r="BO168" s="39"/>
      <c r="BP168" s="39"/>
      <c r="BQ168" s="39"/>
      <c r="BR168" s="39"/>
      <c r="BS168" s="39"/>
      <c r="BT168" s="39"/>
      <c r="BU168" s="39"/>
      <c r="BV168" s="39"/>
      <c r="BW168" s="39"/>
      <c r="BX168" s="39"/>
      <c r="BY168" s="39"/>
      <c r="BZ168" s="39"/>
      <c r="CA168" s="39"/>
      <c r="CB168" s="39"/>
      <c r="CC168" s="39"/>
      <c r="CD168" s="39"/>
      <c r="CE168" s="39"/>
      <c r="CF168" s="39"/>
      <c r="CG168" s="39"/>
      <c r="CH168" s="39"/>
      <c r="CI168" s="39"/>
      <c r="CJ168" s="39"/>
      <c r="CK168" s="39"/>
      <c r="CL168" s="39"/>
      <c r="CM168" s="39"/>
      <c r="CN168" s="39"/>
      <c r="CO168" s="39"/>
      <c r="CP168" s="39"/>
      <c r="CQ168" s="39"/>
      <c r="CR168" s="39"/>
      <c r="CS168" s="39"/>
      <c r="CT168" s="39"/>
      <c r="CU168" s="39"/>
      <c r="CV168" s="39"/>
      <c r="CW168" s="39"/>
      <c r="CX168" s="39"/>
      <c r="CY168" s="39"/>
      <c r="CZ168" s="39"/>
      <c r="DA168" s="39"/>
      <c r="DB168" s="39"/>
      <c r="DC168" s="39"/>
      <c r="DD168" s="39"/>
      <c r="DE168" s="39"/>
      <c r="DF168" s="39"/>
      <c r="DG168" s="39"/>
      <c r="DH168" s="39"/>
      <c r="DI168" s="39"/>
      <c r="DJ168" s="39"/>
      <c r="DK168" s="39"/>
      <c r="DL168" s="39"/>
      <c r="DM168" s="39"/>
      <c r="DN168" s="39"/>
      <c r="DO168" s="39"/>
      <c r="DP168" s="39"/>
      <c r="DQ168" s="39"/>
      <c r="DR168" s="39"/>
      <c r="DS168" s="39"/>
      <c r="DT168" s="39"/>
      <c r="DU168" s="39"/>
      <c r="DV168" s="39"/>
      <c r="DW168" s="39"/>
      <c r="DX168" s="39"/>
      <c r="DY168" s="39"/>
      <c r="DZ168" s="39"/>
      <c r="EA168" s="39"/>
      <c r="EB168" s="39"/>
      <c r="EC168" s="39"/>
      <c r="ED168" s="39"/>
      <c r="EE168" s="39"/>
      <c r="EF168" s="39"/>
      <c r="EG168" s="39"/>
      <c r="EH168" s="39"/>
      <c r="EI168" s="39"/>
      <c r="EJ168" s="39"/>
      <c r="EK168" s="39"/>
      <c r="EL168" s="39"/>
      <c r="EM168" s="39"/>
      <c r="EN168" s="39"/>
      <c r="EO168" s="39"/>
      <c r="EP168" s="39"/>
      <c r="EQ168" s="39"/>
      <c r="ER168" s="39"/>
      <c r="ES168" s="39"/>
      <c r="ET168" s="39"/>
      <c r="EU168" s="39"/>
      <c r="EV168" s="39"/>
      <c r="EW168" s="39"/>
      <c r="EX168" s="39"/>
      <c r="EY168" s="39"/>
      <c r="EZ168" s="39"/>
      <c r="FA168" s="39"/>
      <c r="FB168" s="39"/>
      <c r="FC168" s="39"/>
      <c r="FD168" s="39"/>
      <c r="FE168" s="39"/>
      <c r="FF168" s="39"/>
      <c r="FG168" s="39"/>
      <c r="FH168" s="39"/>
      <c r="FI168" s="39"/>
      <c r="FJ168" s="39"/>
      <c r="FK168" s="39"/>
      <c r="FL168" s="39"/>
      <c r="FM168" s="39"/>
      <c r="FN168" s="39"/>
      <c r="FO168" s="39"/>
      <c r="FP168" s="39"/>
      <c r="FQ168" s="39"/>
      <c r="FR168" s="39"/>
      <c r="FS168" s="39"/>
      <c r="FT168" s="39"/>
      <c r="FU168" s="39"/>
      <c r="FV168" s="39"/>
      <c r="FW168" s="39"/>
      <c r="FX168" s="39"/>
      <c r="FY168" s="39"/>
      <c r="FZ168" s="39"/>
      <c r="GA168" s="39"/>
      <c r="GB168" s="39"/>
      <c r="GC168" s="39"/>
      <c r="GD168" s="39"/>
      <c r="GE168" s="39"/>
      <c r="GF168" s="39"/>
      <c r="GG168" s="39"/>
      <c r="GH168" s="39"/>
      <c r="GI168" s="39"/>
      <c r="GJ168" s="39"/>
      <c r="GK168" s="39"/>
      <c r="GL168" s="39"/>
      <c r="GM168" s="39"/>
      <c r="GN168" s="39"/>
      <c r="GO168" s="39"/>
      <c r="GP168" s="39"/>
      <c r="GQ168" s="39"/>
      <c r="GR168" s="39"/>
      <c r="GS168" s="39"/>
      <c r="GT168" s="39"/>
      <c r="GU168" s="39"/>
      <c r="GV168" s="39"/>
      <c r="GW168" s="39"/>
      <c r="GX168" s="39"/>
      <c r="GY168" s="39"/>
      <c r="GZ168" s="39"/>
      <c r="HA168" s="39"/>
      <c r="HB168" s="39"/>
      <c r="HC168" s="39"/>
      <c r="HD168" s="39"/>
      <c r="HE168" s="39"/>
      <c r="HF168" s="39"/>
      <c r="HG168" s="39"/>
      <c r="HH168" s="39"/>
      <c r="HI168" s="39"/>
      <c r="HJ168" s="39"/>
      <c r="HK168" s="39"/>
      <c r="HL168" s="39"/>
      <c r="HM168" s="39"/>
      <c r="HN168" s="39"/>
      <c r="HO168" s="39"/>
      <c r="HP168" s="39"/>
      <c r="HQ168" s="39"/>
      <c r="HR168" s="39"/>
      <c r="HS168" s="39"/>
      <c r="HT168" s="39"/>
      <c r="HU168" s="39"/>
      <c r="HV168" s="39"/>
      <c r="HW168" s="39"/>
      <c r="HX168" s="39"/>
      <c r="HY168" s="39"/>
      <c r="HZ168" s="39"/>
      <c r="IA168" s="39"/>
      <c r="IB168" s="39"/>
      <c r="IC168" s="39"/>
      <c r="ID168" s="39"/>
      <c r="IE168" s="39"/>
      <c r="IF168" s="39"/>
      <c r="IG168" s="39"/>
      <c r="IH168" s="39"/>
      <c r="II168" s="39"/>
      <c r="IJ168" s="39"/>
      <c r="IK168" s="39"/>
      <c r="IL168" s="39"/>
      <c r="IM168" s="39"/>
      <c r="IN168" s="39"/>
      <c r="IO168" s="39"/>
      <c r="IP168" s="39"/>
      <c r="IQ168" s="39"/>
      <c r="IR168" s="39"/>
      <c r="IS168" s="39"/>
      <c r="IT168" s="39"/>
      <c r="IU168" s="39"/>
      <c r="IV168" s="39"/>
      <c r="IW168" s="39"/>
    </row>
    <row r="169" customFormat="false" ht="12.95" hidden="false" customHeight="true" outlineLevel="0" collapsed="false">
      <c r="A169" s="37" t="n">
        <f aca="false">+'CCs # Master'!A151</f>
        <v>11</v>
      </c>
      <c r="B169" s="99" t="str">
        <f aca="false">+'CCs # Master'!B151</f>
        <v>Human Resources Support Services</v>
      </c>
      <c r="C169" s="99" t="str">
        <f aca="false">+'CCs # Master'!C151</f>
        <v>Rizzi, K</v>
      </c>
      <c r="D169" s="37" t="n">
        <f aca="false">+'CCs # Master'!D151</f>
        <v>102742</v>
      </c>
      <c r="E169" s="39" t="n">
        <f aca="false">+'CCs # Master'!E151</f>
        <v>627</v>
      </c>
      <c r="F169" s="39" t="n">
        <f aca="false">+'CCs # Master'!F151</f>
        <v>18</v>
      </c>
      <c r="G169" s="39" t="n">
        <f aca="false">+'CCs # Master'!G151</f>
        <v>4</v>
      </c>
      <c r="H169" s="39" t="n">
        <f aca="false">+'CCs # Master'!H151</f>
        <v>25</v>
      </c>
      <c r="I169" s="39" t="n">
        <f aca="false">+'CCs # Master'!I151</f>
        <v>120</v>
      </c>
      <c r="J169" s="39" t="n">
        <f aca="false">+'CCs # Master'!J151</f>
        <v>-94</v>
      </c>
      <c r="K169" s="71" t="n">
        <f aca="false">SUM(E169:J169)</f>
        <v>700</v>
      </c>
      <c r="L169" s="39"/>
      <c r="M169" s="39" t="str">
        <f aca="false">+'CCs # Master'!M151</f>
        <v>MMF</v>
      </c>
      <c r="N169" s="39" t="n">
        <f aca="false">+'CCs # Master'!AW151</f>
        <v>700</v>
      </c>
      <c r="O169" s="39" t="n">
        <v>0</v>
      </c>
      <c r="P169" s="39" t="n">
        <f aca="false">+'CCs # Master'!N151</f>
        <v>0</v>
      </c>
      <c r="Q169" s="39" t="n">
        <f aca="false">+'CCs # Master'!O151</f>
        <v>0</v>
      </c>
      <c r="R169" s="39" t="n">
        <f aca="false">+'CCs # Master'!P151</f>
        <v>0</v>
      </c>
      <c r="S169" s="39" t="n">
        <f aca="false">+'CCs # Master'!Q151</f>
        <v>0</v>
      </c>
      <c r="T169" s="39" t="n">
        <f aca="false">+'CCs # Master'!R151</f>
        <v>0</v>
      </c>
      <c r="U169" s="39" t="n">
        <f aca="false">+'CCs # Master'!S151</f>
        <v>0</v>
      </c>
      <c r="V169" s="39" t="n">
        <f aca="false">+'CCs # Master'!T151</f>
        <v>0</v>
      </c>
      <c r="W169" s="39" t="n">
        <f aca="false">+'CCs # Master'!U151</f>
        <v>0</v>
      </c>
      <c r="X169" s="39" t="n">
        <f aca="false">+'CCs # Master'!V151</f>
        <v>0</v>
      </c>
      <c r="Y169" s="39" t="n">
        <f aca="false">+'CCs # Master'!W151</f>
        <v>0</v>
      </c>
      <c r="Z169" s="39" t="n">
        <f aca="false">+'CCs # Master'!X151</f>
        <v>0</v>
      </c>
      <c r="AA169" s="39" t="n">
        <f aca="false">+'CCs # Master'!Y151</f>
        <v>0</v>
      </c>
      <c r="AB169" s="39" t="n">
        <f aca="false">+'CCs # Master'!Z151</f>
        <v>0</v>
      </c>
      <c r="AC169" s="39" t="n">
        <f aca="false">+'CCs # Master'!AA151</f>
        <v>0</v>
      </c>
      <c r="AD169" s="39" t="n">
        <f aca="false">+'CCs # Master'!AB151</f>
        <v>0</v>
      </c>
      <c r="AE169" s="39" t="n">
        <f aca="false">+'CCs # Master'!AC151</f>
        <v>0</v>
      </c>
      <c r="AF169" s="39" t="n">
        <f aca="false">+'CCs # Master'!AD151</f>
        <v>0</v>
      </c>
      <c r="AG169" s="39" t="n">
        <f aca="false">+'CCs # Master'!AE151</f>
        <v>0</v>
      </c>
      <c r="AH169" s="39" t="n">
        <f aca="false">+'CCs # Master'!AF151</f>
        <v>0</v>
      </c>
      <c r="AI169" s="39" t="n">
        <f aca="false">+'CCs # Master'!AG151</f>
        <v>0</v>
      </c>
      <c r="AJ169" s="39" t="n">
        <f aca="false">+'CCs # Master'!AH151</f>
        <v>0</v>
      </c>
      <c r="AK169" s="39" t="n">
        <f aca="false">+'CCs # Master'!AI151</f>
        <v>0</v>
      </c>
      <c r="AL169" s="39" t="n">
        <f aca="false">+'CCs # Master'!AJ151</f>
        <v>0</v>
      </c>
      <c r="AM169" s="39" t="n">
        <f aca="false">+'CCs # Master'!AK151</f>
        <v>0</v>
      </c>
      <c r="AN169" s="39" t="n">
        <f aca="false">+'CCs # Master'!AL151</f>
        <v>0</v>
      </c>
      <c r="AO169" s="39" t="n">
        <f aca="false">+'CCs # Master'!AM151</f>
        <v>0</v>
      </c>
      <c r="AP169" s="39" t="n">
        <f aca="false">+'CCs # Master'!AN151</f>
        <v>0</v>
      </c>
      <c r="AQ169" s="39" t="n">
        <f aca="false">+'CCs # Master'!AO151</f>
        <v>0</v>
      </c>
      <c r="AR169" s="39" t="n">
        <f aca="false">+'CCs # Master'!AP151</f>
        <v>0</v>
      </c>
      <c r="AS169" s="39" t="n">
        <f aca="false">+'CCs # Master'!AQ151</f>
        <v>0</v>
      </c>
      <c r="AT169" s="39" t="n">
        <f aca="false">+'CCs # Master'!AR151</f>
        <v>0</v>
      </c>
      <c r="AU169" s="39" t="n">
        <f aca="false">+'CCs # Master'!AS151</f>
        <v>0</v>
      </c>
      <c r="AV169" s="39" t="n">
        <f aca="false">+'CCs # Master'!AT151</f>
        <v>0</v>
      </c>
      <c r="AW169" s="100"/>
      <c r="AX169" s="71" t="n">
        <f aca="false">SUM(N169:AW169)</f>
        <v>700</v>
      </c>
      <c r="AY169" s="71" t="n">
        <f aca="false">+K169-AX169</f>
        <v>0</v>
      </c>
      <c r="AZ169" s="39"/>
      <c r="BA169" s="39" t="n">
        <f aca="false">+P169+Q169+T169+U169+V169+W169+X169+Y169</f>
        <v>0</v>
      </c>
      <c r="BB169" s="39" t="n">
        <f aca="false">N169</f>
        <v>700</v>
      </c>
      <c r="BC169" s="39" t="n">
        <f aca="false">SUM(P169:AW169)</f>
        <v>0</v>
      </c>
      <c r="BD169" s="39"/>
      <c r="BE169" s="39" t="n">
        <f aca="false">SUM(BB169:BC169)</f>
        <v>700</v>
      </c>
      <c r="BF169" s="39"/>
      <c r="BG169" s="48" t="n">
        <f aca="false">SUM(N169:AW169)</f>
        <v>700</v>
      </c>
      <c r="BH169" s="39" t="n">
        <f aca="false">BE169-BG169</f>
        <v>0</v>
      </c>
      <c r="BI169" s="39"/>
      <c r="BJ169" s="39"/>
      <c r="BK169" s="39"/>
      <c r="BL169" s="39"/>
      <c r="BM169" s="39"/>
      <c r="BN169" s="39"/>
      <c r="BO169" s="39"/>
      <c r="BP169" s="39"/>
      <c r="BQ169" s="39"/>
      <c r="BR169" s="39"/>
      <c r="BS169" s="39"/>
      <c r="BT169" s="39"/>
      <c r="BU169" s="39"/>
      <c r="BV169" s="39"/>
      <c r="BW169" s="39"/>
      <c r="BX169" s="39"/>
      <c r="BY169" s="39"/>
      <c r="BZ169" s="39"/>
      <c r="CA169" s="39"/>
      <c r="CB169" s="39"/>
      <c r="CC169" s="39"/>
      <c r="CD169" s="39"/>
      <c r="CE169" s="39"/>
      <c r="CF169" s="39"/>
      <c r="CG169" s="39"/>
      <c r="CH169" s="39"/>
      <c r="CI169" s="39"/>
      <c r="CJ169" s="39"/>
      <c r="CK169" s="39"/>
      <c r="CL169" s="39"/>
      <c r="CM169" s="39"/>
      <c r="CN169" s="39"/>
      <c r="CO169" s="39"/>
      <c r="CP169" s="39"/>
      <c r="CQ169" s="39"/>
      <c r="CR169" s="39"/>
      <c r="CS169" s="39"/>
      <c r="CT169" s="39"/>
      <c r="CU169" s="39"/>
      <c r="CV169" s="39"/>
      <c r="CW169" s="39"/>
      <c r="CX169" s="39"/>
      <c r="CY169" s="39"/>
      <c r="CZ169" s="39"/>
      <c r="DA169" s="39"/>
      <c r="DB169" s="39"/>
      <c r="DC169" s="39"/>
      <c r="DD169" s="39"/>
      <c r="DE169" s="39"/>
      <c r="DF169" s="39"/>
      <c r="DG169" s="39"/>
      <c r="DH169" s="39"/>
      <c r="DI169" s="39"/>
      <c r="DJ169" s="39"/>
      <c r="DK169" s="39"/>
      <c r="DL169" s="39"/>
      <c r="DM169" s="39"/>
      <c r="DN169" s="39"/>
      <c r="DO169" s="39"/>
      <c r="DP169" s="39"/>
      <c r="DQ169" s="39"/>
      <c r="DR169" s="39"/>
      <c r="DS169" s="39"/>
      <c r="DT169" s="39"/>
      <c r="DU169" s="39"/>
      <c r="DV169" s="39"/>
      <c r="DW169" s="39"/>
      <c r="DX169" s="39"/>
      <c r="DY169" s="39"/>
      <c r="DZ169" s="39"/>
      <c r="EA169" s="39"/>
      <c r="EB169" s="39"/>
      <c r="EC169" s="39"/>
      <c r="ED169" s="39"/>
      <c r="EE169" s="39"/>
      <c r="EF169" s="39"/>
      <c r="EG169" s="39"/>
      <c r="EH169" s="39"/>
      <c r="EI169" s="39"/>
      <c r="EJ169" s="39"/>
      <c r="EK169" s="39"/>
      <c r="EL169" s="39"/>
      <c r="EM169" s="39"/>
      <c r="EN169" s="39"/>
      <c r="EO169" s="39"/>
      <c r="EP169" s="39"/>
      <c r="EQ169" s="39"/>
      <c r="ER169" s="39"/>
      <c r="ES169" s="39"/>
      <c r="ET169" s="39"/>
      <c r="EU169" s="39"/>
      <c r="EV169" s="39"/>
      <c r="EW169" s="39"/>
      <c r="EX169" s="39"/>
      <c r="EY169" s="39"/>
      <c r="EZ169" s="39"/>
      <c r="FA169" s="39"/>
      <c r="FB169" s="39"/>
      <c r="FC169" s="39"/>
      <c r="FD169" s="39"/>
      <c r="FE169" s="39"/>
      <c r="FF169" s="39"/>
      <c r="FG169" s="39"/>
      <c r="FH169" s="39"/>
      <c r="FI169" s="39"/>
      <c r="FJ169" s="39"/>
      <c r="FK169" s="39"/>
      <c r="FL169" s="39"/>
      <c r="FM169" s="39"/>
      <c r="FN169" s="39"/>
      <c r="FO169" s="39"/>
      <c r="FP169" s="39"/>
      <c r="FQ169" s="39"/>
      <c r="FR169" s="39"/>
      <c r="FS169" s="39"/>
      <c r="FT169" s="39"/>
      <c r="FU169" s="39"/>
      <c r="FV169" s="39"/>
      <c r="FW169" s="39"/>
      <c r="FX169" s="39"/>
      <c r="FY169" s="39"/>
      <c r="FZ169" s="39"/>
      <c r="GA169" s="39"/>
      <c r="GB169" s="39"/>
      <c r="GC169" s="39"/>
      <c r="GD169" s="39"/>
      <c r="GE169" s="39"/>
      <c r="GF169" s="39"/>
      <c r="GG169" s="39"/>
      <c r="GH169" s="39"/>
      <c r="GI169" s="39"/>
      <c r="GJ169" s="39"/>
      <c r="GK169" s="39"/>
      <c r="GL169" s="39"/>
      <c r="GM169" s="39"/>
      <c r="GN169" s="39"/>
      <c r="GO169" s="39"/>
      <c r="GP169" s="39"/>
      <c r="GQ169" s="39"/>
      <c r="GR169" s="39"/>
      <c r="GS169" s="39"/>
      <c r="GT169" s="39"/>
      <c r="GU169" s="39"/>
      <c r="GV169" s="39"/>
      <c r="GW169" s="39"/>
      <c r="GX169" s="39"/>
      <c r="GY169" s="39"/>
      <c r="GZ169" s="39"/>
      <c r="HA169" s="39"/>
      <c r="HB169" s="39"/>
      <c r="HC169" s="39"/>
      <c r="HD169" s="39"/>
      <c r="HE169" s="39"/>
      <c r="HF169" s="39"/>
      <c r="HG169" s="39"/>
      <c r="HH169" s="39"/>
      <c r="HI169" s="39"/>
      <c r="HJ169" s="39"/>
      <c r="HK169" s="39"/>
      <c r="HL169" s="39"/>
      <c r="HM169" s="39"/>
      <c r="HN169" s="39"/>
      <c r="HO169" s="39"/>
      <c r="HP169" s="39"/>
      <c r="HQ169" s="39"/>
      <c r="HR169" s="39"/>
      <c r="HS169" s="39"/>
      <c r="HT169" s="39"/>
      <c r="HU169" s="39"/>
      <c r="HV169" s="39"/>
      <c r="HW169" s="39"/>
      <c r="HX169" s="39"/>
      <c r="HY169" s="39"/>
      <c r="HZ169" s="39"/>
      <c r="IA169" s="39"/>
      <c r="IB169" s="39"/>
      <c r="IC169" s="39"/>
      <c r="ID169" s="39"/>
      <c r="IE169" s="39"/>
      <c r="IF169" s="39"/>
      <c r="IG169" s="39"/>
      <c r="IH169" s="39"/>
      <c r="II169" s="39"/>
      <c r="IJ169" s="39"/>
      <c r="IK169" s="39"/>
      <c r="IL169" s="39"/>
      <c r="IM169" s="39"/>
      <c r="IN169" s="39"/>
      <c r="IO169" s="39"/>
      <c r="IP169" s="39"/>
      <c r="IQ169" s="39"/>
      <c r="IR169" s="39"/>
      <c r="IS169" s="39"/>
      <c r="IT169" s="39"/>
      <c r="IU169" s="39"/>
      <c r="IV169" s="39"/>
      <c r="IW169" s="39"/>
    </row>
    <row r="170" customFormat="false" ht="12.95" hidden="false" customHeight="true" outlineLevel="0" collapsed="false">
      <c r="A170" s="37" t="n">
        <f aca="false">+'CCs # Master'!A153</f>
        <v>11</v>
      </c>
      <c r="B170" s="99" t="str">
        <f aca="false">+'CCs # Master'!B153</f>
        <v>Global Compensation</v>
      </c>
      <c r="C170" s="99" t="str">
        <f aca="false">+'CCs # Master'!C153</f>
        <v>Knudsen, S</v>
      </c>
      <c r="D170" s="37" t="n">
        <f aca="false">+'CCs # Master'!D153</f>
        <v>102777</v>
      </c>
      <c r="E170" s="39" t="n">
        <f aca="false">+'CCs # Master'!E153</f>
        <v>17</v>
      </c>
      <c r="F170" s="39" t="n">
        <f aca="false">+'CCs # Master'!F153</f>
        <v>0</v>
      </c>
      <c r="G170" s="39" t="n">
        <f aca="false">+'CCs # Master'!G153</f>
        <v>6</v>
      </c>
      <c r="H170" s="39" t="n">
        <f aca="false">+'CCs # Master'!H153</f>
        <v>0</v>
      </c>
      <c r="I170" s="39" t="n">
        <f aca="false">+'CCs # Master'!I153</f>
        <v>2</v>
      </c>
      <c r="J170" s="39" t="n">
        <f aca="false">+'CCs # Master'!J153</f>
        <v>1</v>
      </c>
      <c r="K170" s="71" t="n">
        <f aca="false">SUM(E170:J170)</f>
        <v>26</v>
      </c>
      <c r="L170" s="39"/>
      <c r="M170" s="39" t="str">
        <f aca="false">+'CCs # Master'!M153</f>
        <v>% of Global Headcount</v>
      </c>
      <c r="N170" s="39" t="n">
        <f aca="false">+'CCs # Master'!AW153</f>
        <v>2</v>
      </c>
      <c r="O170" s="39" t="n">
        <v>0</v>
      </c>
      <c r="P170" s="39" t="n">
        <f aca="false">+'CCs # Master'!N153</f>
        <v>0</v>
      </c>
      <c r="Q170" s="39" t="n">
        <f aca="false">+'CCs # Master'!O153</f>
        <v>0</v>
      </c>
      <c r="R170" s="39" t="n">
        <f aca="false">+'CCs # Master'!P153</f>
        <v>1</v>
      </c>
      <c r="S170" s="39" t="n">
        <f aca="false">+'CCs # Master'!Q153</f>
        <v>1</v>
      </c>
      <c r="T170" s="39" t="n">
        <f aca="false">+'CCs # Master'!R153</f>
        <v>0</v>
      </c>
      <c r="U170" s="39" t="n">
        <f aca="false">+'CCs # Master'!S153</f>
        <v>0</v>
      </c>
      <c r="V170" s="39" t="n">
        <f aca="false">+'CCs # Master'!T153</f>
        <v>0</v>
      </c>
      <c r="W170" s="39" t="n">
        <f aca="false">+'CCs # Master'!U153</f>
        <v>2</v>
      </c>
      <c r="X170" s="39" t="n">
        <f aca="false">+'CCs # Master'!V153</f>
        <v>1</v>
      </c>
      <c r="Y170" s="39" t="n">
        <f aca="false">+'CCs # Master'!W153</f>
        <v>0</v>
      </c>
      <c r="Z170" s="39" t="n">
        <f aca="false">+'CCs # Master'!X153</f>
        <v>4</v>
      </c>
      <c r="AA170" s="39" t="n">
        <f aca="false">+'CCs # Master'!Y153</f>
        <v>0</v>
      </c>
      <c r="AB170" s="39" t="n">
        <f aca="false">+'CCs # Master'!Z153</f>
        <v>0</v>
      </c>
      <c r="AC170" s="39" t="n">
        <f aca="false">+'CCs # Master'!AA153</f>
        <v>0</v>
      </c>
      <c r="AD170" s="39" t="n">
        <f aca="false">+'CCs # Master'!AB153</f>
        <v>3</v>
      </c>
      <c r="AE170" s="39" t="n">
        <f aca="false">+'CCs # Master'!AC153</f>
        <v>0</v>
      </c>
      <c r="AF170" s="39" t="n">
        <f aca="false">+'CCs # Master'!AD153</f>
        <v>4</v>
      </c>
      <c r="AG170" s="39" t="n">
        <f aca="false">+'CCs # Master'!AE153</f>
        <v>3</v>
      </c>
      <c r="AH170" s="39" t="n">
        <f aca="false">+'CCs # Master'!AF153</f>
        <v>2</v>
      </c>
      <c r="AI170" s="39" t="n">
        <f aca="false">+'CCs # Master'!AG153</f>
        <v>0</v>
      </c>
      <c r="AJ170" s="39" t="n">
        <f aca="false">+'CCs # Master'!AH153</f>
        <v>0</v>
      </c>
      <c r="AK170" s="39" t="n">
        <f aca="false">+'CCs # Master'!AI153</f>
        <v>0</v>
      </c>
      <c r="AL170" s="39" t="n">
        <f aca="false">+'CCs # Master'!AJ153</f>
        <v>1</v>
      </c>
      <c r="AM170" s="39" t="n">
        <f aca="false">+'CCs # Master'!AK153</f>
        <v>0</v>
      </c>
      <c r="AN170" s="39" t="n">
        <f aca="false">+'CCs # Master'!AL153</f>
        <v>0</v>
      </c>
      <c r="AO170" s="39" t="n">
        <f aca="false">+'CCs # Master'!AM153</f>
        <v>1</v>
      </c>
      <c r="AP170" s="39" t="n">
        <f aca="false">+'CCs # Master'!AN153</f>
        <v>0</v>
      </c>
      <c r="AQ170" s="39" t="n">
        <f aca="false">+'CCs # Master'!AO153</f>
        <v>1</v>
      </c>
      <c r="AR170" s="39" t="n">
        <f aca="false">+'CCs # Master'!AP153</f>
        <v>0</v>
      </c>
      <c r="AS170" s="39" t="n">
        <f aca="false">+'CCs # Master'!AQ153</f>
        <v>0</v>
      </c>
      <c r="AT170" s="39" t="n">
        <f aca="false">+'CCs # Master'!AR153</f>
        <v>0</v>
      </c>
      <c r="AU170" s="39" t="n">
        <f aca="false">+'CCs # Master'!AS153</f>
        <v>0</v>
      </c>
      <c r="AV170" s="39" t="n">
        <f aca="false">+'CCs # Master'!AT153</f>
        <v>0</v>
      </c>
      <c r="AW170" s="100"/>
      <c r="AX170" s="71" t="n">
        <f aca="false">SUM(N170:AW170)</f>
        <v>26</v>
      </c>
      <c r="AY170" s="71" t="n">
        <f aca="false">+K170-AX170</f>
        <v>0</v>
      </c>
      <c r="AZ170" s="39"/>
      <c r="BA170" s="39" t="n">
        <f aca="false">+P170+Q170+T170+U170+V170+W170+X170+Y170</f>
        <v>3</v>
      </c>
      <c r="BB170" s="39" t="n">
        <f aca="false">N170</f>
        <v>2</v>
      </c>
      <c r="BC170" s="39" t="n">
        <f aca="false">SUM(P170:AW170)</f>
        <v>24</v>
      </c>
      <c r="BD170" s="39"/>
      <c r="BE170" s="39" t="n">
        <f aca="false">SUM(BB170:BC170)</f>
        <v>26</v>
      </c>
      <c r="BF170" s="39"/>
      <c r="BG170" s="48" t="n">
        <f aca="false">SUM(N170:AW170)</f>
        <v>26</v>
      </c>
      <c r="BH170" s="39" t="n">
        <f aca="false">BE170-BG170</f>
        <v>0</v>
      </c>
      <c r="BI170" s="39"/>
      <c r="BJ170" s="39"/>
      <c r="BK170" s="39"/>
      <c r="BL170" s="39"/>
      <c r="BM170" s="39"/>
      <c r="BN170" s="39"/>
      <c r="BO170" s="39"/>
      <c r="BP170" s="39"/>
      <c r="BQ170" s="39"/>
      <c r="BR170" s="39"/>
      <c r="BS170" s="39"/>
      <c r="BT170" s="39"/>
      <c r="BU170" s="39"/>
      <c r="BV170" s="39"/>
      <c r="BW170" s="39"/>
      <c r="BX170" s="39"/>
      <c r="BY170" s="39"/>
      <c r="BZ170" s="39"/>
      <c r="CA170" s="39"/>
      <c r="CB170" s="39"/>
      <c r="CC170" s="39"/>
      <c r="CD170" s="39"/>
      <c r="CE170" s="39"/>
      <c r="CF170" s="39"/>
      <c r="CG170" s="39"/>
      <c r="CH170" s="39"/>
      <c r="CI170" s="39"/>
      <c r="CJ170" s="39"/>
      <c r="CK170" s="39"/>
      <c r="CL170" s="39"/>
      <c r="CM170" s="39"/>
      <c r="CN170" s="39"/>
      <c r="CO170" s="39"/>
      <c r="CP170" s="39"/>
      <c r="CQ170" s="39"/>
      <c r="CR170" s="39"/>
      <c r="CS170" s="39"/>
      <c r="CT170" s="39"/>
      <c r="CU170" s="39"/>
      <c r="CV170" s="39"/>
      <c r="CW170" s="39"/>
      <c r="CX170" s="39"/>
      <c r="CY170" s="39"/>
      <c r="CZ170" s="39"/>
      <c r="DA170" s="39"/>
      <c r="DB170" s="39"/>
      <c r="DC170" s="39"/>
      <c r="DD170" s="39"/>
      <c r="DE170" s="39"/>
      <c r="DF170" s="39"/>
      <c r="DG170" s="39"/>
      <c r="DH170" s="39"/>
      <c r="DI170" s="39"/>
      <c r="DJ170" s="39"/>
      <c r="DK170" s="39"/>
      <c r="DL170" s="39"/>
      <c r="DM170" s="39"/>
      <c r="DN170" s="39"/>
      <c r="DO170" s="39"/>
      <c r="DP170" s="39"/>
      <c r="DQ170" s="39"/>
      <c r="DR170" s="39"/>
      <c r="DS170" s="39"/>
      <c r="DT170" s="39"/>
      <c r="DU170" s="39"/>
      <c r="DV170" s="39"/>
      <c r="DW170" s="39"/>
      <c r="DX170" s="39"/>
      <c r="DY170" s="39"/>
      <c r="DZ170" s="39"/>
      <c r="EA170" s="39"/>
      <c r="EB170" s="39"/>
      <c r="EC170" s="39"/>
      <c r="ED170" s="39"/>
      <c r="EE170" s="39"/>
      <c r="EF170" s="39"/>
      <c r="EG170" s="39"/>
      <c r="EH170" s="39"/>
      <c r="EI170" s="39"/>
      <c r="EJ170" s="39"/>
      <c r="EK170" s="39"/>
      <c r="EL170" s="39"/>
      <c r="EM170" s="39"/>
      <c r="EN170" s="39"/>
      <c r="EO170" s="39"/>
      <c r="EP170" s="39"/>
      <c r="EQ170" s="39"/>
      <c r="ER170" s="39"/>
      <c r="ES170" s="39"/>
      <c r="ET170" s="39"/>
      <c r="EU170" s="39"/>
      <c r="EV170" s="39"/>
      <c r="EW170" s="39"/>
      <c r="EX170" s="39"/>
      <c r="EY170" s="39"/>
      <c r="EZ170" s="39"/>
      <c r="FA170" s="39"/>
      <c r="FB170" s="39"/>
      <c r="FC170" s="39"/>
      <c r="FD170" s="39"/>
      <c r="FE170" s="39"/>
      <c r="FF170" s="39"/>
      <c r="FG170" s="39"/>
      <c r="FH170" s="39"/>
      <c r="FI170" s="39"/>
      <c r="FJ170" s="39"/>
      <c r="FK170" s="39"/>
      <c r="FL170" s="39"/>
      <c r="FM170" s="39"/>
      <c r="FN170" s="39"/>
      <c r="FO170" s="39"/>
      <c r="FP170" s="39"/>
      <c r="FQ170" s="39"/>
      <c r="FR170" s="39"/>
      <c r="FS170" s="39"/>
      <c r="FT170" s="39"/>
      <c r="FU170" s="39"/>
      <c r="FV170" s="39"/>
      <c r="FW170" s="39"/>
      <c r="FX170" s="39"/>
      <c r="FY170" s="39"/>
      <c r="FZ170" s="39"/>
      <c r="GA170" s="39"/>
      <c r="GB170" s="39"/>
      <c r="GC170" s="39"/>
      <c r="GD170" s="39"/>
      <c r="GE170" s="39"/>
      <c r="GF170" s="39"/>
      <c r="GG170" s="39"/>
      <c r="GH170" s="39"/>
      <c r="GI170" s="39"/>
      <c r="GJ170" s="39"/>
      <c r="GK170" s="39"/>
      <c r="GL170" s="39"/>
      <c r="GM170" s="39"/>
      <c r="GN170" s="39"/>
      <c r="GO170" s="39"/>
      <c r="GP170" s="39"/>
      <c r="GQ170" s="39"/>
      <c r="GR170" s="39"/>
      <c r="GS170" s="39"/>
      <c r="GT170" s="39"/>
      <c r="GU170" s="39"/>
      <c r="GV170" s="39"/>
      <c r="GW170" s="39"/>
      <c r="GX170" s="39"/>
      <c r="GY170" s="39"/>
      <c r="GZ170" s="39"/>
      <c r="HA170" s="39"/>
      <c r="HB170" s="39"/>
      <c r="HC170" s="39"/>
      <c r="HD170" s="39"/>
      <c r="HE170" s="39"/>
      <c r="HF170" s="39"/>
      <c r="HG170" s="39"/>
      <c r="HH170" s="39"/>
      <c r="HI170" s="39"/>
      <c r="HJ170" s="39"/>
      <c r="HK170" s="39"/>
      <c r="HL170" s="39"/>
      <c r="HM170" s="39"/>
      <c r="HN170" s="39"/>
      <c r="HO170" s="39"/>
      <c r="HP170" s="39"/>
      <c r="HQ170" s="39"/>
      <c r="HR170" s="39"/>
      <c r="HS170" s="39"/>
      <c r="HT170" s="39"/>
      <c r="HU170" s="39"/>
      <c r="HV170" s="39"/>
      <c r="HW170" s="39"/>
      <c r="HX170" s="39"/>
      <c r="HY170" s="39"/>
      <c r="HZ170" s="39"/>
      <c r="IA170" s="39"/>
      <c r="IB170" s="39"/>
      <c r="IC170" s="39"/>
      <c r="ID170" s="39"/>
      <c r="IE170" s="39"/>
      <c r="IF170" s="39"/>
      <c r="IG170" s="39"/>
      <c r="IH170" s="39"/>
      <c r="II170" s="39"/>
      <c r="IJ170" s="39"/>
      <c r="IK170" s="39"/>
      <c r="IL170" s="39"/>
      <c r="IM170" s="39"/>
      <c r="IN170" s="39"/>
      <c r="IO170" s="39"/>
      <c r="IP170" s="39"/>
      <c r="IQ170" s="39"/>
      <c r="IR170" s="39"/>
      <c r="IS170" s="39"/>
      <c r="IT170" s="39"/>
      <c r="IU170" s="39"/>
      <c r="IV170" s="39"/>
      <c r="IW170" s="39"/>
    </row>
    <row r="171" customFormat="false" ht="12.95" hidden="false" customHeight="true" outlineLevel="0" collapsed="false">
      <c r="A171" s="37" t="n">
        <f aca="false">+'CCs # Master'!A154</f>
        <v>11</v>
      </c>
      <c r="B171" s="99" t="str">
        <f aca="false">+'CCs # Master'!B154</f>
        <v>Government Programs</v>
      </c>
      <c r="C171" s="99" t="str">
        <f aca="false">+'CCs # Master'!C154</f>
        <v>Schaffer, B</v>
      </c>
      <c r="D171" s="37" t="n">
        <f aca="false">+'CCs # Master'!D154</f>
        <v>102780</v>
      </c>
      <c r="E171" s="39" t="n">
        <f aca="false">+'CCs # Master'!E154</f>
        <v>289</v>
      </c>
      <c r="F171" s="39" t="n">
        <f aca="false">+'CCs # Master'!F154</f>
        <v>56</v>
      </c>
      <c r="G171" s="39" t="n">
        <f aca="false">+'CCs # Master'!G154</f>
        <v>1</v>
      </c>
      <c r="H171" s="39" t="n">
        <f aca="false">+'CCs # Master'!H154</f>
        <v>25</v>
      </c>
      <c r="I171" s="39" t="n">
        <f aca="false">+'CCs # Master'!I154</f>
        <v>63</v>
      </c>
      <c r="J171" s="39" t="n">
        <f aca="false">+'CCs # Master'!J154</f>
        <v>7</v>
      </c>
      <c r="K171" s="71" t="n">
        <f aca="false">SUM(E171:J171)</f>
        <v>441</v>
      </c>
      <c r="L171" s="39"/>
      <c r="M171" s="39" t="str">
        <f aca="false">+'CCs # Master'!M154</f>
        <v>% of Domestic Headcount</v>
      </c>
      <c r="N171" s="39" t="n">
        <f aca="false">+'CCs # Master'!AW154</f>
        <v>45</v>
      </c>
      <c r="O171" s="39" t="n">
        <v>0</v>
      </c>
      <c r="P171" s="39" t="n">
        <f aca="false">+'CCs # Master'!N154</f>
        <v>7</v>
      </c>
      <c r="Q171" s="39" t="n">
        <f aca="false">+'CCs # Master'!O154</f>
        <v>13</v>
      </c>
      <c r="R171" s="39" t="n">
        <f aca="false">+'CCs # Master'!P154</f>
        <v>14</v>
      </c>
      <c r="S171" s="39" t="n">
        <f aca="false">+'CCs # Master'!Q154</f>
        <v>15</v>
      </c>
      <c r="T171" s="39" t="n">
        <f aca="false">+'CCs # Master'!R154</f>
        <v>1</v>
      </c>
      <c r="U171" s="39" t="n">
        <f aca="false">+'CCs # Master'!S154</f>
        <v>0</v>
      </c>
      <c r="V171" s="39" t="n">
        <f aca="false">+'CCs # Master'!T154</f>
        <v>8</v>
      </c>
      <c r="W171" s="39" t="n">
        <f aca="false">+'CCs # Master'!U154</f>
        <v>51</v>
      </c>
      <c r="X171" s="39" t="n">
        <f aca="false">+'CCs # Master'!V154</f>
        <v>12</v>
      </c>
      <c r="Y171" s="39" t="n">
        <f aca="false">+'CCs # Master'!W154</f>
        <v>0</v>
      </c>
      <c r="Z171" s="39" t="n">
        <f aca="false">+'CCs # Master'!X154</f>
        <v>73</v>
      </c>
      <c r="AA171" s="39" t="n">
        <f aca="false">+'CCs # Master'!Y154</f>
        <v>1</v>
      </c>
      <c r="AB171" s="39" t="n">
        <f aca="false">+'CCs # Master'!Z154</f>
        <v>8</v>
      </c>
      <c r="AC171" s="39" t="n">
        <f aca="false">+'CCs # Master'!AA154</f>
        <v>2</v>
      </c>
      <c r="AD171" s="39" t="n">
        <f aca="false">+'CCs # Master'!AB154</f>
        <v>0</v>
      </c>
      <c r="AE171" s="39" t="n">
        <f aca="false">+'CCs # Master'!AC154</f>
        <v>3</v>
      </c>
      <c r="AF171" s="39" t="n">
        <f aca="false">+'CCs # Master'!AD154</f>
        <v>64</v>
      </c>
      <c r="AG171" s="39" t="n">
        <f aca="false">+'CCs # Master'!AE154</f>
        <v>51</v>
      </c>
      <c r="AH171" s="39" t="n">
        <f aca="false">+'CCs # Master'!AF154</f>
        <v>1</v>
      </c>
      <c r="AI171" s="39" t="n">
        <f aca="false">+'CCs # Master'!AG154</f>
        <v>0</v>
      </c>
      <c r="AJ171" s="39" t="n">
        <f aca="false">+'CCs # Master'!AH154</f>
        <v>4</v>
      </c>
      <c r="AK171" s="39" t="n">
        <f aca="false">+'CCs # Master'!AI154</f>
        <v>3</v>
      </c>
      <c r="AL171" s="39" t="n">
        <f aca="false">+'CCs # Master'!AJ154</f>
        <v>2</v>
      </c>
      <c r="AM171" s="39" t="n">
        <f aca="false">+'CCs # Master'!AK154</f>
        <v>4</v>
      </c>
      <c r="AN171" s="39" t="n">
        <f aca="false">+'CCs # Master'!AL154</f>
        <v>2</v>
      </c>
      <c r="AO171" s="39" t="n">
        <f aca="false">+'CCs # Master'!AM154</f>
        <v>33</v>
      </c>
      <c r="AP171" s="39" t="n">
        <f aca="false">+'CCs # Master'!AN154</f>
        <v>0</v>
      </c>
      <c r="AQ171" s="39" t="n">
        <f aca="false">+'CCs # Master'!AO154</f>
        <v>19</v>
      </c>
      <c r="AR171" s="39" t="n">
        <f aca="false">+'CCs # Master'!AP154</f>
        <v>5</v>
      </c>
      <c r="AS171" s="39" t="n">
        <f aca="false">+'CCs # Master'!AQ154</f>
        <v>0</v>
      </c>
      <c r="AT171" s="39" t="n">
        <f aca="false">+'CCs # Master'!AR154</f>
        <v>0</v>
      </c>
      <c r="AU171" s="39" t="n">
        <f aca="false">+'CCs # Master'!AS154</f>
        <v>0</v>
      </c>
      <c r="AV171" s="39" t="n">
        <f aca="false">+'CCs # Master'!AT154</f>
        <v>0</v>
      </c>
      <c r="AW171" s="100"/>
      <c r="AX171" s="71" t="n">
        <f aca="false">SUM(N171:AW171)</f>
        <v>441</v>
      </c>
      <c r="AY171" s="71" t="n">
        <f aca="false">+K171-AX171</f>
        <v>0</v>
      </c>
      <c r="AZ171" s="39"/>
      <c r="BA171" s="39" t="n">
        <f aca="false">+P171+Q171+T171+U171+V171+W171+X171+Y171</f>
        <v>92</v>
      </c>
      <c r="BB171" s="39" t="n">
        <f aca="false">N171</f>
        <v>45</v>
      </c>
      <c r="BC171" s="39" t="n">
        <f aca="false">SUM(P171:AW171)</f>
        <v>396</v>
      </c>
      <c r="BD171" s="39"/>
      <c r="BE171" s="39" t="n">
        <f aca="false">SUM(BB171:BC171)</f>
        <v>441</v>
      </c>
      <c r="BF171" s="39"/>
      <c r="BG171" s="48" t="n">
        <f aca="false">SUM(N171:AW171)</f>
        <v>441</v>
      </c>
      <c r="BH171" s="39" t="n">
        <f aca="false">BE171-BG171</f>
        <v>0</v>
      </c>
      <c r="BI171" s="39"/>
      <c r="BJ171" s="39"/>
      <c r="BK171" s="39"/>
      <c r="BL171" s="39"/>
      <c r="BM171" s="39"/>
      <c r="BN171" s="39"/>
      <c r="BO171" s="39"/>
      <c r="BP171" s="39"/>
      <c r="BQ171" s="39"/>
      <c r="BR171" s="39"/>
      <c r="BS171" s="39"/>
      <c r="BT171" s="39"/>
      <c r="BU171" s="39"/>
      <c r="BV171" s="39"/>
      <c r="BW171" s="39"/>
      <c r="BX171" s="39"/>
      <c r="BY171" s="39"/>
      <c r="BZ171" s="39"/>
      <c r="CA171" s="39"/>
      <c r="CB171" s="39"/>
      <c r="CC171" s="39"/>
      <c r="CD171" s="39"/>
      <c r="CE171" s="39"/>
      <c r="CF171" s="39"/>
      <c r="CG171" s="39"/>
      <c r="CH171" s="39"/>
      <c r="CI171" s="39"/>
      <c r="CJ171" s="39"/>
      <c r="CK171" s="39"/>
      <c r="CL171" s="39"/>
      <c r="CM171" s="39"/>
      <c r="CN171" s="39"/>
      <c r="CO171" s="39"/>
      <c r="CP171" s="39"/>
      <c r="CQ171" s="39"/>
      <c r="CR171" s="39"/>
      <c r="CS171" s="39"/>
      <c r="CT171" s="39"/>
      <c r="CU171" s="39"/>
      <c r="CV171" s="39"/>
      <c r="CW171" s="39"/>
      <c r="CX171" s="39"/>
      <c r="CY171" s="39"/>
      <c r="CZ171" s="39"/>
      <c r="DA171" s="39"/>
      <c r="DB171" s="39"/>
      <c r="DC171" s="39"/>
      <c r="DD171" s="39"/>
      <c r="DE171" s="39"/>
      <c r="DF171" s="39"/>
      <c r="DG171" s="39"/>
      <c r="DH171" s="39"/>
      <c r="DI171" s="39"/>
      <c r="DJ171" s="39"/>
      <c r="DK171" s="39"/>
      <c r="DL171" s="39"/>
      <c r="DM171" s="39"/>
      <c r="DN171" s="39"/>
      <c r="DO171" s="39"/>
      <c r="DP171" s="39"/>
      <c r="DQ171" s="39"/>
      <c r="DR171" s="39"/>
      <c r="DS171" s="39"/>
      <c r="DT171" s="39"/>
      <c r="DU171" s="39"/>
      <c r="DV171" s="39"/>
      <c r="DW171" s="39"/>
      <c r="DX171" s="39"/>
      <c r="DY171" s="39"/>
      <c r="DZ171" s="39"/>
      <c r="EA171" s="39"/>
      <c r="EB171" s="39"/>
      <c r="EC171" s="39"/>
      <c r="ED171" s="39"/>
      <c r="EE171" s="39"/>
      <c r="EF171" s="39"/>
      <c r="EG171" s="39"/>
      <c r="EH171" s="39"/>
      <c r="EI171" s="39"/>
      <c r="EJ171" s="39"/>
      <c r="EK171" s="39"/>
      <c r="EL171" s="39"/>
      <c r="EM171" s="39"/>
      <c r="EN171" s="39"/>
      <c r="EO171" s="39"/>
      <c r="EP171" s="39"/>
      <c r="EQ171" s="39"/>
      <c r="ER171" s="39"/>
      <c r="ES171" s="39"/>
      <c r="ET171" s="39"/>
      <c r="EU171" s="39"/>
      <c r="EV171" s="39"/>
      <c r="EW171" s="39"/>
      <c r="EX171" s="39"/>
      <c r="EY171" s="39"/>
      <c r="EZ171" s="39"/>
      <c r="FA171" s="39"/>
      <c r="FB171" s="39"/>
      <c r="FC171" s="39"/>
      <c r="FD171" s="39"/>
      <c r="FE171" s="39"/>
      <c r="FF171" s="39"/>
      <c r="FG171" s="39"/>
      <c r="FH171" s="39"/>
      <c r="FI171" s="39"/>
      <c r="FJ171" s="39"/>
      <c r="FK171" s="39"/>
      <c r="FL171" s="39"/>
      <c r="FM171" s="39"/>
      <c r="FN171" s="39"/>
      <c r="FO171" s="39"/>
      <c r="FP171" s="39"/>
      <c r="FQ171" s="39"/>
      <c r="FR171" s="39"/>
      <c r="FS171" s="39"/>
      <c r="FT171" s="39"/>
      <c r="FU171" s="39"/>
      <c r="FV171" s="39"/>
      <c r="FW171" s="39"/>
      <c r="FX171" s="39"/>
      <c r="FY171" s="39"/>
      <c r="FZ171" s="39"/>
      <c r="GA171" s="39"/>
      <c r="GB171" s="39"/>
      <c r="GC171" s="39"/>
      <c r="GD171" s="39"/>
      <c r="GE171" s="39"/>
      <c r="GF171" s="39"/>
      <c r="GG171" s="39"/>
      <c r="GH171" s="39"/>
      <c r="GI171" s="39"/>
      <c r="GJ171" s="39"/>
      <c r="GK171" s="39"/>
      <c r="GL171" s="39"/>
      <c r="GM171" s="39"/>
      <c r="GN171" s="39"/>
      <c r="GO171" s="39"/>
      <c r="GP171" s="39"/>
      <c r="GQ171" s="39"/>
      <c r="GR171" s="39"/>
      <c r="GS171" s="39"/>
      <c r="GT171" s="39"/>
      <c r="GU171" s="39"/>
      <c r="GV171" s="39"/>
      <c r="GW171" s="39"/>
      <c r="GX171" s="39"/>
      <c r="GY171" s="39"/>
      <c r="GZ171" s="39"/>
      <c r="HA171" s="39"/>
      <c r="HB171" s="39"/>
      <c r="HC171" s="39"/>
      <c r="HD171" s="39"/>
      <c r="HE171" s="39"/>
      <c r="HF171" s="39"/>
      <c r="HG171" s="39"/>
      <c r="HH171" s="39"/>
      <c r="HI171" s="39"/>
      <c r="HJ171" s="39"/>
      <c r="HK171" s="39"/>
      <c r="HL171" s="39"/>
      <c r="HM171" s="39"/>
      <c r="HN171" s="39"/>
      <c r="HO171" s="39"/>
      <c r="HP171" s="39"/>
      <c r="HQ171" s="39"/>
      <c r="HR171" s="39"/>
      <c r="HS171" s="39"/>
      <c r="HT171" s="39"/>
      <c r="HU171" s="39"/>
      <c r="HV171" s="39"/>
      <c r="HW171" s="39"/>
      <c r="HX171" s="39"/>
      <c r="HY171" s="39"/>
      <c r="HZ171" s="39"/>
      <c r="IA171" s="39"/>
      <c r="IB171" s="39"/>
      <c r="IC171" s="39"/>
      <c r="ID171" s="39"/>
      <c r="IE171" s="39"/>
      <c r="IF171" s="39"/>
      <c r="IG171" s="39"/>
      <c r="IH171" s="39"/>
      <c r="II171" s="39"/>
      <c r="IJ171" s="39"/>
      <c r="IK171" s="39"/>
      <c r="IL171" s="39"/>
      <c r="IM171" s="39"/>
      <c r="IN171" s="39"/>
      <c r="IO171" s="39"/>
      <c r="IP171" s="39"/>
      <c r="IQ171" s="39"/>
      <c r="IR171" s="39"/>
      <c r="IS171" s="39"/>
      <c r="IT171" s="39"/>
      <c r="IU171" s="39"/>
      <c r="IV171" s="39"/>
      <c r="IW171" s="39"/>
    </row>
    <row r="172" customFormat="false" ht="12.95" hidden="false" customHeight="true" outlineLevel="0" collapsed="false">
      <c r="A172" s="37" t="n">
        <f aca="false">+'CCs # Master'!A155</f>
        <v>11</v>
      </c>
      <c r="B172" s="99" t="str">
        <f aca="false">+'CCs # Master'!B155</f>
        <v>Employee Relations</v>
      </c>
      <c r="C172" s="99" t="str">
        <f aca="false">+'CCs # Master'!C155</f>
        <v>Schaffer, B</v>
      </c>
      <c r="D172" s="37" t="n">
        <f aca="false">+'CCs # Master'!D155</f>
        <v>102781</v>
      </c>
      <c r="E172" s="39" t="n">
        <f aca="false">+'CCs # Master'!E155</f>
        <v>218</v>
      </c>
      <c r="F172" s="39" t="n">
        <f aca="false">+'CCs # Master'!F155</f>
        <v>29</v>
      </c>
      <c r="G172" s="39" t="n">
        <f aca="false">+'CCs # Master'!G155</f>
        <v>1</v>
      </c>
      <c r="H172" s="39" t="n">
        <f aca="false">+'CCs # Master'!H155</f>
        <v>5</v>
      </c>
      <c r="I172" s="39" t="n">
        <f aca="false">+'CCs # Master'!I155</f>
        <v>42</v>
      </c>
      <c r="J172" s="39" t="n">
        <f aca="false">+'CCs # Master'!J155</f>
        <v>4</v>
      </c>
      <c r="K172" s="71" t="n">
        <f aca="false">SUM(E172:J172)</f>
        <v>299</v>
      </c>
      <c r="L172" s="39"/>
      <c r="M172" s="39" t="str">
        <f aca="false">+'CCs # Master'!M155</f>
        <v>% of Domestic Headcount</v>
      </c>
      <c r="N172" s="39" t="n">
        <f aca="false">+'CCs # Master'!AW155</f>
        <v>31</v>
      </c>
      <c r="O172" s="39" t="n">
        <v>0</v>
      </c>
      <c r="P172" s="39" t="n">
        <f aca="false">+'CCs # Master'!N155</f>
        <v>5</v>
      </c>
      <c r="Q172" s="39" t="n">
        <f aca="false">+'CCs # Master'!O155</f>
        <v>9</v>
      </c>
      <c r="R172" s="39" t="n">
        <f aca="false">+'CCs # Master'!P155</f>
        <v>10</v>
      </c>
      <c r="S172" s="39" t="n">
        <f aca="false">+'CCs # Master'!Q155</f>
        <v>10</v>
      </c>
      <c r="T172" s="39" t="n">
        <f aca="false">+'CCs # Master'!R155</f>
        <v>1</v>
      </c>
      <c r="U172" s="39" t="n">
        <f aca="false">+'CCs # Master'!S155</f>
        <v>0</v>
      </c>
      <c r="V172" s="39" t="n">
        <f aca="false">+'CCs # Master'!T155</f>
        <v>5</v>
      </c>
      <c r="W172" s="39" t="n">
        <f aca="false">+'CCs # Master'!U155</f>
        <v>35</v>
      </c>
      <c r="X172" s="39" t="n">
        <f aca="false">+'CCs # Master'!V155</f>
        <v>8</v>
      </c>
      <c r="Y172" s="39" t="n">
        <f aca="false">+'CCs # Master'!W155</f>
        <v>0</v>
      </c>
      <c r="Z172" s="39" t="n">
        <f aca="false">+'CCs # Master'!X155</f>
        <v>51</v>
      </c>
      <c r="AA172" s="39" t="n">
        <f aca="false">+'CCs # Master'!Y155</f>
        <v>0</v>
      </c>
      <c r="AB172" s="39" t="n">
        <f aca="false">+'CCs # Master'!Z155</f>
        <v>5</v>
      </c>
      <c r="AC172" s="39" t="n">
        <f aca="false">+'CCs # Master'!AA155</f>
        <v>1</v>
      </c>
      <c r="AD172" s="39" t="n">
        <f aca="false">+'CCs # Master'!AB155</f>
        <v>0</v>
      </c>
      <c r="AE172" s="39" t="n">
        <f aca="false">+'CCs # Master'!AC155</f>
        <v>2</v>
      </c>
      <c r="AF172" s="39" t="n">
        <f aca="false">+'CCs # Master'!AD155</f>
        <v>44</v>
      </c>
      <c r="AG172" s="39" t="n">
        <f aca="false">+'CCs # Master'!AE155</f>
        <v>35</v>
      </c>
      <c r="AH172" s="39" t="n">
        <f aca="false">+'CCs # Master'!AF155</f>
        <v>0</v>
      </c>
      <c r="AI172" s="39" t="n">
        <f aca="false">+'CCs # Master'!AG155</f>
        <v>0</v>
      </c>
      <c r="AJ172" s="39" t="n">
        <f aca="false">+'CCs # Master'!AH155</f>
        <v>2</v>
      </c>
      <c r="AK172" s="39" t="n">
        <f aca="false">+'CCs # Master'!AI155</f>
        <v>2</v>
      </c>
      <c r="AL172" s="39" t="n">
        <f aca="false">+'CCs # Master'!AJ155</f>
        <v>1</v>
      </c>
      <c r="AM172" s="39" t="n">
        <f aca="false">+'CCs # Master'!AK155</f>
        <v>3</v>
      </c>
      <c r="AN172" s="39" t="n">
        <f aca="false">+'CCs # Master'!AL155</f>
        <v>1</v>
      </c>
      <c r="AO172" s="39" t="n">
        <f aca="false">+'CCs # Master'!AM155</f>
        <v>22</v>
      </c>
      <c r="AP172" s="39" t="n">
        <f aca="false">+'CCs # Master'!AN155</f>
        <v>0</v>
      </c>
      <c r="AQ172" s="39" t="n">
        <f aca="false">+'CCs # Master'!AO155</f>
        <v>13</v>
      </c>
      <c r="AR172" s="39" t="n">
        <f aca="false">+'CCs # Master'!AP155</f>
        <v>3</v>
      </c>
      <c r="AS172" s="39" t="n">
        <f aca="false">+'CCs # Master'!AQ155</f>
        <v>0</v>
      </c>
      <c r="AT172" s="39" t="n">
        <f aca="false">+'CCs # Master'!AR155</f>
        <v>0</v>
      </c>
      <c r="AU172" s="39" t="n">
        <f aca="false">+'CCs # Master'!AS155</f>
        <v>0</v>
      </c>
      <c r="AV172" s="39" t="n">
        <f aca="false">+'CCs # Master'!AT155</f>
        <v>0</v>
      </c>
      <c r="AW172" s="100"/>
      <c r="AX172" s="71" t="n">
        <f aca="false">SUM(N172:AW172)</f>
        <v>299</v>
      </c>
      <c r="AY172" s="71" t="n">
        <f aca="false">+K172-AX172</f>
        <v>0</v>
      </c>
      <c r="AZ172" s="39"/>
      <c r="BA172" s="39" t="n">
        <f aca="false">+P172+Q172+T172+U172+V172+W172+X172+Y172</f>
        <v>63</v>
      </c>
      <c r="BB172" s="39" t="n">
        <f aca="false">N172</f>
        <v>31</v>
      </c>
      <c r="BC172" s="39" t="n">
        <f aca="false">SUM(P172:AW172)</f>
        <v>268</v>
      </c>
      <c r="BD172" s="39"/>
      <c r="BE172" s="39" t="n">
        <f aca="false">SUM(BB172:BC172)</f>
        <v>299</v>
      </c>
      <c r="BF172" s="39"/>
      <c r="BG172" s="48" t="n">
        <f aca="false">SUM(N172:AW172)</f>
        <v>299</v>
      </c>
      <c r="BH172" s="39" t="n">
        <f aca="false">BE172-BG172</f>
        <v>0</v>
      </c>
      <c r="BI172" s="39"/>
      <c r="BJ172" s="39"/>
      <c r="BK172" s="39"/>
      <c r="BL172" s="39"/>
      <c r="BM172" s="39"/>
      <c r="BN172" s="39"/>
      <c r="BO172" s="39"/>
      <c r="BP172" s="39"/>
      <c r="BQ172" s="39"/>
      <c r="BR172" s="39"/>
      <c r="BS172" s="39"/>
      <c r="BT172" s="39"/>
      <c r="BU172" s="39"/>
      <c r="BV172" s="39"/>
      <c r="BW172" s="39"/>
      <c r="BX172" s="39"/>
      <c r="BY172" s="39"/>
      <c r="BZ172" s="39"/>
      <c r="CA172" s="39"/>
      <c r="CB172" s="39"/>
      <c r="CC172" s="39"/>
      <c r="CD172" s="39"/>
      <c r="CE172" s="39"/>
      <c r="CF172" s="39"/>
      <c r="CG172" s="39"/>
      <c r="CH172" s="39"/>
      <c r="CI172" s="39"/>
      <c r="CJ172" s="39"/>
      <c r="CK172" s="39"/>
      <c r="CL172" s="39"/>
      <c r="CM172" s="39"/>
      <c r="CN172" s="39"/>
      <c r="CO172" s="39"/>
      <c r="CP172" s="39"/>
      <c r="CQ172" s="39"/>
      <c r="CR172" s="39"/>
      <c r="CS172" s="39"/>
      <c r="CT172" s="39"/>
      <c r="CU172" s="39"/>
      <c r="CV172" s="39"/>
      <c r="CW172" s="39"/>
      <c r="CX172" s="39"/>
      <c r="CY172" s="39"/>
      <c r="CZ172" s="39"/>
      <c r="DA172" s="39"/>
      <c r="DB172" s="39"/>
      <c r="DC172" s="39"/>
      <c r="DD172" s="39"/>
      <c r="DE172" s="39"/>
      <c r="DF172" s="39"/>
      <c r="DG172" s="39"/>
      <c r="DH172" s="39"/>
      <c r="DI172" s="39"/>
      <c r="DJ172" s="39"/>
      <c r="DK172" s="39"/>
      <c r="DL172" s="39"/>
      <c r="DM172" s="39"/>
      <c r="DN172" s="39"/>
      <c r="DO172" s="39"/>
      <c r="DP172" s="39"/>
      <c r="DQ172" s="39"/>
      <c r="DR172" s="39"/>
      <c r="DS172" s="39"/>
      <c r="DT172" s="39"/>
      <c r="DU172" s="39"/>
      <c r="DV172" s="39"/>
      <c r="DW172" s="39"/>
      <c r="DX172" s="39"/>
      <c r="DY172" s="39"/>
      <c r="DZ172" s="39"/>
      <c r="EA172" s="39"/>
      <c r="EB172" s="39"/>
      <c r="EC172" s="39"/>
      <c r="ED172" s="39"/>
      <c r="EE172" s="39"/>
      <c r="EF172" s="39"/>
      <c r="EG172" s="39"/>
      <c r="EH172" s="39"/>
      <c r="EI172" s="39"/>
      <c r="EJ172" s="39"/>
      <c r="EK172" s="39"/>
      <c r="EL172" s="39"/>
      <c r="EM172" s="39"/>
      <c r="EN172" s="39"/>
      <c r="EO172" s="39"/>
      <c r="EP172" s="39"/>
      <c r="EQ172" s="39"/>
      <c r="ER172" s="39"/>
      <c r="ES172" s="39"/>
      <c r="ET172" s="39"/>
      <c r="EU172" s="39"/>
      <c r="EV172" s="39"/>
      <c r="EW172" s="39"/>
      <c r="EX172" s="39"/>
      <c r="EY172" s="39"/>
      <c r="EZ172" s="39"/>
      <c r="FA172" s="39"/>
      <c r="FB172" s="39"/>
      <c r="FC172" s="39"/>
      <c r="FD172" s="39"/>
      <c r="FE172" s="39"/>
      <c r="FF172" s="39"/>
      <c r="FG172" s="39"/>
      <c r="FH172" s="39"/>
      <c r="FI172" s="39"/>
      <c r="FJ172" s="39"/>
      <c r="FK172" s="39"/>
      <c r="FL172" s="39"/>
      <c r="FM172" s="39"/>
      <c r="FN172" s="39"/>
      <c r="FO172" s="39"/>
      <c r="FP172" s="39"/>
      <c r="FQ172" s="39"/>
      <c r="FR172" s="39"/>
      <c r="FS172" s="39"/>
      <c r="FT172" s="39"/>
      <c r="FU172" s="39"/>
      <c r="FV172" s="39"/>
      <c r="FW172" s="39"/>
      <c r="FX172" s="39"/>
      <c r="FY172" s="39"/>
      <c r="FZ172" s="39"/>
      <c r="GA172" s="39"/>
      <c r="GB172" s="39"/>
      <c r="GC172" s="39"/>
      <c r="GD172" s="39"/>
      <c r="GE172" s="39"/>
      <c r="GF172" s="39"/>
      <c r="GG172" s="39"/>
      <c r="GH172" s="39"/>
      <c r="GI172" s="39"/>
      <c r="GJ172" s="39"/>
      <c r="GK172" s="39"/>
      <c r="GL172" s="39"/>
      <c r="GM172" s="39"/>
      <c r="GN172" s="39"/>
      <c r="GO172" s="39"/>
      <c r="GP172" s="39"/>
      <c r="GQ172" s="39"/>
      <c r="GR172" s="39"/>
      <c r="GS172" s="39"/>
      <c r="GT172" s="39"/>
      <c r="GU172" s="39"/>
      <c r="GV172" s="39"/>
      <c r="GW172" s="39"/>
      <c r="GX172" s="39"/>
      <c r="GY172" s="39"/>
      <c r="GZ172" s="39"/>
      <c r="HA172" s="39"/>
      <c r="HB172" s="39"/>
      <c r="HC172" s="39"/>
      <c r="HD172" s="39"/>
      <c r="HE172" s="39"/>
      <c r="HF172" s="39"/>
      <c r="HG172" s="39"/>
      <c r="HH172" s="39"/>
      <c r="HI172" s="39"/>
      <c r="HJ172" s="39"/>
      <c r="HK172" s="39"/>
      <c r="HL172" s="39"/>
      <c r="HM172" s="39"/>
      <c r="HN172" s="39"/>
      <c r="HO172" s="39"/>
      <c r="HP172" s="39"/>
      <c r="HQ172" s="39"/>
      <c r="HR172" s="39"/>
      <c r="HS172" s="39"/>
      <c r="HT172" s="39"/>
      <c r="HU172" s="39"/>
      <c r="HV172" s="39"/>
      <c r="HW172" s="39"/>
      <c r="HX172" s="39"/>
      <c r="HY172" s="39"/>
      <c r="HZ172" s="39"/>
      <c r="IA172" s="39"/>
      <c r="IB172" s="39"/>
      <c r="IC172" s="39"/>
      <c r="ID172" s="39"/>
      <c r="IE172" s="39"/>
      <c r="IF172" s="39"/>
      <c r="IG172" s="39"/>
      <c r="IH172" s="39"/>
      <c r="II172" s="39"/>
      <c r="IJ172" s="39"/>
      <c r="IK172" s="39"/>
      <c r="IL172" s="39"/>
      <c r="IM172" s="39"/>
      <c r="IN172" s="39"/>
      <c r="IO172" s="39"/>
      <c r="IP172" s="39"/>
      <c r="IQ172" s="39"/>
      <c r="IR172" s="39"/>
      <c r="IS172" s="39"/>
      <c r="IT172" s="39"/>
      <c r="IU172" s="39"/>
      <c r="IV172" s="39"/>
      <c r="IW172" s="39"/>
    </row>
    <row r="173" customFormat="false" ht="12.95" hidden="false" customHeight="true" outlineLevel="0" collapsed="false">
      <c r="A173" s="37" t="n">
        <f aca="false">+'CCs # Master'!A156</f>
        <v>11</v>
      </c>
      <c r="B173" s="99" t="str">
        <f aca="false">+'CCs # Master'!B156</f>
        <v>Employment Law Training</v>
      </c>
      <c r="C173" s="99" t="str">
        <f aca="false">+'CCs # Master'!C156</f>
        <v>Schaffer, B</v>
      </c>
      <c r="D173" s="37" t="n">
        <f aca="false">+'CCs # Master'!D156</f>
        <v>102782</v>
      </c>
      <c r="E173" s="39" t="n">
        <f aca="false">+'CCs # Master'!E156</f>
        <v>105</v>
      </c>
      <c r="F173" s="39" t="n">
        <f aca="false">+'CCs # Master'!F156</f>
        <v>33</v>
      </c>
      <c r="G173" s="39" t="n">
        <f aca="false">+'CCs # Master'!G156</f>
        <v>5</v>
      </c>
      <c r="H173" s="39" t="n">
        <f aca="false">+'CCs # Master'!H156</f>
        <v>10</v>
      </c>
      <c r="I173" s="39" t="n">
        <f aca="false">+'CCs # Master'!I156</f>
        <v>21</v>
      </c>
      <c r="J173" s="39" t="n">
        <f aca="false">+'CCs # Master'!J156</f>
        <v>9</v>
      </c>
      <c r="K173" s="71" t="n">
        <f aca="false">SUM(E173:J173)</f>
        <v>183</v>
      </c>
      <c r="L173" s="39"/>
      <c r="M173" s="39" t="str">
        <f aca="false">+'CCs # Master'!M156</f>
        <v>% of Domestic Headcount</v>
      </c>
      <c r="N173" s="39" t="n">
        <f aca="false">+'CCs # Master'!AW156</f>
        <v>19</v>
      </c>
      <c r="O173" s="39" t="n">
        <v>0</v>
      </c>
      <c r="P173" s="39" t="n">
        <f aca="false">+'CCs # Master'!N156</f>
        <v>3</v>
      </c>
      <c r="Q173" s="39" t="n">
        <f aca="false">+'CCs # Master'!O156</f>
        <v>6</v>
      </c>
      <c r="R173" s="39" t="n">
        <f aca="false">+'CCs # Master'!P156</f>
        <v>6</v>
      </c>
      <c r="S173" s="39" t="n">
        <f aca="false">+'CCs # Master'!Q156</f>
        <v>6</v>
      </c>
      <c r="T173" s="39" t="n">
        <f aca="false">+'CCs # Master'!R156</f>
        <v>1</v>
      </c>
      <c r="U173" s="39" t="n">
        <f aca="false">+'CCs # Master'!S156</f>
        <v>0</v>
      </c>
      <c r="V173" s="39" t="n">
        <f aca="false">+'CCs # Master'!T156</f>
        <v>3</v>
      </c>
      <c r="W173" s="39" t="n">
        <f aca="false">+'CCs # Master'!U156</f>
        <v>21</v>
      </c>
      <c r="X173" s="39" t="n">
        <f aca="false">+'CCs # Master'!V156</f>
        <v>5</v>
      </c>
      <c r="Y173" s="39" t="n">
        <f aca="false">+'CCs # Master'!W156</f>
        <v>0</v>
      </c>
      <c r="Z173" s="39" t="n">
        <f aca="false">+'CCs # Master'!X156</f>
        <v>31</v>
      </c>
      <c r="AA173" s="39" t="n">
        <f aca="false">+'CCs # Master'!Y156</f>
        <v>0</v>
      </c>
      <c r="AB173" s="39" t="n">
        <f aca="false">+'CCs # Master'!Z156</f>
        <v>3</v>
      </c>
      <c r="AC173" s="39" t="n">
        <f aca="false">+'CCs # Master'!AA156</f>
        <v>1</v>
      </c>
      <c r="AD173" s="39" t="n">
        <f aca="false">+'CCs # Master'!AB156</f>
        <v>0</v>
      </c>
      <c r="AE173" s="39" t="n">
        <f aca="false">+'CCs # Master'!AC156</f>
        <v>1</v>
      </c>
      <c r="AF173" s="39" t="n">
        <f aca="false">+'CCs # Master'!AD156</f>
        <v>26</v>
      </c>
      <c r="AG173" s="39" t="n">
        <f aca="false">+'CCs # Master'!AE156</f>
        <v>21</v>
      </c>
      <c r="AH173" s="39" t="n">
        <f aca="false">+'CCs # Master'!AF156</f>
        <v>0</v>
      </c>
      <c r="AI173" s="39" t="n">
        <f aca="false">+'CCs # Master'!AG156</f>
        <v>0</v>
      </c>
      <c r="AJ173" s="39" t="n">
        <f aca="false">+'CCs # Master'!AH156</f>
        <v>1</v>
      </c>
      <c r="AK173" s="39" t="n">
        <f aca="false">+'CCs # Master'!AI156</f>
        <v>1</v>
      </c>
      <c r="AL173" s="39" t="n">
        <f aca="false">+'CCs # Master'!AJ156</f>
        <v>1</v>
      </c>
      <c r="AM173" s="39" t="n">
        <f aca="false">+'CCs # Master'!AK156</f>
        <v>2</v>
      </c>
      <c r="AN173" s="39" t="n">
        <f aca="false">+'CCs # Master'!AL156</f>
        <v>1</v>
      </c>
      <c r="AO173" s="39" t="n">
        <f aca="false">+'CCs # Master'!AM156</f>
        <v>14</v>
      </c>
      <c r="AP173" s="39" t="n">
        <f aca="false">+'CCs # Master'!AN156</f>
        <v>0</v>
      </c>
      <c r="AQ173" s="39" t="n">
        <f aca="false">+'CCs # Master'!AO156</f>
        <v>8</v>
      </c>
      <c r="AR173" s="39" t="n">
        <f aca="false">+'CCs # Master'!AP156</f>
        <v>2</v>
      </c>
      <c r="AS173" s="39" t="n">
        <f aca="false">+'CCs # Master'!AQ156</f>
        <v>0</v>
      </c>
      <c r="AT173" s="39" t="n">
        <f aca="false">+'CCs # Master'!AR156</f>
        <v>0</v>
      </c>
      <c r="AU173" s="39" t="n">
        <f aca="false">+'CCs # Master'!AS156</f>
        <v>0</v>
      </c>
      <c r="AV173" s="39" t="n">
        <f aca="false">+'CCs # Master'!AT156</f>
        <v>0</v>
      </c>
      <c r="AW173" s="100"/>
      <c r="AX173" s="71" t="n">
        <f aca="false">SUM(N173:AW173)</f>
        <v>183</v>
      </c>
      <c r="AY173" s="71" t="n">
        <f aca="false">+K173-AX173</f>
        <v>0</v>
      </c>
      <c r="AZ173" s="39"/>
      <c r="BA173" s="39" t="n">
        <f aca="false">+P173+Q173+T173+U173+V173+W173+X173+Y173</f>
        <v>39</v>
      </c>
      <c r="BB173" s="39" t="n">
        <f aca="false">N173</f>
        <v>19</v>
      </c>
      <c r="BC173" s="39" t="n">
        <f aca="false">SUM(P173:AW173)</f>
        <v>164</v>
      </c>
      <c r="BD173" s="39"/>
      <c r="BE173" s="39" t="n">
        <f aca="false">SUM(BB173:BC173)</f>
        <v>183</v>
      </c>
      <c r="BF173" s="39"/>
      <c r="BG173" s="48" t="n">
        <f aca="false">SUM(N173:AW173)</f>
        <v>183</v>
      </c>
      <c r="BH173" s="39" t="n">
        <f aca="false">BE173-BG173</f>
        <v>0</v>
      </c>
      <c r="BI173" s="39"/>
      <c r="BJ173" s="39"/>
      <c r="BK173" s="39"/>
      <c r="BL173" s="39"/>
      <c r="BM173" s="39"/>
      <c r="BN173" s="39"/>
      <c r="BO173" s="39"/>
      <c r="BP173" s="39"/>
      <c r="BQ173" s="39"/>
      <c r="BR173" s="39"/>
      <c r="BS173" s="39"/>
      <c r="BT173" s="39"/>
      <c r="BU173" s="39"/>
      <c r="BV173" s="39"/>
      <c r="BW173" s="39"/>
      <c r="BX173" s="39"/>
      <c r="BY173" s="39"/>
      <c r="BZ173" s="39"/>
      <c r="CA173" s="39"/>
      <c r="CB173" s="39"/>
      <c r="CC173" s="39"/>
      <c r="CD173" s="39"/>
      <c r="CE173" s="39"/>
      <c r="CF173" s="39"/>
      <c r="CG173" s="39"/>
      <c r="CH173" s="39"/>
      <c r="CI173" s="39"/>
      <c r="CJ173" s="39"/>
      <c r="CK173" s="39"/>
      <c r="CL173" s="39"/>
      <c r="CM173" s="39"/>
      <c r="CN173" s="39"/>
      <c r="CO173" s="39"/>
      <c r="CP173" s="39"/>
      <c r="CQ173" s="39"/>
      <c r="CR173" s="39"/>
      <c r="CS173" s="39"/>
      <c r="CT173" s="39"/>
      <c r="CU173" s="39"/>
      <c r="CV173" s="39"/>
      <c r="CW173" s="39"/>
      <c r="CX173" s="39"/>
      <c r="CY173" s="39"/>
      <c r="CZ173" s="39"/>
      <c r="DA173" s="39"/>
      <c r="DB173" s="39"/>
      <c r="DC173" s="39"/>
      <c r="DD173" s="39"/>
      <c r="DE173" s="39"/>
      <c r="DF173" s="39"/>
      <c r="DG173" s="39"/>
      <c r="DH173" s="39"/>
      <c r="DI173" s="39"/>
      <c r="DJ173" s="39"/>
      <c r="DK173" s="39"/>
      <c r="DL173" s="39"/>
      <c r="DM173" s="39"/>
      <c r="DN173" s="39"/>
      <c r="DO173" s="39"/>
      <c r="DP173" s="39"/>
      <c r="DQ173" s="39"/>
      <c r="DR173" s="39"/>
      <c r="DS173" s="39"/>
      <c r="DT173" s="39"/>
      <c r="DU173" s="39"/>
      <c r="DV173" s="39"/>
      <c r="DW173" s="39"/>
      <c r="DX173" s="39"/>
      <c r="DY173" s="39"/>
      <c r="DZ173" s="39"/>
      <c r="EA173" s="39"/>
      <c r="EB173" s="39"/>
      <c r="EC173" s="39"/>
      <c r="ED173" s="39"/>
      <c r="EE173" s="39"/>
      <c r="EF173" s="39"/>
      <c r="EG173" s="39"/>
      <c r="EH173" s="39"/>
      <c r="EI173" s="39"/>
      <c r="EJ173" s="39"/>
      <c r="EK173" s="39"/>
      <c r="EL173" s="39"/>
      <c r="EM173" s="39"/>
      <c r="EN173" s="39"/>
      <c r="EO173" s="39"/>
      <c r="EP173" s="39"/>
      <c r="EQ173" s="39"/>
      <c r="ER173" s="39"/>
      <c r="ES173" s="39"/>
      <c r="ET173" s="39"/>
      <c r="EU173" s="39"/>
      <c r="EV173" s="39"/>
      <c r="EW173" s="39"/>
      <c r="EX173" s="39"/>
      <c r="EY173" s="39"/>
      <c r="EZ173" s="39"/>
      <c r="FA173" s="39"/>
      <c r="FB173" s="39"/>
      <c r="FC173" s="39"/>
      <c r="FD173" s="39"/>
      <c r="FE173" s="39"/>
      <c r="FF173" s="39"/>
      <c r="FG173" s="39"/>
      <c r="FH173" s="39"/>
      <c r="FI173" s="39"/>
      <c r="FJ173" s="39"/>
      <c r="FK173" s="39"/>
      <c r="FL173" s="39"/>
      <c r="FM173" s="39"/>
      <c r="FN173" s="39"/>
      <c r="FO173" s="39"/>
      <c r="FP173" s="39"/>
      <c r="FQ173" s="39"/>
      <c r="FR173" s="39"/>
      <c r="FS173" s="39"/>
      <c r="FT173" s="39"/>
      <c r="FU173" s="39"/>
      <c r="FV173" s="39"/>
      <c r="FW173" s="39"/>
      <c r="FX173" s="39"/>
      <c r="FY173" s="39"/>
      <c r="FZ173" s="39"/>
      <c r="GA173" s="39"/>
      <c r="GB173" s="39"/>
      <c r="GC173" s="39"/>
      <c r="GD173" s="39"/>
      <c r="GE173" s="39"/>
      <c r="GF173" s="39"/>
      <c r="GG173" s="39"/>
      <c r="GH173" s="39"/>
      <c r="GI173" s="39"/>
      <c r="GJ173" s="39"/>
      <c r="GK173" s="39"/>
      <c r="GL173" s="39"/>
      <c r="GM173" s="39"/>
      <c r="GN173" s="39"/>
      <c r="GO173" s="39"/>
      <c r="GP173" s="39"/>
      <c r="GQ173" s="39"/>
      <c r="GR173" s="39"/>
      <c r="GS173" s="39"/>
      <c r="GT173" s="39"/>
      <c r="GU173" s="39"/>
      <c r="GV173" s="39"/>
      <c r="GW173" s="39"/>
      <c r="GX173" s="39"/>
      <c r="GY173" s="39"/>
      <c r="GZ173" s="39"/>
      <c r="HA173" s="39"/>
      <c r="HB173" s="39"/>
      <c r="HC173" s="39"/>
      <c r="HD173" s="39"/>
      <c r="HE173" s="39"/>
      <c r="HF173" s="39"/>
      <c r="HG173" s="39"/>
      <c r="HH173" s="39"/>
      <c r="HI173" s="39"/>
      <c r="HJ173" s="39"/>
      <c r="HK173" s="39"/>
      <c r="HL173" s="39"/>
      <c r="HM173" s="39"/>
      <c r="HN173" s="39"/>
      <c r="HO173" s="39"/>
      <c r="HP173" s="39"/>
      <c r="HQ173" s="39"/>
      <c r="HR173" s="39"/>
      <c r="HS173" s="39"/>
      <c r="HT173" s="39"/>
      <c r="HU173" s="39"/>
      <c r="HV173" s="39"/>
      <c r="HW173" s="39"/>
      <c r="HX173" s="39"/>
      <c r="HY173" s="39"/>
      <c r="HZ173" s="39"/>
      <c r="IA173" s="39"/>
      <c r="IB173" s="39"/>
      <c r="IC173" s="39"/>
      <c r="ID173" s="39"/>
      <c r="IE173" s="39"/>
      <c r="IF173" s="39"/>
      <c r="IG173" s="39"/>
      <c r="IH173" s="39"/>
      <c r="II173" s="39"/>
      <c r="IJ173" s="39"/>
      <c r="IK173" s="39"/>
      <c r="IL173" s="39"/>
      <c r="IM173" s="39"/>
      <c r="IN173" s="39"/>
      <c r="IO173" s="39"/>
      <c r="IP173" s="39"/>
      <c r="IQ173" s="39"/>
      <c r="IR173" s="39"/>
      <c r="IS173" s="39"/>
      <c r="IT173" s="39"/>
      <c r="IU173" s="39"/>
      <c r="IV173" s="39"/>
      <c r="IW173" s="39"/>
    </row>
    <row r="174" customFormat="false" ht="12.95" hidden="false" customHeight="true" outlineLevel="0" collapsed="false">
      <c r="A174" s="37" t="n">
        <f aca="false">+'CCs # Master'!A157</f>
        <v>11</v>
      </c>
      <c r="B174" s="99" t="str">
        <f aca="false">+'CCs # Master'!B157</f>
        <v>Workforce Diversity</v>
      </c>
      <c r="C174" s="99" t="str">
        <f aca="false">+'CCs # Master'!C157</f>
        <v>Reeves, K</v>
      </c>
      <c r="D174" s="37" t="n">
        <f aca="false">+'CCs # Master'!D157</f>
        <v>102795</v>
      </c>
      <c r="E174" s="39" t="n">
        <f aca="false">+'CCs # Master'!E157</f>
        <v>117</v>
      </c>
      <c r="F174" s="39" t="n">
        <f aca="false">+'CCs # Master'!F157</f>
        <v>28</v>
      </c>
      <c r="G174" s="39" t="n">
        <f aca="false">+'CCs # Master'!G157</f>
        <v>5</v>
      </c>
      <c r="H174" s="39" t="n">
        <f aca="false">+'CCs # Master'!H157</f>
        <v>13</v>
      </c>
      <c r="I174" s="39" t="n">
        <f aca="false">+'CCs # Master'!I157</f>
        <v>21</v>
      </c>
      <c r="J174" s="39" t="n">
        <f aca="false">+'CCs # Master'!J157</f>
        <v>-94</v>
      </c>
      <c r="K174" s="71" t="n">
        <f aca="false">SUM(E174:J174)</f>
        <v>90</v>
      </c>
      <c r="L174" s="39"/>
      <c r="M174" s="39" t="str">
        <f aca="false">+'CCs # Master'!M157</f>
        <v>% of Domestic Headcount</v>
      </c>
      <c r="N174" s="39" t="n">
        <f aca="false">+'CCs # Master'!AW157</f>
        <v>9</v>
      </c>
      <c r="O174" s="39" t="n">
        <v>0</v>
      </c>
      <c r="P174" s="39" t="n">
        <f aca="false">+'CCs # Master'!N157</f>
        <v>1</v>
      </c>
      <c r="Q174" s="39" t="n">
        <f aca="false">+'CCs # Master'!O157</f>
        <v>3</v>
      </c>
      <c r="R174" s="39" t="n">
        <f aca="false">+'CCs # Master'!P157</f>
        <v>3</v>
      </c>
      <c r="S174" s="39" t="n">
        <f aca="false">+'CCs # Master'!Q157</f>
        <v>3</v>
      </c>
      <c r="T174" s="39" t="n">
        <f aca="false">+'CCs # Master'!R157</f>
        <v>0</v>
      </c>
      <c r="U174" s="39" t="n">
        <f aca="false">+'CCs # Master'!S157</f>
        <v>0</v>
      </c>
      <c r="V174" s="39" t="n">
        <f aca="false">+'CCs # Master'!T157</f>
        <v>2</v>
      </c>
      <c r="W174" s="39" t="n">
        <f aca="false">+'CCs # Master'!U157</f>
        <v>10</v>
      </c>
      <c r="X174" s="39" t="n">
        <f aca="false">+'CCs # Master'!V157</f>
        <v>3</v>
      </c>
      <c r="Y174" s="39" t="n">
        <f aca="false">+'CCs # Master'!W157</f>
        <v>1</v>
      </c>
      <c r="Z174" s="39" t="n">
        <f aca="false">+'CCs # Master'!X157</f>
        <v>14</v>
      </c>
      <c r="AA174" s="39" t="n">
        <f aca="false">+'CCs # Master'!Y157</f>
        <v>0</v>
      </c>
      <c r="AB174" s="39" t="n">
        <f aca="false">+'CCs # Master'!Z157</f>
        <v>2</v>
      </c>
      <c r="AC174" s="39" t="n">
        <f aca="false">+'CCs # Master'!AA157</f>
        <v>0</v>
      </c>
      <c r="AD174" s="39" t="n">
        <f aca="false">+'CCs # Master'!AB157</f>
        <v>0</v>
      </c>
      <c r="AE174" s="39" t="n">
        <f aca="false">+'CCs # Master'!AC157</f>
        <v>1</v>
      </c>
      <c r="AF174" s="39" t="n">
        <f aca="false">+'CCs # Master'!AD157</f>
        <v>13</v>
      </c>
      <c r="AG174" s="39" t="n">
        <f aca="false">+'CCs # Master'!AE157</f>
        <v>10</v>
      </c>
      <c r="AH174" s="39" t="n">
        <f aca="false">+'CCs # Master'!AF157</f>
        <v>0</v>
      </c>
      <c r="AI174" s="39" t="n">
        <f aca="false">+'CCs # Master'!AG157</f>
        <v>0</v>
      </c>
      <c r="AJ174" s="39" t="n">
        <f aca="false">+'CCs # Master'!AH157</f>
        <v>1</v>
      </c>
      <c r="AK174" s="39" t="n">
        <f aca="false">+'CCs # Master'!AI157</f>
        <v>1</v>
      </c>
      <c r="AL174" s="39" t="n">
        <f aca="false">+'CCs # Master'!AJ157</f>
        <v>0</v>
      </c>
      <c r="AM174" s="39" t="n">
        <f aca="false">+'CCs # Master'!AK157</f>
        <v>1</v>
      </c>
      <c r="AN174" s="39" t="n">
        <f aca="false">+'CCs # Master'!AL157</f>
        <v>0</v>
      </c>
      <c r="AO174" s="39" t="n">
        <f aca="false">+'CCs # Master'!AM157</f>
        <v>7</v>
      </c>
      <c r="AP174" s="39" t="n">
        <f aca="false">+'CCs # Master'!AN157</f>
        <v>0</v>
      </c>
      <c r="AQ174" s="39" t="n">
        <f aca="false">+'CCs # Master'!AO157</f>
        <v>4</v>
      </c>
      <c r="AR174" s="39" t="n">
        <f aca="false">+'CCs # Master'!AP157</f>
        <v>1</v>
      </c>
      <c r="AS174" s="39" t="n">
        <f aca="false">+'CCs # Master'!AQ157</f>
        <v>0</v>
      </c>
      <c r="AT174" s="39" t="n">
        <f aca="false">+'CCs # Master'!AR157</f>
        <v>0</v>
      </c>
      <c r="AU174" s="39" t="n">
        <f aca="false">+'CCs # Master'!AS157</f>
        <v>0</v>
      </c>
      <c r="AV174" s="39" t="n">
        <f aca="false">+'CCs # Master'!AT157</f>
        <v>0</v>
      </c>
      <c r="AW174" s="100"/>
      <c r="AX174" s="71" t="n">
        <f aca="false">SUM(N174:AW174)</f>
        <v>90</v>
      </c>
      <c r="AY174" s="71" t="n">
        <f aca="false">+K174-AX174</f>
        <v>0</v>
      </c>
      <c r="AZ174" s="39"/>
      <c r="BA174" s="39" t="n">
        <f aca="false">+P174+Q174+T174+U174+V174+W174+X174+Y174</f>
        <v>20</v>
      </c>
      <c r="BB174" s="39" t="n">
        <f aca="false">N174</f>
        <v>9</v>
      </c>
      <c r="BC174" s="39" t="n">
        <f aca="false">SUM(P174:AW174)</f>
        <v>81</v>
      </c>
      <c r="BD174" s="39"/>
      <c r="BE174" s="39" t="n">
        <f aca="false">SUM(BB174:BC174)</f>
        <v>90</v>
      </c>
      <c r="BF174" s="39"/>
      <c r="BG174" s="48" t="n">
        <f aca="false">SUM(N174:AW174)</f>
        <v>90</v>
      </c>
      <c r="BH174" s="39" t="n">
        <f aca="false">BE174-BG174</f>
        <v>0</v>
      </c>
      <c r="BI174" s="39"/>
      <c r="BJ174" s="39"/>
      <c r="BK174" s="39"/>
      <c r="BL174" s="39"/>
      <c r="BM174" s="39"/>
      <c r="BN174" s="39"/>
      <c r="BO174" s="39"/>
      <c r="BP174" s="39"/>
      <c r="BQ174" s="39"/>
      <c r="BR174" s="39"/>
      <c r="BS174" s="39"/>
      <c r="BT174" s="39"/>
      <c r="BU174" s="39"/>
      <c r="BV174" s="39"/>
      <c r="BW174" s="39"/>
      <c r="BX174" s="39"/>
      <c r="BY174" s="39"/>
      <c r="BZ174" s="39"/>
      <c r="CA174" s="39"/>
      <c r="CB174" s="39"/>
      <c r="CC174" s="39"/>
      <c r="CD174" s="39"/>
      <c r="CE174" s="39"/>
      <c r="CF174" s="39"/>
      <c r="CG174" s="39"/>
      <c r="CH174" s="39"/>
      <c r="CI174" s="39"/>
      <c r="CJ174" s="39"/>
      <c r="CK174" s="39"/>
      <c r="CL174" s="39"/>
      <c r="CM174" s="39"/>
      <c r="CN174" s="39"/>
      <c r="CO174" s="39"/>
      <c r="CP174" s="39"/>
      <c r="CQ174" s="39"/>
      <c r="CR174" s="39"/>
      <c r="CS174" s="39"/>
      <c r="CT174" s="39"/>
      <c r="CU174" s="39"/>
      <c r="CV174" s="39"/>
      <c r="CW174" s="39"/>
      <c r="CX174" s="39"/>
      <c r="CY174" s="39"/>
      <c r="CZ174" s="39"/>
      <c r="DA174" s="39"/>
      <c r="DB174" s="39"/>
      <c r="DC174" s="39"/>
      <c r="DD174" s="39"/>
      <c r="DE174" s="39"/>
      <c r="DF174" s="39"/>
      <c r="DG174" s="39"/>
      <c r="DH174" s="39"/>
      <c r="DI174" s="39"/>
      <c r="DJ174" s="39"/>
      <c r="DK174" s="39"/>
      <c r="DL174" s="39"/>
      <c r="DM174" s="39"/>
      <c r="DN174" s="39"/>
      <c r="DO174" s="39"/>
      <c r="DP174" s="39"/>
      <c r="DQ174" s="39"/>
      <c r="DR174" s="39"/>
      <c r="DS174" s="39"/>
      <c r="DT174" s="39"/>
      <c r="DU174" s="39"/>
      <c r="DV174" s="39"/>
      <c r="DW174" s="39"/>
      <c r="DX174" s="39"/>
      <c r="DY174" s="39"/>
      <c r="DZ174" s="39"/>
      <c r="EA174" s="39"/>
      <c r="EB174" s="39"/>
      <c r="EC174" s="39"/>
      <c r="ED174" s="39"/>
      <c r="EE174" s="39"/>
      <c r="EF174" s="39"/>
      <c r="EG174" s="39"/>
      <c r="EH174" s="39"/>
      <c r="EI174" s="39"/>
      <c r="EJ174" s="39"/>
      <c r="EK174" s="39"/>
      <c r="EL174" s="39"/>
      <c r="EM174" s="39"/>
      <c r="EN174" s="39"/>
      <c r="EO174" s="39"/>
      <c r="EP174" s="39"/>
      <c r="EQ174" s="39"/>
      <c r="ER174" s="39"/>
      <c r="ES174" s="39"/>
      <c r="ET174" s="39"/>
      <c r="EU174" s="39"/>
      <c r="EV174" s="39"/>
      <c r="EW174" s="39"/>
      <c r="EX174" s="39"/>
      <c r="EY174" s="39"/>
      <c r="EZ174" s="39"/>
      <c r="FA174" s="39"/>
      <c r="FB174" s="39"/>
      <c r="FC174" s="39"/>
      <c r="FD174" s="39"/>
      <c r="FE174" s="39"/>
      <c r="FF174" s="39"/>
      <c r="FG174" s="39"/>
      <c r="FH174" s="39"/>
      <c r="FI174" s="39"/>
      <c r="FJ174" s="39"/>
      <c r="FK174" s="39"/>
      <c r="FL174" s="39"/>
      <c r="FM174" s="39"/>
      <c r="FN174" s="39"/>
      <c r="FO174" s="39"/>
      <c r="FP174" s="39"/>
      <c r="FQ174" s="39"/>
      <c r="FR174" s="39"/>
      <c r="FS174" s="39"/>
      <c r="FT174" s="39"/>
      <c r="FU174" s="39"/>
      <c r="FV174" s="39"/>
      <c r="FW174" s="39"/>
      <c r="FX174" s="39"/>
      <c r="FY174" s="39"/>
      <c r="FZ174" s="39"/>
      <c r="GA174" s="39"/>
      <c r="GB174" s="39"/>
      <c r="GC174" s="39"/>
      <c r="GD174" s="39"/>
      <c r="GE174" s="39"/>
      <c r="GF174" s="39"/>
      <c r="GG174" s="39"/>
      <c r="GH174" s="39"/>
      <c r="GI174" s="39"/>
      <c r="GJ174" s="39"/>
      <c r="GK174" s="39"/>
      <c r="GL174" s="39"/>
      <c r="GM174" s="39"/>
      <c r="GN174" s="39"/>
      <c r="GO174" s="39"/>
      <c r="GP174" s="39"/>
      <c r="GQ174" s="39"/>
      <c r="GR174" s="39"/>
      <c r="GS174" s="39"/>
      <c r="GT174" s="39"/>
      <c r="GU174" s="39"/>
      <c r="GV174" s="39"/>
      <c r="GW174" s="39"/>
      <c r="GX174" s="39"/>
      <c r="GY174" s="39"/>
      <c r="GZ174" s="39"/>
      <c r="HA174" s="39"/>
      <c r="HB174" s="39"/>
      <c r="HC174" s="39"/>
      <c r="HD174" s="39"/>
      <c r="HE174" s="39"/>
      <c r="HF174" s="39"/>
      <c r="HG174" s="39"/>
      <c r="HH174" s="39"/>
      <c r="HI174" s="39"/>
      <c r="HJ174" s="39"/>
      <c r="HK174" s="39"/>
      <c r="HL174" s="39"/>
      <c r="HM174" s="39"/>
      <c r="HN174" s="39"/>
      <c r="HO174" s="39"/>
      <c r="HP174" s="39"/>
      <c r="HQ174" s="39"/>
      <c r="HR174" s="39"/>
      <c r="HS174" s="39"/>
      <c r="HT174" s="39"/>
      <c r="HU174" s="39"/>
      <c r="HV174" s="39"/>
      <c r="HW174" s="39"/>
      <c r="HX174" s="39"/>
      <c r="HY174" s="39"/>
      <c r="HZ174" s="39"/>
      <c r="IA174" s="39"/>
      <c r="IB174" s="39"/>
      <c r="IC174" s="39"/>
      <c r="ID174" s="39"/>
      <c r="IE174" s="39"/>
      <c r="IF174" s="39"/>
      <c r="IG174" s="39"/>
      <c r="IH174" s="39"/>
      <c r="II174" s="39"/>
      <c r="IJ174" s="39"/>
      <c r="IK174" s="39"/>
      <c r="IL174" s="39"/>
      <c r="IM174" s="39"/>
      <c r="IN174" s="39"/>
      <c r="IO174" s="39"/>
      <c r="IP174" s="39"/>
      <c r="IQ174" s="39"/>
      <c r="IR174" s="39"/>
      <c r="IS174" s="39"/>
      <c r="IT174" s="39"/>
      <c r="IU174" s="39"/>
      <c r="IV174" s="39"/>
      <c r="IW174" s="39"/>
    </row>
    <row r="175" customFormat="false" ht="12.95" hidden="false" customHeight="true" outlineLevel="0" collapsed="false">
      <c r="A175" s="37" t="n">
        <f aca="false">+'CCs # Master'!A161</f>
        <v>11</v>
      </c>
      <c r="B175" s="99" t="str">
        <f aca="false">+'CCs # Master'!B161</f>
        <v>HR Projects</v>
      </c>
      <c r="C175" s="99" t="str">
        <f aca="false">+'CCs # Master'!C161</f>
        <v>Yowman, A</v>
      </c>
      <c r="D175" s="37" t="n">
        <f aca="false">+'CCs # Master'!D161</f>
        <v>103064</v>
      </c>
      <c r="E175" s="39" t="n">
        <f aca="false">+'CCs # Master'!E161</f>
        <v>53</v>
      </c>
      <c r="F175" s="39" t="n">
        <f aca="false">+'CCs # Master'!F161</f>
        <v>16</v>
      </c>
      <c r="G175" s="39" t="n">
        <f aca="false">+'CCs # Master'!G161</f>
        <v>1</v>
      </c>
      <c r="H175" s="39" t="n">
        <f aca="false">+'CCs # Master'!H161</f>
        <v>0</v>
      </c>
      <c r="I175" s="39" t="n">
        <f aca="false">+'CCs # Master'!I161</f>
        <v>7</v>
      </c>
      <c r="J175" s="39" t="n">
        <f aca="false">+'CCs # Master'!J161</f>
        <v>2</v>
      </c>
      <c r="K175" s="71" t="n">
        <f aca="false">SUM(E175:J175)</f>
        <v>79</v>
      </c>
      <c r="L175" s="39"/>
      <c r="M175" s="39" t="str">
        <f aca="false">+'CCs # Master'!M161</f>
        <v>% of Domestic Headcount</v>
      </c>
      <c r="N175" s="39" t="n">
        <f aca="false">+'CCs # Master'!AW161</f>
        <v>8</v>
      </c>
      <c r="O175" s="39" t="n">
        <v>0</v>
      </c>
      <c r="P175" s="39" t="n">
        <f aca="false">+'CCs # Master'!N161</f>
        <v>1</v>
      </c>
      <c r="Q175" s="39" t="n">
        <f aca="false">+'CCs # Master'!O161</f>
        <v>2</v>
      </c>
      <c r="R175" s="39" t="n">
        <f aca="false">+'CCs # Master'!P161</f>
        <v>3</v>
      </c>
      <c r="S175" s="39" t="n">
        <f aca="false">+'CCs # Master'!Q161</f>
        <v>3</v>
      </c>
      <c r="T175" s="39" t="n">
        <f aca="false">+'CCs # Master'!R161</f>
        <v>0</v>
      </c>
      <c r="U175" s="39" t="n">
        <f aca="false">+'CCs # Master'!S161</f>
        <v>0</v>
      </c>
      <c r="V175" s="39" t="n">
        <f aca="false">+'CCs # Master'!T161</f>
        <v>1</v>
      </c>
      <c r="W175" s="39" t="n">
        <f aca="false">+'CCs # Master'!U161</f>
        <v>9</v>
      </c>
      <c r="X175" s="39" t="n">
        <f aca="false">+'CCs # Master'!V161</f>
        <v>2</v>
      </c>
      <c r="Y175" s="39" t="n">
        <f aca="false">+'CCs # Master'!W161</f>
        <v>0</v>
      </c>
      <c r="Z175" s="39" t="n">
        <f aca="false">+'CCs # Master'!X161</f>
        <v>13</v>
      </c>
      <c r="AA175" s="39" t="n">
        <f aca="false">+'CCs # Master'!Y161</f>
        <v>0</v>
      </c>
      <c r="AB175" s="39" t="n">
        <f aca="false">+'CCs # Master'!Z161</f>
        <v>1</v>
      </c>
      <c r="AC175" s="39" t="n">
        <f aca="false">+'CCs # Master'!AA161</f>
        <v>0</v>
      </c>
      <c r="AD175" s="39" t="n">
        <f aca="false">+'CCs # Master'!AB161</f>
        <v>0</v>
      </c>
      <c r="AE175" s="39" t="n">
        <f aca="false">+'CCs # Master'!AC161</f>
        <v>1</v>
      </c>
      <c r="AF175" s="39" t="n">
        <f aca="false">+'CCs # Master'!AD161</f>
        <v>12</v>
      </c>
      <c r="AG175" s="39" t="n">
        <f aca="false">+'CCs # Master'!AE161</f>
        <v>10</v>
      </c>
      <c r="AH175" s="39" t="n">
        <f aca="false">+'CCs # Master'!AF161</f>
        <v>0</v>
      </c>
      <c r="AI175" s="39" t="n">
        <f aca="false">+'CCs # Master'!AG161</f>
        <v>0</v>
      </c>
      <c r="AJ175" s="39" t="n">
        <f aca="false">+'CCs # Master'!AH161</f>
        <v>1</v>
      </c>
      <c r="AK175" s="39" t="n">
        <f aca="false">+'CCs # Master'!AI161</f>
        <v>1</v>
      </c>
      <c r="AL175" s="39" t="n">
        <f aca="false">+'CCs # Master'!AJ161</f>
        <v>0</v>
      </c>
      <c r="AM175" s="39" t="n">
        <f aca="false">+'CCs # Master'!AK161</f>
        <v>1</v>
      </c>
      <c r="AN175" s="39" t="n">
        <f aca="false">+'CCs # Master'!AL161</f>
        <v>0</v>
      </c>
      <c r="AO175" s="39" t="n">
        <f aca="false">+'CCs # Master'!AM161</f>
        <v>6</v>
      </c>
      <c r="AP175" s="39" t="n">
        <f aca="false">+'CCs # Master'!AN161</f>
        <v>0</v>
      </c>
      <c r="AQ175" s="39" t="n">
        <f aca="false">+'CCs # Master'!AO161</f>
        <v>3</v>
      </c>
      <c r="AR175" s="39" t="n">
        <f aca="false">+'CCs # Master'!AP161</f>
        <v>1</v>
      </c>
      <c r="AS175" s="39" t="n">
        <f aca="false">+'CCs # Master'!AQ161</f>
        <v>0</v>
      </c>
      <c r="AT175" s="39" t="n">
        <f aca="false">+'CCs # Master'!AR161</f>
        <v>0</v>
      </c>
      <c r="AU175" s="39" t="n">
        <f aca="false">+'CCs # Master'!AS161</f>
        <v>0</v>
      </c>
      <c r="AV175" s="39" t="n">
        <f aca="false">+'CCs # Master'!AT161</f>
        <v>0</v>
      </c>
      <c r="AW175" s="100"/>
      <c r="AX175" s="71" t="n">
        <f aca="false">SUM(N175:AW175)</f>
        <v>79</v>
      </c>
      <c r="AY175" s="71" t="n">
        <f aca="false">+K175-AX175</f>
        <v>0</v>
      </c>
      <c r="AZ175" s="39"/>
      <c r="BA175" s="39" t="n">
        <f aca="false">+P175+Q175+T175+U175+V175+W175+X175+Y175</f>
        <v>15</v>
      </c>
      <c r="BB175" s="39" t="n">
        <f aca="false">N175</f>
        <v>8</v>
      </c>
      <c r="BC175" s="39" t="n">
        <f aca="false">SUM(P175:AW175)</f>
        <v>71</v>
      </c>
      <c r="BD175" s="39"/>
      <c r="BE175" s="39" t="n">
        <f aca="false">SUM(BB175:BC175)</f>
        <v>79</v>
      </c>
      <c r="BF175" s="39"/>
      <c r="BG175" s="48" t="n">
        <f aca="false">SUM(N175:AW175)</f>
        <v>79</v>
      </c>
      <c r="BH175" s="39" t="n">
        <f aca="false">BE175-BG175</f>
        <v>0</v>
      </c>
      <c r="BI175" s="39"/>
      <c r="BJ175" s="39"/>
      <c r="BK175" s="39"/>
      <c r="BL175" s="39"/>
      <c r="BM175" s="39"/>
      <c r="BN175" s="39"/>
      <c r="BO175" s="39"/>
      <c r="BP175" s="39"/>
      <c r="BQ175" s="39"/>
      <c r="BR175" s="39"/>
      <c r="BS175" s="39"/>
      <c r="BT175" s="39"/>
      <c r="BU175" s="39"/>
      <c r="BV175" s="39"/>
      <c r="BW175" s="39"/>
      <c r="BX175" s="39"/>
      <c r="BY175" s="39"/>
      <c r="BZ175" s="39"/>
      <c r="CA175" s="39"/>
      <c r="CB175" s="39"/>
      <c r="CC175" s="39"/>
      <c r="CD175" s="39"/>
      <c r="CE175" s="39"/>
      <c r="CF175" s="39"/>
      <c r="CG175" s="39"/>
      <c r="CH175" s="39"/>
      <c r="CI175" s="39"/>
      <c r="CJ175" s="39"/>
      <c r="CK175" s="39"/>
      <c r="CL175" s="39"/>
      <c r="CM175" s="39"/>
      <c r="CN175" s="39"/>
      <c r="CO175" s="39"/>
      <c r="CP175" s="39"/>
      <c r="CQ175" s="39"/>
      <c r="CR175" s="39"/>
      <c r="CS175" s="39"/>
      <c r="CT175" s="39"/>
      <c r="CU175" s="39"/>
      <c r="CV175" s="39"/>
      <c r="CW175" s="39"/>
      <c r="CX175" s="39"/>
      <c r="CY175" s="39"/>
      <c r="CZ175" s="39"/>
      <c r="DA175" s="39"/>
      <c r="DB175" s="39"/>
      <c r="DC175" s="39"/>
      <c r="DD175" s="39"/>
      <c r="DE175" s="39"/>
      <c r="DF175" s="39"/>
      <c r="DG175" s="39"/>
      <c r="DH175" s="39"/>
      <c r="DI175" s="39"/>
      <c r="DJ175" s="39"/>
      <c r="DK175" s="39"/>
      <c r="DL175" s="39"/>
      <c r="DM175" s="39"/>
      <c r="DN175" s="39"/>
      <c r="DO175" s="39"/>
      <c r="DP175" s="39"/>
      <c r="DQ175" s="39"/>
      <c r="DR175" s="39"/>
      <c r="DS175" s="39"/>
      <c r="DT175" s="39"/>
      <c r="DU175" s="39"/>
      <c r="DV175" s="39"/>
      <c r="DW175" s="39"/>
      <c r="DX175" s="39"/>
      <c r="DY175" s="39"/>
      <c r="DZ175" s="39"/>
      <c r="EA175" s="39"/>
      <c r="EB175" s="39"/>
      <c r="EC175" s="39"/>
      <c r="ED175" s="39"/>
      <c r="EE175" s="39"/>
      <c r="EF175" s="39"/>
      <c r="EG175" s="39"/>
      <c r="EH175" s="39"/>
      <c r="EI175" s="39"/>
      <c r="EJ175" s="39"/>
      <c r="EK175" s="39"/>
      <c r="EL175" s="39"/>
      <c r="EM175" s="39"/>
      <c r="EN175" s="39"/>
      <c r="EO175" s="39"/>
      <c r="EP175" s="39"/>
      <c r="EQ175" s="39"/>
      <c r="ER175" s="39"/>
      <c r="ES175" s="39"/>
      <c r="ET175" s="39"/>
      <c r="EU175" s="39"/>
      <c r="EV175" s="39"/>
      <c r="EW175" s="39"/>
      <c r="EX175" s="39"/>
      <c r="EY175" s="39"/>
      <c r="EZ175" s="39"/>
      <c r="FA175" s="39"/>
      <c r="FB175" s="39"/>
      <c r="FC175" s="39"/>
      <c r="FD175" s="39"/>
      <c r="FE175" s="39"/>
      <c r="FF175" s="39"/>
      <c r="FG175" s="39"/>
      <c r="FH175" s="39"/>
      <c r="FI175" s="39"/>
      <c r="FJ175" s="39"/>
      <c r="FK175" s="39"/>
      <c r="FL175" s="39"/>
      <c r="FM175" s="39"/>
      <c r="FN175" s="39"/>
      <c r="FO175" s="39"/>
      <c r="FP175" s="39"/>
      <c r="FQ175" s="39"/>
      <c r="FR175" s="39"/>
      <c r="FS175" s="39"/>
      <c r="FT175" s="39"/>
      <c r="FU175" s="39"/>
      <c r="FV175" s="39"/>
      <c r="FW175" s="39"/>
      <c r="FX175" s="39"/>
      <c r="FY175" s="39"/>
      <c r="FZ175" s="39"/>
      <c r="GA175" s="39"/>
      <c r="GB175" s="39"/>
      <c r="GC175" s="39"/>
      <c r="GD175" s="39"/>
      <c r="GE175" s="39"/>
      <c r="GF175" s="39"/>
      <c r="GG175" s="39"/>
      <c r="GH175" s="39"/>
      <c r="GI175" s="39"/>
      <c r="GJ175" s="39"/>
      <c r="GK175" s="39"/>
      <c r="GL175" s="39"/>
      <c r="GM175" s="39"/>
      <c r="GN175" s="39"/>
      <c r="GO175" s="39"/>
      <c r="GP175" s="39"/>
      <c r="GQ175" s="39"/>
      <c r="GR175" s="39"/>
      <c r="GS175" s="39"/>
      <c r="GT175" s="39"/>
      <c r="GU175" s="39"/>
      <c r="GV175" s="39"/>
      <c r="GW175" s="39"/>
      <c r="GX175" s="39"/>
      <c r="GY175" s="39"/>
      <c r="GZ175" s="39"/>
      <c r="HA175" s="39"/>
      <c r="HB175" s="39"/>
      <c r="HC175" s="39"/>
      <c r="HD175" s="39"/>
      <c r="HE175" s="39"/>
      <c r="HF175" s="39"/>
      <c r="HG175" s="39"/>
      <c r="HH175" s="39"/>
      <c r="HI175" s="39"/>
      <c r="HJ175" s="39"/>
      <c r="HK175" s="39"/>
      <c r="HL175" s="39"/>
      <c r="HM175" s="39"/>
      <c r="HN175" s="39"/>
      <c r="HO175" s="39"/>
      <c r="HP175" s="39"/>
      <c r="HQ175" s="39"/>
      <c r="HR175" s="39"/>
      <c r="HS175" s="39"/>
      <c r="HT175" s="39"/>
      <c r="HU175" s="39"/>
      <c r="HV175" s="39"/>
      <c r="HW175" s="39"/>
      <c r="HX175" s="39"/>
      <c r="HY175" s="39"/>
      <c r="HZ175" s="39"/>
      <c r="IA175" s="39"/>
      <c r="IB175" s="39"/>
      <c r="IC175" s="39"/>
      <c r="ID175" s="39"/>
      <c r="IE175" s="39"/>
      <c r="IF175" s="39"/>
      <c r="IG175" s="39"/>
      <c r="IH175" s="39"/>
      <c r="II175" s="39"/>
      <c r="IJ175" s="39"/>
      <c r="IK175" s="39"/>
      <c r="IL175" s="39"/>
      <c r="IM175" s="39"/>
      <c r="IN175" s="39"/>
      <c r="IO175" s="39"/>
      <c r="IP175" s="39"/>
      <c r="IQ175" s="39"/>
      <c r="IR175" s="39"/>
      <c r="IS175" s="39"/>
      <c r="IT175" s="39"/>
      <c r="IU175" s="39"/>
      <c r="IV175" s="39"/>
      <c r="IW175" s="39"/>
    </row>
    <row r="176" customFormat="false" ht="12.95" hidden="false" customHeight="true" outlineLevel="0" collapsed="false">
      <c r="A176" s="37" t="n">
        <f aca="false">+'CCs # Master'!A162</f>
        <v>11</v>
      </c>
      <c r="B176" s="99" t="str">
        <f aca="false">+'CCs # Master'!B162</f>
        <v>HR-PRC</v>
      </c>
      <c r="C176" s="99" t="str">
        <f aca="false">+'CCs # Master'!C162</f>
        <v>Cortiselli, G</v>
      </c>
      <c r="D176" s="37" t="n">
        <f aca="false">+'CCs # Master'!D162</f>
        <v>103080</v>
      </c>
      <c r="E176" s="39" t="n">
        <f aca="false">+'CCs # Master'!E162</f>
        <v>193</v>
      </c>
      <c r="F176" s="39" t="n">
        <f aca="false">+'CCs # Master'!F162</f>
        <v>12</v>
      </c>
      <c r="G176" s="39" t="n">
        <f aca="false">+'CCs # Master'!G162</f>
        <v>2</v>
      </c>
      <c r="H176" s="39" t="n">
        <f aca="false">+'CCs # Master'!H162</f>
        <v>1</v>
      </c>
      <c r="I176" s="39" t="n">
        <f aca="false">+'CCs # Master'!I162</f>
        <v>32</v>
      </c>
      <c r="J176" s="39" t="n">
        <f aca="false">+'CCs # Master'!J162</f>
        <v>292</v>
      </c>
      <c r="K176" s="71" t="n">
        <f aca="false">SUM(E176:J176)</f>
        <v>532</v>
      </c>
      <c r="L176" s="39"/>
      <c r="M176" s="39" t="str">
        <f aca="false">+'CCs # Master'!M162</f>
        <v>% of Global Headcount</v>
      </c>
      <c r="N176" s="39" t="n">
        <f aca="false">+'CCs # Master'!AW162</f>
        <v>42</v>
      </c>
      <c r="O176" s="39" t="n">
        <v>0</v>
      </c>
      <c r="P176" s="39" t="n">
        <f aca="false">+'CCs # Master'!N162</f>
        <v>6</v>
      </c>
      <c r="Q176" s="39" t="n">
        <f aca="false">+'CCs # Master'!O162</f>
        <v>12</v>
      </c>
      <c r="R176" s="39" t="n">
        <f aca="false">+'CCs # Master'!P162</f>
        <v>18</v>
      </c>
      <c r="S176" s="39" t="n">
        <f aca="false">+'CCs # Master'!Q162</f>
        <v>14</v>
      </c>
      <c r="T176" s="39" t="n">
        <f aca="false">+'CCs # Master'!R162</f>
        <v>1</v>
      </c>
      <c r="U176" s="39" t="n">
        <f aca="false">+'CCs # Master'!S162</f>
        <v>0</v>
      </c>
      <c r="V176" s="39" t="n">
        <f aca="false">+'CCs # Master'!T162</f>
        <v>7</v>
      </c>
      <c r="W176" s="39" t="n">
        <f aca="false">+'CCs # Master'!U162</f>
        <v>47</v>
      </c>
      <c r="X176" s="39" t="n">
        <f aca="false">+'CCs # Master'!V162</f>
        <v>9</v>
      </c>
      <c r="Y176" s="39" t="n">
        <f aca="false">+'CCs # Master'!W162</f>
        <v>4</v>
      </c>
      <c r="Z176" s="39" t="n">
        <f aca="false">+'CCs # Master'!X162</f>
        <v>67</v>
      </c>
      <c r="AA176" s="39" t="n">
        <f aca="false">+'CCs # Master'!Y162</f>
        <v>1</v>
      </c>
      <c r="AB176" s="39" t="n">
        <f aca="false">+'CCs # Master'!Z162</f>
        <v>7</v>
      </c>
      <c r="AC176" s="39" t="n">
        <f aca="false">+'CCs # Master'!AA162</f>
        <v>1</v>
      </c>
      <c r="AD176" s="39" t="n">
        <f aca="false">+'CCs # Master'!AB162</f>
        <v>68</v>
      </c>
      <c r="AE176" s="39" t="n">
        <f aca="false">+'CCs # Master'!AC162</f>
        <v>3</v>
      </c>
      <c r="AF176" s="39" t="n">
        <f aca="false">+'CCs # Master'!AD162</f>
        <v>61</v>
      </c>
      <c r="AG176" s="39" t="n">
        <f aca="false">+'CCs # Master'!AE162</f>
        <v>47</v>
      </c>
      <c r="AH176" s="39" t="n">
        <f aca="false">+'CCs # Master'!AF162</f>
        <v>32</v>
      </c>
      <c r="AI176" s="39" t="n">
        <f aca="false">+'CCs # Master'!AG162</f>
        <v>0</v>
      </c>
      <c r="AJ176" s="39" t="n">
        <f aca="false">+'CCs # Master'!AH162</f>
        <v>3</v>
      </c>
      <c r="AK176" s="39" t="n">
        <f aca="false">+'CCs # Master'!AI162</f>
        <v>9</v>
      </c>
      <c r="AL176" s="39" t="n">
        <f aca="false">+'CCs # Master'!AJ162</f>
        <v>14</v>
      </c>
      <c r="AM176" s="39" t="n">
        <f aca="false">+'CCs # Master'!AK162</f>
        <v>5</v>
      </c>
      <c r="AN176" s="39" t="n">
        <f aca="false">+'CCs # Master'!AL162</f>
        <v>1</v>
      </c>
      <c r="AO176" s="39" t="n">
        <f aca="false">+'CCs # Master'!AM162</f>
        <v>30</v>
      </c>
      <c r="AP176" s="39" t="n">
        <f aca="false">+'CCs # Master'!AN162</f>
        <v>0</v>
      </c>
      <c r="AQ176" s="39" t="n">
        <f aca="false">+'CCs # Master'!AO162</f>
        <v>18</v>
      </c>
      <c r="AR176" s="39" t="n">
        <f aca="false">+'CCs # Master'!AP162</f>
        <v>5</v>
      </c>
      <c r="AS176" s="39" t="n">
        <f aca="false">+'CCs # Master'!AQ162</f>
        <v>0</v>
      </c>
      <c r="AT176" s="39" t="n">
        <f aca="false">+'CCs # Master'!AR162</f>
        <v>0</v>
      </c>
      <c r="AU176" s="39" t="n">
        <f aca="false">+'CCs # Master'!AS162</f>
        <v>0</v>
      </c>
      <c r="AV176" s="39" t="n">
        <f aca="false">+'CCs # Master'!AT162</f>
        <v>0</v>
      </c>
      <c r="AW176" s="100"/>
      <c r="AX176" s="71" t="n">
        <f aca="false">SUM(N176:AW176)</f>
        <v>532</v>
      </c>
      <c r="AY176" s="71" t="n">
        <f aca="false">+K176-AX176</f>
        <v>0</v>
      </c>
      <c r="AZ176" s="39"/>
      <c r="BA176" s="39" t="n">
        <f aca="false">+P176+Q176+T176+U176+V176+W176+X176+Y176</f>
        <v>86</v>
      </c>
      <c r="BB176" s="39" t="n">
        <f aca="false">N176</f>
        <v>42</v>
      </c>
      <c r="BC176" s="39" t="n">
        <f aca="false">SUM(P176:AW176)</f>
        <v>490</v>
      </c>
      <c r="BD176" s="39"/>
      <c r="BE176" s="39" t="n">
        <f aca="false">SUM(BB176:BC176)</f>
        <v>532</v>
      </c>
      <c r="BF176" s="39"/>
      <c r="BG176" s="48" t="n">
        <f aca="false">SUM(N176:AW176)</f>
        <v>532</v>
      </c>
      <c r="BH176" s="39" t="n">
        <f aca="false">BE176-BG176</f>
        <v>0</v>
      </c>
      <c r="BI176" s="39"/>
      <c r="BJ176" s="39"/>
      <c r="BK176" s="39"/>
      <c r="BL176" s="39"/>
      <c r="BM176" s="39"/>
      <c r="BN176" s="39"/>
      <c r="BO176" s="39"/>
      <c r="BP176" s="39"/>
      <c r="BQ176" s="39"/>
      <c r="BR176" s="39"/>
      <c r="BS176" s="39"/>
      <c r="BT176" s="39"/>
      <c r="BU176" s="39"/>
      <c r="BV176" s="39"/>
      <c r="BW176" s="39"/>
      <c r="BX176" s="39"/>
      <c r="BY176" s="39"/>
      <c r="BZ176" s="39"/>
      <c r="CA176" s="39"/>
      <c r="CB176" s="39"/>
      <c r="CC176" s="39"/>
      <c r="CD176" s="39"/>
      <c r="CE176" s="39"/>
      <c r="CF176" s="39"/>
      <c r="CG176" s="39"/>
      <c r="CH176" s="39"/>
      <c r="CI176" s="39"/>
      <c r="CJ176" s="39"/>
      <c r="CK176" s="39"/>
      <c r="CL176" s="39"/>
      <c r="CM176" s="39"/>
      <c r="CN176" s="39"/>
      <c r="CO176" s="39"/>
      <c r="CP176" s="39"/>
      <c r="CQ176" s="39"/>
      <c r="CR176" s="39"/>
      <c r="CS176" s="39"/>
      <c r="CT176" s="39"/>
      <c r="CU176" s="39"/>
      <c r="CV176" s="39"/>
      <c r="CW176" s="39"/>
      <c r="CX176" s="39"/>
      <c r="CY176" s="39"/>
      <c r="CZ176" s="39"/>
      <c r="DA176" s="39"/>
      <c r="DB176" s="39"/>
      <c r="DC176" s="39"/>
      <c r="DD176" s="39"/>
      <c r="DE176" s="39"/>
      <c r="DF176" s="39"/>
      <c r="DG176" s="39"/>
      <c r="DH176" s="39"/>
      <c r="DI176" s="39"/>
      <c r="DJ176" s="39"/>
      <c r="DK176" s="39"/>
      <c r="DL176" s="39"/>
      <c r="DM176" s="39"/>
      <c r="DN176" s="39"/>
      <c r="DO176" s="39"/>
      <c r="DP176" s="39"/>
      <c r="DQ176" s="39"/>
      <c r="DR176" s="39"/>
      <c r="DS176" s="39"/>
      <c r="DT176" s="39"/>
      <c r="DU176" s="39"/>
      <c r="DV176" s="39"/>
      <c r="DW176" s="39"/>
      <c r="DX176" s="39"/>
      <c r="DY176" s="39"/>
      <c r="DZ176" s="39"/>
      <c r="EA176" s="39"/>
      <c r="EB176" s="39"/>
      <c r="EC176" s="39"/>
      <c r="ED176" s="39"/>
      <c r="EE176" s="39"/>
      <c r="EF176" s="39"/>
      <c r="EG176" s="39"/>
      <c r="EH176" s="39"/>
      <c r="EI176" s="39"/>
      <c r="EJ176" s="39"/>
      <c r="EK176" s="39"/>
      <c r="EL176" s="39"/>
      <c r="EM176" s="39"/>
      <c r="EN176" s="39"/>
      <c r="EO176" s="39"/>
      <c r="EP176" s="39"/>
      <c r="EQ176" s="39"/>
      <c r="ER176" s="39"/>
      <c r="ES176" s="39"/>
      <c r="ET176" s="39"/>
      <c r="EU176" s="39"/>
      <c r="EV176" s="39"/>
      <c r="EW176" s="39"/>
      <c r="EX176" s="39"/>
      <c r="EY176" s="39"/>
      <c r="EZ176" s="39"/>
      <c r="FA176" s="39"/>
      <c r="FB176" s="39"/>
      <c r="FC176" s="39"/>
      <c r="FD176" s="39"/>
      <c r="FE176" s="39"/>
      <c r="FF176" s="39"/>
      <c r="FG176" s="39"/>
      <c r="FH176" s="39"/>
      <c r="FI176" s="39"/>
      <c r="FJ176" s="39"/>
      <c r="FK176" s="39"/>
      <c r="FL176" s="39"/>
      <c r="FM176" s="39"/>
      <c r="FN176" s="39"/>
      <c r="FO176" s="39"/>
      <c r="FP176" s="39"/>
      <c r="FQ176" s="39"/>
      <c r="FR176" s="39"/>
      <c r="FS176" s="39"/>
      <c r="FT176" s="39"/>
      <c r="FU176" s="39"/>
      <c r="FV176" s="39"/>
      <c r="FW176" s="39"/>
      <c r="FX176" s="39"/>
      <c r="FY176" s="39"/>
      <c r="FZ176" s="39"/>
      <c r="GA176" s="39"/>
      <c r="GB176" s="39"/>
      <c r="GC176" s="39"/>
      <c r="GD176" s="39"/>
      <c r="GE176" s="39"/>
      <c r="GF176" s="39"/>
      <c r="GG176" s="39"/>
      <c r="GH176" s="39"/>
      <c r="GI176" s="39"/>
      <c r="GJ176" s="39"/>
      <c r="GK176" s="39"/>
      <c r="GL176" s="39"/>
      <c r="GM176" s="39"/>
      <c r="GN176" s="39"/>
      <c r="GO176" s="39"/>
      <c r="GP176" s="39"/>
      <c r="GQ176" s="39"/>
      <c r="GR176" s="39"/>
      <c r="GS176" s="39"/>
      <c r="GT176" s="39"/>
      <c r="GU176" s="39"/>
      <c r="GV176" s="39"/>
      <c r="GW176" s="39"/>
      <c r="GX176" s="39"/>
      <c r="GY176" s="39"/>
      <c r="GZ176" s="39"/>
      <c r="HA176" s="39"/>
      <c r="HB176" s="39"/>
      <c r="HC176" s="39"/>
      <c r="HD176" s="39"/>
      <c r="HE176" s="39"/>
      <c r="HF176" s="39"/>
      <c r="HG176" s="39"/>
      <c r="HH176" s="39"/>
      <c r="HI176" s="39"/>
      <c r="HJ176" s="39"/>
      <c r="HK176" s="39"/>
      <c r="HL176" s="39"/>
      <c r="HM176" s="39"/>
      <c r="HN176" s="39"/>
      <c r="HO176" s="39"/>
      <c r="HP176" s="39"/>
      <c r="HQ176" s="39"/>
      <c r="HR176" s="39"/>
      <c r="HS176" s="39"/>
      <c r="HT176" s="39"/>
      <c r="HU176" s="39"/>
      <c r="HV176" s="39"/>
      <c r="HW176" s="39"/>
      <c r="HX176" s="39"/>
      <c r="HY176" s="39"/>
      <c r="HZ176" s="39"/>
      <c r="IA176" s="39"/>
      <c r="IB176" s="39"/>
      <c r="IC176" s="39"/>
      <c r="ID176" s="39"/>
      <c r="IE176" s="39"/>
      <c r="IF176" s="39"/>
      <c r="IG176" s="39"/>
      <c r="IH176" s="39"/>
      <c r="II176" s="39"/>
      <c r="IJ176" s="39"/>
      <c r="IK176" s="39"/>
      <c r="IL176" s="39"/>
      <c r="IM176" s="39"/>
      <c r="IN176" s="39"/>
      <c r="IO176" s="39"/>
      <c r="IP176" s="39"/>
      <c r="IQ176" s="39"/>
      <c r="IR176" s="39"/>
      <c r="IS176" s="39"/>
      <c r="IT176" s="39"/>
      <c r="IU176" s="39"/>
      <c r="IV176" s="39"/>
      <c r="IW176" s="39"/>
    </row>
    <row r="177" customFormat="false" ht="12.95" hidden="false" customHeight="true" outlineLevel="0" collapsed="false">
      <c r="A177" s="37" t="n">
        <f aca="false">+'CCs # Master'!A163</f>
        <v>11</v>
      </c>
      <c r="B177" s="99" t="str">
        <f aca="false">+'CCs # Master'!B163</f>
        <v>HR Data Mart</v>
      </c>
      <c r="C177" s="99" t="str">
        <f aca="false">+'CCs # Master'!C163</f>
        <v>Yowman, A</v>
      </c>
      <c r="D177" s="37" t="n">
        <f aca="false">+'CCs # Master'!D163</f>
        <v>103082</v>
      </c>
      <c r="E177" s="39" t="n">
        <f aca="false">+'CCs # Master'!E163</f>
        <v>64</v>
      </c>
      <c r="F177" s="39" t="n">
        <f aca="false">+'CCs # Master'!F163</f>
        <v>7</v>
      </c>
      <c r="G177" s="39" t="n">
        <f aca="false">+'CCs # Master'!G163</f>
        <v>2</v>
      </c>
      <c r="H177" s="39" t="n">
        <f aca="false">+'CCs # Master'!H163</f>
        <v>97</v>
      </c>
      <c r="I177" s="39" t="n">
        <f aca="false">+'CCs # Master'!I163</f>
        <v>13</v>
      </c>
      <c r="J177" s="39" t="n">
        <f aca="false">+'CCs # Master'!J163</f>
        <v>18</v>
      </c>
      <c r="K177" s="71" t="n">
        <f aca="false">SUM(E177:J177)</f>
        <v>201</v>
      </c>
      <c r="L177" s="39"/>
      <c r="M177" s="39" t="str">
        <f aca="false">+'CCs # Master'!M163</f>
        <v>% of Global Headcount</v>
      </c>
      <c r="N177" s="39" t="n">
        <f aca="false">+'CCs # Master'!AW163</f>
        <v>16</v>
      </c>
      <c r="O177" s="39" t="n">
        <v>0</v>
      </c>
      <c r="P177" s="39" t="n">
        <f aca="false">+'CCs # Master'!N163</f>
        <v>2</v>
      </c>
      <c r="Q177" s="39" t="n">
        <f aca="false">+'CCs # Master'!O163</f>
        <v>5</v>
      </c>
      <c r="R177" s="39" t="n">
        <f aca="false">+'CCs # Master'!P163</f>
        <v>7</v>
      </c>
      <c r="S177" s="39" t="n">
        <f aca="false">+'CCs # Master'!Q163</f>
        <v>5</v>
      </c>
      <c r="T177" s="39" t="n">
        <f aca="false">+'CCs # Master'!R163</f>
        <v>0</v>
      </c>
      <c r="U177" s="39" t="n">
        <f aca="false">+'CCs # Master'!S163</f>
        <v>0</v>
      </c>
      <c r="V177" s="39" t="n">
        <f aca="false">+'CCs # Master'!T163</f>
        <v>3</v>
      </c>
      <c r="W177" s="39" t="n">
        <f aca="false">+'CCs # Master'!U163</f>
        <v>18</v>
      </c>
      <c r="X177" s="39" t="n">
        <f aca="false">+'CCs # Master'!V163</f>
        <v>4</v>
      </c>
      <c r="Y177" s="39" t="n">
        <f aca="false">+'CCs # Master'!W163</f>
        <v>0</v>
      </c>
      <c r="Z177" s="39" t="n">
        <f aca="false">+'CCs # Master'!X163</f>
        <v>25</v>
      </c>
      <c r="AA177" s="39" t="n">
        <f aca="false">+'CCs # Master'!Y163</f>
        <v>0</v>
      </c>
      <c r="AB177" s="39" t="n">
        <f aca="false">+'CCs # Master'!Z163</f>
        <v>3</v>
      </c>
      <c r="AC177" s="39" t="n">
        <f aca="false">+'CCs # Master'!AA163</f>
        <v>1</v>
      </c>
      <c r="AD177" s="39" t="n">
        <f aca="false">+'CCs # Master'!AB163</f>
        <v>26</v>
      </c>
      <c r="AE177" s="39" t="n">
        <f aca="false">+'CCs # Master'!AC163</f>
        <v>1</v>
      </c>
      <c r="AF177" s="39" t="n">
        <f aca="false">+'CCs # Master'!AD163</f>
        <v>23</v>
      </c>
      <c r="AG177" s="39" t="n">
        <f aca="false">+'CCs # Master'!AE163</f>
        <v>18</v>
      </c>
      <c r="AH177" s="39" t="n">
        <f aca="false">+'CCs # Master'!AF163</f>
        <v>12</v>
      </c>
      <c r="AI177" s="39" t="n">
        <f aca="false">+'CCs # Master'!AG163</f>
        <v>0</v>
      </c>
      <c r="AJ177" s="39" t="n">
        <f aca="false">+'CCs # Master'!AH163</f>
        <v>1</v>
      </c>
      <c r="AK177" s="39" t="n">
        <f aca="false">+'CCs # Master'!AI163</f>
        <v>3</v>
      </c>
      <c r="AL177" s="39" t="n">
        <f aca="false">+'CCs # Master'!AJ163</f>
        <v>5</v>
      </c>
      <c r="AM177" s="39" t="n">
        <f aca="false">+'CCs # Master'!AK163</f>
        <v>2</v>
      </c>
      <c r="AN177" s="39" t="n">
        <f aca="false">+'CCs # Master'!AL163</f>
        <v>1</v>
      </c>
      <c r="AO177" s="39" t="n">
        <f aca="false">+'CCs # Master'!AM163</f>
        <v>11</v>
      </c>
      <c r="AP177" s="39" t="n">
        <f aca="false">+'CCs # Master'!AN163</f>
        <v>0</v>
      </c>
      <c r="AQ177" s="39" t="n">
        <f aca="false">+'CCs # Master'!AO163</f>
        <v>7</v>
      </c>
      <c r="AR177" s="39" t="n">
        <f aca="false">+'CCs # Master'!AP163</f>
        <v>2</v>
      </c>
      <c r="AS177" s="39" t="n">
        <f aca="false">+'CCs # Master'!AQ163</f>
        <v>0</v>
      </c>
      <c r="AT177" s="39" t="n">
        <f aca="false">+'CCs # Master'!AR163</f>
        <v>0</v>
      </c>
      <c r="AU177" s="39" t="n">
        <f aca="false">+'CCs # Master'!AS163</f>
        <v>0</v>
      </c>
      <c r="AV177" s="39" t="n">
        <f aca="false">+'CCs # Master'!AT163</f>
        <v>0</v>
      </c>
      <c r="AW177" s="100"/>
      <c r="AX177" s="71" t="n">
        <f aca="false">SUM(N177:AW177)</f>
        <v>201</v>
      </c>
      <c r="AY177" s="71" t="n">
        <f aca="false">+K177-AX177</f>
        <v>0</v>
      </c>
      <c r="AZ177" s="39"/>
      <c r="BA177" s="39" t="n">
        <f aca="false">+P177+Q177+T177+U177+V177+W177+X177+Y177</f>
        <v>32</v>
      </c>
      <c r="BB177" s="39" t="n">
        <f aca="false">N177</f>
        <v>16</v>
      </c>
      <c r="BC177" s="39" t="n">
        <f aca="false">SUM(P177:AW177)</f>
        <v>185</v>
      </c>
      <c r="BD177" s="39"/>
      <c r="BE177" s="39" t="n">
        <f aca="false">SUM(BB177:BC177)</f>
        <v>201</v>
      </c>
      <c r="BF177" s="39"/>
      <c r="BG177" s="48" t="n">
        <f aca="false">SUM(N177:AW177)</f>
        <v>201</v>
      </c>
      <c r="BH177" s="39" t="n">
        <f aca="false">BE177-BG177</f>
        <v>0</v>
      </c>
      <c r="BI177" s="39"/>
      <c r="BJ177" s="39"/>
      <c r="BK177" s="39"/>
      <c r="BL177" s="39"/>
      <c r="BM177" s="39"/>
      <c r="BN177" s="39"/>
      <c r="BO177" s="39"/>
      <c r="BP177" s="39"/>
      <c r="BQ177" s="39"/>
      <c r="BR177" s="39"/>
      <c r="BS177" s="39"/>
      <c r="BT177" s="39"/>
      <c r="BU177" s="39"/>
      <c r="BV177" s="39"/>
      <c r="BW177" s="39"/>
      <c r="BX177" s="39"/>
      <c r="BY177" s="39"/>
      <c r="BZ177" s="39"/>
      <c r="CA177" s="39"/>
      <c r="CB177" s="39"/>
      <c r="CC177" s="39"/>
      <c r="CD177" s="39"/>
      <c r="CE177" s="39"/>
      <c r="CF177" s="39"/>
      <c r="CG177" s="39"/>
      <c r="CH177" s="39"/>
      <c r="CI177" s="39"/>
      <c r="CJ177" s="39"/>
      <c r="CK177" s="39"/>
      <c r="CL177" s="39"/>
      <c r="CM177" s="39"/>
      <c r="CN177" s="39"/>
      <c r="CO177" s="39"/>
      <c r="CP177" s="39"/>
      <c r="CQ177" s="39"/>
      <c r="CR177" s="39"/>
      <c r="CS177" s="39"/>
      <c r="CT177" s="39"/>
      <c r="CU177" s="39"/>
      <c r="CV177" s="39"/>
      <c r="CW177" s="39"/>
      <c r="CX177" s="39"/>
      <c r="CY177" s="39"/>
      <c r="CZ177" s="39"/>
      <c r="DA177" s="39"/>
      <c r="DB177" s="39"/>
      <c r="DC177" s="39"/>
      <c r="DD177" s="39"/>
      <c r="DE177" s="39"/>
      <c r="DF177" s="39"/>
      <c r="DG177" s="39"/>
      <c r="DH177" s="39"/>
      <c r="DI177" s="39"/>
      <c r="DJ177" s="39"/>
      <c r="DK177" s="39"/>
      <c r="DL177" s="39"/>
      <c r="DM177" s="39"/>
      <c r="DN177" s="39"/>
      <c r="DO177" s="39"/>
      <c r="DP177" s="39"/>
      <c r="DQ177" s="39"/>
      <c r="DR177" s="39"/>
      <c r="DS177" s="39"/>
      <c r="DT177" s="39"/>
      <c r="DU177" s="39"/>
      <c r="DV177" s="39"/>
      <c r="DW177" s="39"/>
      <c r="DX177" s="39"/>
      <c r="DY177" s="39"/>
      <c r="DZ177" s="39"/>
      <c r="EA177" s="39"/>
      <c r="EB177" s="39"/>
      <c r="EC177" s="39"/>
      <c r="ED177" s="39"/>
      <c r="EE177" s="39"/>
      <c r="EF177" s="39"/>
      <c r="EG177" s="39"/>
      <c r="EH177" s="39"/>
      <c r="EI177" s="39"/>
      <c r="EJ177" s="39"/>
      <c r="EK177" s="39"/>
      <c r="EL177" s="39"/>
      <c r="EM177" s="39"/>
      <c r="EN177" s="39"/>
      <c r="EO177" s="39"/>
      <c r="EP177" s="39"/>
      <c r="EQ177" s="39"/>
      <c r="ER177" s="39"/>
      <c r="ES177" s="39"/>
      <c r="ET177" s="39"/>
      <c r="EU177" s="39"/>
      <c r="EV177" s="39"/>
      <c r="EW177" s="39"/>
      <c r="EX177" s="39"/>
      <c r="EY177" s="39"/>
      <c r="EZ177" s="39"/>
      <c r="FA177" s="39"/>
      <c r="FB177" s="39"/>
      <c r="FC177" s="39"/>
      <c r="FD177" s="39"/>
      <c r="FE177" s="39"/>
      <c r="FF177" s="39"/>
      <c r="FG177" s="39"/>
      <c r="FH177" s="39"/>
      <c r="FI177" s="39"/>
      <c r="FJ177" s="39"/>
      <c r="FK177" s="39"/>
      <c r="FL177" s="39"/>
      <c r="FM177" s="39"/>
      <c r="FN177" s="39"/>
      <c r="FO177" s="39"/>
      <c r="FP177" s="39"/>
      <c r="FQ177" s="39"/>
      <c r="FR177" s="39"/>
      <c r="FS177" s="39"/>
      <c r="FT177" s="39"/>
      <c r="FU177" s="39"/>
      <c r="FV177" s="39"/>
      <c r="FW177" s="39"/>
      <c r="FX177" s="39"/>
      <c r="FY177" s="39"/>
      <c r="FZ177" s="39"/>
      <c r="GA177" s="39"/>
      <c r="GB177" s="39"/>
      <c r="GC177" s="39"/>
      <c r="GD177" s="39"/>
      <c r="GE177" s="39"/>
      <c r="GF177" s="39"/>
      <c r="GG177" s="39"/>
      <c r="GH177" s="39"/>
      <c r="GI177" s="39"/>
      <c r="GJ177" s="39"/>
      <c r="GK177" s="39"/>
      <c r="GL177" s="39"/>
      <c r="GM177" s="39"/>
      <c r="GN177" s="39"/>
      <c r="GO177" s="39"/>
      <c r="GP177" s="39"/>
      <c r="GQ177" s="39"/>
      <c r="GR177" s="39"/>
      <c r="GS177" s="39"/>
      <c r="GT177" s="39"/>
      <c r="GU177" s="39"/>
      <c r="GV177" s="39"/>
      <c r="GW177" s="39"/>
      <c r="GX177" s="39"/>
      <c r="GY177" s="39"/>
      <c r="GZ177" s="39"/>
      <c r="HA177" s="39"/>
      <c r="HB177" s="39"/>
      <c r="HC177" s="39"/>
      <c r="HD177" s="39"/>
      <c r="HE177" s="39"/>
      <c r="HF177" s="39"/>
      <c r="HG177" s="39"/>
      <c r="HH177" s="39"/>
      <c r="HI177" s="39"/>
      <c r="HJ177" s="39"/>
      <c r="HK177" s="39"/>
      <c r="HL177" s="39"/>
      <c r="HM177" s="39"/>
      <c r="HN177" s="39"/>
      <c r="HO177" s="39"/>
      <c r="HP177" s="39"/>
      <c r="HQ177" s="39"/>
      <c r="HR177" s="39"/>
      <c r="HS177" s="39"/>
      <c r="HT177" s="39"/>
      <c r="HU177" s="39"/>
      <c r="HV177" s="39"/>
      <c r="HW177" s="39"/>
      <c r="HX177" s="39"/>
      <c r="HY177" s="39"/>
      <c r="HZ177" s="39"/>
      <c r="IA177" s="39"/>
      <c r="IB177" s="39"/>
      <c r="IC177" s="39"/>
      <c r="ID177" s="39"/>
      <c r="IE177" s="39"/>
      <c r="IF177" s="39"/>
      <c r="IG177" s="39"/>
      <c r="IH177" s="39"/>
      <c r="II177" s="39"/>
      <c r="IJ177" s="39"/>
      <c r="IK177" s="39"/>
      <c r="IL177" s="39"/>
      <c r="IM177" s="39"/>
      <c r="IN177" s="39"/>
      <c r="IO177" s="39"/>
      <c r="IP177" s="39"/>
      <c r="IQ177" s="39"/>
      <c r="IR177" s="39"/>
      <c r="IS177" s="39"/>
      <c r="IT177" s="39"/>
      <c r="IU177" s="39"/>
      <c r="IV177" s="39"/>
      <c r="IW177" s="39"/>
    </row>
    <row r="178" customFormat="false" ht="12.75" hidden="false" customHeight="true" outlineLevel="0" collapsed="false">
      <c r="A178" s="37" t="n">
        <f aca="false">+'CCs # Master'!A164</f>
        <v>11</v>
      </c>
      <c r="B178" s="99" t="str">
        <f aca="false">+'CCs # Master'!B164</f>
        <v>ClickAtHome Program</v>
      </c>
      <c r="C178" s="99" t="str">
        <f aca="false">+'CCs # Master'!C164</f>
        <v>Brown, S</v>
      </c>
      <c r="D178" s="37" t="n">
        <f aca="false">+'CCs # Master'!D164</f>
        <v>103083</v>
      </c>
      <c r="E178" s="39" t="n">
        <f aca="false">+'CCs # Master'!E164</f>
        <v>0</v>
      </c>
      <c r="F178" s="39" t="n">
        <f aca="false">+'CCs # Master'!F164</f>
        <v>0</v>
      </c>
      <c r="G178" s="39" t="n">
        <f aca="false">+'CCs # Master'!G164</f>
        <v>0</v>
      </c>
      <c r="H178" s="39" t="n">
        <f aca="false">+'CCs # Master'!H164</f>
        <v>11031</v>
      </c>
      <c r="I178" s="39" t="n">
        <f aca="false">+'CCs # Master'!I164</f>
        <v>0</v>
      </c>
      <c r="J178" s="39" t="n">
        <f aca="false">+'CCs # Master'!J164</f>
        <v>-8</v>
      </c>
      <c r="K178" s="71" t="n">
        <f aca="false">SUM(E178:J178)</f>
        <v>11023</v>
      </c>
      <c r="L178" s="39"/>
      <c r="M178" s="39" t="str">
        <f aca="false">+'CCs # Master'!M164</f>
        <v>% of Global Headcount</v>
      </c>
      <c r="N178" s="39" t="n">
        <f aca="false">+'CCs # Master'!AW164</f>
        <v>933</v>
      </c>
      <c r="O178" s="39" t="n">
        <v>0</v>
      </c>
      <c r="P178" s="39" t="n">
        <f aca="false">+'CCs # Master'!N164</f>
        <v>142</v>
      </c>
      <c r="Q178" s="39" t="n">
        <f aca="false">+'CCs # Master'!O164</f>
        <v>270</v>
      </c>
      <c r="R178" s="39" t="n">
        <f aca="false">+'CCs # Master'!P164</f>
        <v>407</v>
      </c>
      <c r="S178" s="39" t="n">
        <f aca="false">+'CCs # Master'!Q164</f>
        <v>305</v>
      </c>
      <c r="T178" s="39" t="n">
        <f aca="false">+'CCs # Master'!R164</f>
        <v>28</v>
      </c>
      <c r="U178" s="39" t="n">
        <f aca="false">+'CCs # Master'!S164</f>
        <v>0</v>
      </c>
      <c r="V178" s="39" t="n">
        <f aca="false">+'CCs # Master'!T164</f>
        <v>162</v>
      </c>
      <c r="W178" s="39" t="n">
        <f aca="false">+'CCs # Master'!U164</f>
        <v>1047</v>
      </c>
      <c r="X178" s="39" t="n">
        <f aca="false">+'CCs # Master'!V164</f>
        <v>201</v>
      </c>
      <c r="Y178" s="39" t="n">
        <f aca="false">+'CCs # Master'!W164</f>
        <v>80</v>
      </c>
      <c r="Z178" s="39" t="n">
        <f aca="false">+'CCs # Master'!X164</f>
        <v>1483</v>
      </c>
      <c r="AA178" s="39" t="n">
        <f aca="false">+'CCs # Master'!Y164</f>
        <v>13</v>
      </c>
      <c r="AB178" s="39" t="n">
        <f aca="false">+'CCs # Master'!Z164</f>
        <v>163</v>
      </c>
      <c r="AC178" s="39" t="n">
        <f aca="false">+'CCs # Master'!AA164</f>
        <v>33</v>
      </c>
      <c r="AD178" s="39" t="n">
        <f aca="false">+'CCs # Master'!AB164</f>
        <v>1512</v>
      </c>
      <c r="AE178" s="39" t="n">
        <f aca="false">+'CCs # Master'!AC164</f>
        <v>66</v>
      </c>
      <c r="AF178" s="39" t="n">
        <f aca="false">+'CCs # Master'!AD164</f>
        <v>1358</v>
      </c>
      <c r="AG178" s="39" t="n">
        <f aca="false">+'CCs # Master'!AE164</f>
        <v>1038</v>
      </c>
      <c r="AH178" s="39" t="n">
        <f aca="false">+'CCs # Master'!AF164</f>
        <v>0</v>
      </c>
      <c r="AI178" s="39" t="n">
        <f aca="false">+'CCs # Master'!AG164</f>
        <v>0</v>
      </c>
      <c r="AJ178" s="39" t="n">
        <f aca="false">+'CCs # Master'!AH164</f>
        <v>72</v>
      </c>
      <c r="AK178" s="39" t="n">
        <f aca="false">+'CCs # Master'!AI164</f>
        <v>207</v>
      </c>
      <c r="AL178" s="39" t="n">
        <f aca="false">+'CCs # Master'!AJ164</f>
        <v>311</v>
      </c>
      <c r="AM178" s="39" t="n">
        <f aca="false">+'CCs # Master'!AK164</f>
        <v>0</v>
      </c>
      <c r="AN178" s="39" t="n">
        <f aca="false">+'CCs # Master'!AL164</f>
        <v>31</v>
      </c>
      <c r="AO178" s="39" t="n">
        <f aca="false">+'CCs # Master'!AM164</f>
        <v>667</v>
      </c>
      <c r="AP178" s="39" t="n">
        <f aca="false">+'CCs # Master'!AN164</f>
        <v>0</v>
      </c>
      <c r="AQ178" s="39" t="n">
        <f aca="false">+'CCs # Master'!AO164</f>
        <v>389</v>
      </c>
      <c r="AR178" s="39" t="n">
        <f aca="false">+'CCs # Master'!AP164</f>
        <v>105</v>
      </c>
      <c r="AS178" s="39" t="n">
        <f aca="false">+'CCs # Master'!AQ164</f>
        <v>0</v>
      </c>
      <c r="AT178" s="39" t="n">
        <f aca="false">+'CCs # Master'!AR164</f>
        <v>0</v>
      </c>
      <c r="AU178" s="39" t="n">
        <f aca="false">+'CCs # Master'!AS164</f>
        <v>0</v>
      </c>
      <c r="AV178" s="39" t="n">
        <f aca="false">+'CCs # Master'!AT164</f>
        <v>0</v>
      </c>
      <c r="AW178" s="100"/>
      <c r="AX178" s="71" t="n">
        <f aca="false">SUM(N178:AW178)</f>
        <v>11023</v>
      </c>
      <c r="AY178" s="71" t="n">
        <f aca="false">+K178-AX178</f>
        <v>0</v>
      </c>
      <c r="AZ178" s="39"/>
      <c r="BA178" s="39" t="n">
        <f aca="false">+P178+Q178+T178+U178+V178+W178+X178+Y178</f>
        <v>1930</v>
      </c>
      <c r="BB178" s="39" t="n">
        <f aca="false">N178</f>
        <v>933</v>
      </c>
      <c r="BC178" s="39" t="n">
        <f aca="false">SUM(P178:AW178)</f>
        <v>10090</v>
      </c>
      <c r="BD178" s="39"/>
      <c r="BE178" s="39" t="n">
        <f aca="false">SUM(BB178:BC178)</f>
        <v>11023</v>
      </c>
      <c r="BF178" s="39"/>
      <c r="BG178" s="48" t="n">
        <f aca="false">SUM(N178:AW178)</f>
        <v>11023</v>
      </c>
      <c r="BH178" s="39" t="n">
        <f aca="false">BE178-BG178</f>
        <v>0</v>
      </c>
      <c r="BI178" s="39"/>
      <c r="BJ178" s="39"/>
      <c r="BK178" s="39"/>
      <c r="BL178" s="39"/>
      <c r="BM178" s="39"/>
      <c r="BN178" s="39"/>
      <c r="BO178" s="39"/>
      <c r="BP178" s="39"/>
      <c r="BQ178" s="39"/>
      <c r="BR178" s="39"/>
      <c r="BS178" s="39"/>
      <c r="BT178" s="39"/>
      <c r="BU178" s="39"/>
      <c r="BV178" s="39"/>
      <c r="BW178" s="39"/>
      <c r="BX178" s="39"/>
      <c r="BY178" s="39"/>
      <c r="BZ178" s="39"/>
      <c r="CA178" s="39"/>
      <c r="CB178" s="39"/>
      <c r="CC178" s="39"/>
      <c r="CD178" s="39"/>
      <c r="CE178" s="39"/>
      <c r="CF178" s="39"/>
      <c r="CG178" s="39"/>
      <c r="CH178" s="39"/>
      <c r="CI178" s="39"/>
      <c r="CJ178" s="39"/>
      <c r="CK178" s="39"/>
      <c r="CL178" s="39"/>
      <c r="CM178" s="39"/>
      <c r="CN178" s="39"/>
      <c r="CO178" s="39"/>
      <c r="CP178" s="39"/>
      <c r="CQ178" s="39"/>
      <c r="CR178" s="39"/>
      <c r="CS178" s="39"/>
      <c r="CT178" s="39"/>
      <c r="CU178" s="39"/>
      <c r="CV178" s="39"/>
      <c r="CW178" s="39"/>
      <c r="CX178" s="39"/>
      <c r="CY178" s="39"/>
      <c r="CZ178" s="39"/>
      <c r="DA178" s="39"/>
      <c r="DB178" s="39"/>
      <c r="DC178" s="39"/>
      <c r="DD178" s="39"/>
      <c r="DE178" s="39"/>
      <c r="DF178" s="39"/>
      <c r="DG178" s="39"/>
      <c r="DH178" s="39"/>
      <c r="DI178" s="39"/>
      <c r="DJ178" s="39"/>
      <c r="DK178" s="39"/>
      <c r="DL178" s="39"/>
      <c r="DM178" s="39"/>
      <c r="DN178" s="39"/>
      <c r="DO178" s="39"/>
      <c r="DP178" s="39"/>
      <c r="DQ178" s="39"/>
      <c r="DR178" s="39"/>
      <c r="DS178" s="39"/>
      <c r="DT178" s="39"/>
      <c r="DU178" s="39"/>
      <c r="DV178" s="39"/>
      <c r="DW178" s="39"/>
      <c r="DX178" s="39"/>
      <c r="DY178" s="39"/>
      <c r="DZ178" s="39"/>
      <c r="EA178" s="39"/>
      <c r="EB178" s="39"/>
      <c r="EC178" s="39"/>
      <c r="ED178" s="39"/>
      <c r="EE178" s="39"/>
      <c r="EF178" s="39"/>
      <c r="EG178" s="39"/>
      <c r="EH178" s="39"/>
      <c r="EI178" s="39"/>
      <c r="EJ178" s="39"/>
      <c r="EK178" s="39"/>
      <c r="EL178" s="39"/>
      <c r="EM178" s="39"/>
      <c r="EN178" s="39"/>
      <c r="EO178" s="39"/>
      <c r="EP178" s="39"/>
      <c r="EQ178" s="39"/>
      <c r="ER178" s="39"/>
      <c r="ES178" s="39"/>
      <c r="ET178" s="39"/>
      <c r="EU178" s="39"/>
      <c r="EV178" s="39"/>
      <c r="EW178" s="39"/>
      <c r="EX178" s="39"/>
      <c r="EY178" s="39"/>
      <c r="EZ178" s="39"/>
      <c r="FA178" s="39"/>
      <c r="FB178" s="39"/>
      <c r="FC178" s="39"/>
      <c r="FD178" s="39"/>
      <c r="FE178" s="39"/>
      <c r="FF178" s="39"/>
      <c r="FG178" s="39"/>
      <c r="FH178" s="39"/>
      <c r="FI178" s="39"/>
      <c r="FJ178" s="39"/>
      <c r="FK178" s="39"/>
      <c r="FL178" s="39"/>
      <c r="FM178" s="39"/>
      <c r="FN178" s="39"/>
      <c r="FO178" s="39"/>
      <c r="FP178" s="39"/>
      <c r="FQ178" s="39"/>
      <c r="FR178" s="39"/>
      <c r="FS178" s="39"/>
      <c r="FT178" s="39"/>
      <c r="FU178" s="39"/>
      <c r="FV178" s="39"/>
      <c r="FW178" s="39"/>
      <c r="FX178" s="39"/>
      <c r="FY178" s="39"/>
      <c r="FZ178" s="39"/>
      <c r="GA178" s="39"/>
      <c r="GB178" s="39"/>
      <c r="GC178" s="39"/>
      <c r="GD178" s="39"/>
      <c r="GE178" s="39"/>
      <c r="GF178" s="39"/>
      <c r="GG178" s="39"/>
      <c r="GH178" s="39"/>
      <c r="GI178" s="39"/>
      <c r="GJ178" s="39"/>
      <c r="GK178" s="39"/>
      <c r="GL178" s="39"/>
      <c r="GM178" s="39"/>
      <c r="GN178" s="39"/>
      <c r="GO178" s="39"/>
      <c r="GP178" s="39"/>
      <c r="GQ178" s="39"/>
      <c r="GR178" s="39"/>
      <c r="GS178" s="39"/>
      <c r="GT178" s="39"/>
      <c r="GU178" s="39"/>
      <c r="GV178" s="39"/>
      <c r="GW178" s="39"/>
      <c r="GX178" s="39"/>
      <c r="GY178" s="39"/>
      <c r="GZ178" s="39"/>
      <c r="HA178" s="39"/>
      <c r="HB178" s="39"/>
      <c r="HC178" s="39"/>
      <c r="HD178" s="39"/>
      <c r="HE178" s="39"/>
      <c r="HF178" s="39"/>
      <c r="HG178" s="39"/>
      <c r="HH178" s="39"/>
      <c r="HI178" s="39"/>
      <c r="HJ178" s="39"/>
      <c r="HK178" s="39"/>
      <c r="HL178" s="39"/>
      <c r="HM178" s="39"/>
      <c r="HN178" s="39"/>
      <c r="HO178" s="39"/>
      <c r="HP178" s="39"/>
      <c r="HQ178" s="39"/>
      <c r="HR178" s="39"/>
      <c r="HS178" s="39"/>
      <c r="HT178" s="39"/>
      <c r="HU178" s="39"/>
      <c r="HV178" s="39"/>
      <c r="HW178" s="39"/>
      <c r="HX178" s="39"/>
      <c r="HY178" s="39"/>
      <c r="HZ178" s="39"/>
      <c r="IA178" s="39"/>
      <c r="IB178" s="39"/>
      <c r="IC178" s="39"/>
      <c r="ID178" s="39"/>
      <c r="IE178" s="39"/>
      <c r="IF178" s="39"/>
      <c r="IG178" s="39"/>
      <c r="IH178" s="39"/>
      <c r="II178" s="39"/>
      <c r="IJ178" s="39"/>
      <c r="IK178" s="39"/>
      <c r="IL178" s="39"/>
      <c r="IM178" s="39"/>
      <c r="IN178" s="39"/>
      <c r="IO178" s="39"/>
      <c r="IP178" s="39"/>
      <c r="IQ178" s="39"/>
      <c r="IR178" s="39"/>
      <c r="IS178" s="39"/>
      <c r="IT178" s="39"/>
      <c r="IU178" s="39"/>
      <c r="IV178" s="39"/>
      <c r="IW178" s="39"/>
    </row>
    <row r="179" customFormat="false" ht="12.95" hidden="false" customHeight="true" outlineLevel="0" collapsed="false">
      <c r="A179" s="37" t="n">
        <f aca="false">+'CCs # Master'!A181</f>
        <v>11</v>
      </c>
      <c r="B179" s="99" t="str">
        <f aca="false">+'CCs # Master'!B181</f>
        <v>Personic Operations</v>
      </c>
      <c r="C179" s="99" t="str">
        <f aca="false">+'CCs # Master'!C181</f>
        <v>O'Dell, David</v>
      </c>
      <c r="D179" s="37" t="n">
        <f aca="false">+'CCs # Master'!D181</f>
        <v>103218</v>
      </c>
      <c r="E179" s="39" t="n">
        <f aca="false">+'CCs # Master'!E181</f>
        <v>289</v>
      </c>
      <c r="F179" s="39" t="n">
        <f aca="false">+'CCs # Master'!F181</f>
        <v>5</v>
      </c>
      <c r="G179" s="39" t="n">
        <f aca="false">+'CCs # Master'!G181</f>
        <v>6</v>
      </c>
      <c r="H179" s="39" t="n">
        <f aca="false">+'CCs # Master'!H181</f>
        <v>6</v>
      </c>
      <c r="I179" s="39" t="n">
        <f aca="false">+'CCs # Master'!I181</f>
        <v>162</v>
      </c>
      <c r="J179" s="39" t="n">
        <f aca="false">+'CCs # Master'!J181</f>
        <v>-300</v>
      </c>
      <c r="K179" s="71" t="n">
        <f aca="false">SUM(E179:J179)</f>
        <v>168</v>
      </c>
      <c r="L179" s="39"/>
      <c r="M179" s="39" t="str">
        <f aca="false">+'CCs # Master'!M181</f>
        <v>% of Domestic Headcount</v>
      </c>
      <c r="N179" s="39" t="n">
        <f aca="false">+'CCs # Master'!AW181</f>
        <v>17</v>
      </c>
      <c r="O179" s="39" t="n">
        <v>0</v>
      </c>
      <c r="P179" s="39" t="n">
        <f aca="false">+'CCs # Master'!N181</f>
        <v>3</v>
      </c>
      <c r="Q179" s="39" t="n">
        <f aca="false">+'CCs # Master'!O181</f>
        <v>5</v>
      </c>
      <c r="R179" s="39" t="n">
        <f aca="false">+'CCs # Master'!P181</f>
        <v>5</v>
      </c>
      <c r="S179" s="39" t="n">
        <f aca="false">+'CCs # Master'!Q181</f>
        <v>6</v>
      </c>
      <c r="T179" s="39" t="n">
        <f aca="false">+'CCs # Master'!R181</f>
        <v>1</v>
      </c>
      <c r="U179" s="39" t="n">
        <f aca="false">+'CCs # Master'!S181</f>
        <v>0</v>
      </c>
      <c r="V179" s="39" t="n">
        <f aca="false">+'CCs # Master'!T181</f>
        <v>3</v>
      </c>
      <c r="W179" s="39" t="n">
        <f aca="false">+'CCs # Master'!U181</f>
        <v>20</v>
      </c>
      <c r="X179" s="39" t="n">
        <f aca="false">+'CCs # Master'!V181</f>
        <v>4</v>
      </c>
      <c r="Y179" s="39" t="n">
        <f aca="false">+'CCs # Master'!W181</f>
        <v>2</v>
      </c>
      <c r="Z179" s="39" t="n">
        <f aca="false">+'CCs # Master'!X181</f>
        <v>27</v>
      </c>
      <c r="AA179" s="39" t="n">
        <f aca="false">+'CCs # Master'!Y181</f>
        <v>0</v>
      </c>
      <c r="AB179" s="39" t="n">
        <f aca="false">+'CCs # Master'!Z181</f>
        <v>3</v>
      </c>
      <c r="AC179" s="39" t="n">
        <f aca="false">+'CCs # Master'!AA181</f>
        <v>1</v>
      </c>
      <c r="AD179" s="39" t="n">
        <f aca="false">+'CCs # Master'!AB181</f>
        <v>0</v>
      </c>
      <c r="AE179" s="39" t="n">
        <f aca="false">+'CCs # Master'!AC181</f>
        <v>1</v>
      </c>
      <c r="AF179" s="39" t="n">
        <f aca="false">+'CCs # Master'!AD181</f>
        <v>24</v>
      </c>
      <c r="AG179" s="39" t="n">
        <f aca="false">+'CCs # Master'!AE181</f>
        <v>19</v>
      </c>
      <c r="AH179" s="39" t="n">
        <f aca="false">+'CCs # Master'!AF181</f>
        <v>0</v>
      </c>
      <c r="AI179" s="39" t="n">
        <f aca="false">+'CCs # Master'!AG181</f>
        <v>0</v>
      </c>
      <c r="AJ179" s="39" t="n">
        <f aca="false">+'CCs # Master'!AH181</f>
        <v>1</v>
      </c>
      <c r="AK179" s="39" t="n">
        <f aca="false">+'CCs # Master'!AI181</f>
        <v>1</v>
      </c>
      <c r="AL179" s="39" t="n">
        <f aca="false">+'CCs # Master'!AJ181</f>
        <v>1</v>
      </c>
      <c r="AM179" s="39" t="n">
        <f aca="false">+'CCs # Master'!AK181</f>
        <v>2</v>
      </c>
      <c r="AN179" s="39" t="n">
        <f aca="false">+'CCs # Master'!AL181</f>
        <v>1</v>
      </c>
      <c r="AO179" s="39" t="n">
        <f aca="false">+'CCs # Master'!AM181</f>
        <v>12</v>
      </c>
      <c r="AP179" s="39" t="n">
        <f aca="false">+'CCs # Master'!AN181</f>
        <v>0</v>
      </c>
      <c r="AQ179" s="39" t="n">
        <f aca="false">+'CCs # Master'!AO181</f>
        <v>7</v>
      </c>
      <c r="AR179" s="39" t="n">
        <f aca="false">+'CCs # Master'!AP181</f>
        <v>2</v>
      </c>
      <c r="AS179" s="39" t="n">
        <f aca="false">+'CCs # Master'!AQ181</f>
        <v>0</v>
      </c>
      <c r="AT179" s="39" t="n">
        <f aca="false">+'CCs # Master'!AR181</f>
        <v>0</v>
      </c>
      <c r="AU179" s="39" t="n">
        <f aca="false">+'CCs # Master'!AS181</f>
        <v>0</v>
      </c>
      <c r="AV179" s="39" t="n">
        <f aca="false">+'CCs # Master'!AT181</f>
        <v>0</v>
      </c>
      <c r="AW179" s="100"/>
      <c r="AX179" s="71" t="n">
        <f aca="false">SUM(N179:AW179)</f>
        <v>168</v>
      </c>
      <c r="AY179" s="71" t="n">
        <f aca="false">+K179-AX179</f>
        <v>0</v>
      </c>
      <c r="AZ179" s="39"/>
      <c r="BA179" s="39" t="n">
        <f aca="false">+P179+Q179+T179+U179+V179+W179+X179+Y179</f>
        <v>38</v>
      </c>
      <c r="BB179" s="39" t="n">
        <f aca="false">N179</f>
        <v>17</v>
      </c>
      <c r="BC179" s="39" t="n">
        <f aca="false">SUM(P179:AW179)</f>
        <v>151</v>
      </c>
      <c r="BD179" s="39"/>
      <c r="BE179" s="39" t="n">
        <f aca="false">SUM(BB179:BC179)</f>
        <v>168</v>
      </c>
      <c r="BF179" s="39"/>
      <c r="BG179" s="48" t="n">
        <f aca="false">SUM(N179:AW179)</f>
        <v>168</v>
      </c>
      <c r="BH179" s="39" t="n">
        <f aca="false">BE179-BG179</f>
        <v>0</v>
      </c>
      <c r="BI179" s="39"/>
      <c r="BJ179" s="39"/>
      <c r="BK179" s="39"/>
      <c r="BL179" s="39"/>
      <c r="BM179" s="39"/>
      <c r="BN179" s="39"/>
      <c r="BO179" s="39"/>
      <c r="BP179" s="39"/>
      <c r="BQ179" s="39"/>
      <c r="BR179" s="39"/>
      <c r="BS179" s="39"/>
      <c r="BT179" s="39"/>
      <c r="BU179" s="39"/>
      <c r="BV179" s="39"/>
      <c r="BW179" s="39"/>
      <c r="BX179" s="39"/>
      <c r="BY179" s="39"/>
      <c r="BZ179" s="39"/>
      <c r="CA179" s="39"/>
      <c r="CB179" s="39"/>
      <c r="CC179" s="39"/>
      <c r="CD179" s="39"/>
      <c r="CE179" s="39"/>
      <c r="CF179" s="39"/>
      <c r="CG179" s="39"/>
      <c r="CH179" s="39"/>
      <c r="CI179" s="39"/>
      <c r="CJ179" s="39"/>
      <c r="CK179" s="39"/>
      <c r="CL179" s="39"/>
      <c r="CM179" s="39"/>
      <c r="CN179" s="39"/>
      <c r="CO179" s="39"/>
      <c r="CP179" s="39"/>
      <c r="CQ179" s="39"/>
      <c r="CR179" s="39"/>
      <c r="CS179" s="39"/>
      <c r="CT179" s="39"/>
      <c r="CU179" s="39"/>
      <c r="CV179" s="39"/>
      <c r="CW179" s="39"/>
      <c r="CX179" s="39"/>
      <c r="CY179" s="39"/>
      <c r="CZ179" s="39"/>
      <c r="DA179" s="39"/>
      <c r="DB179" s="39"/>
      <c r="DC179" s="39"/>
      <c r="DD179" s="39"/>
      <c r="DE179" s="39"/>
      <c r="DF179" s="39"/>
      <c r="DG179" s="39"/>
      <c r="DH179" s="39"/>
      <c r="DI179" s="39"/>
      <c r="DJ179" s="39"/>
      <c r="DK179" s="39"/>
      <c r="DL179" s="39"/>
      <c r="DM179" s="39"/>
      <c r="DN179" s="39"/>
      <c r="DO179" s="39"/>
      <c r="DP179" s="39"/>
      <c r="DQ179" s="39"/>
      <c r="DR179" s="39"/>
      <c r="DS179" s="39"/>
      <c r="DT179" s="39"/>
      <c r="DU179" s="39"/>
      <c r="DV179" s="39"/>
      <c r="DW179" s="39"/>
      <c r="DX179" s="39"/>
      <c r="DY179" s="39"/>
      <c r="DZ179" s="39"/>
      <c r="EA179" s="39"/>
      <c r="EB179" s="39"/>
      <c r="EC179" s="39"/>
      <c r="ED179" s="39"/>
      <c r="EE179" s="39"/>
      <c r="EF179" s="39"/>
      <c r="EG179" s="39"/>
      <c r="EH179" s="39"/>
      <c r="EI179" s="39"/>
      <c r="EJ179" s="39"/>
      <c r="EK179" s="39"/>
      <c r="EL179" s="39"/>
      <c r="EM179" s="39"/>
      <c r="EN179" s="39"/>
      <c r="EO179" s="39"/>
      <c r="EP179" s="39"/>
      <c r="EQ179" s="39"/>
      <c r="ER179" s="39"/>
      <c r="ES179" s="39"/>
      <c r="ET179" s="39"/>
      <c r="EU179" s="39"/>
      <c r="EV179" s="39"/>
      <c r="EW179" s="39"/>
      <c r="EX179" s="39"/>
      <c r="EY179" s="39"/>
      <c r="EZ179" s="39"/>
      <c r="FA179" s="39"/>
      <c r="FB179" s="39"/>
      <c r="FC179" s="39"/>
      <c r="FD179" s="39"/>
      <c r="FE179" s="39"/>
      <c r="FF179" s="39"/>
      <c r="FG179" s="39"/>
      <c r="FH179" s="39"/>
      <c r="FI179" s="39"/>
      <c r="FJ179" s="39"/>
      <c r="FK179" s="39"/>
      <c r="FL179" s="39"/>
      <c r="FM179" s="39"/>
      <c r="FN179" s="39"/>
      <c r="FO179" s="39"/>
      <c r="FP179" s="39"/>
      <c r="FQ179" s="39"/>
      <c r="FR179" s="39"/>
      <c r="FS179" s="39"/>
      <c r="FT179" s="39"/>
      <c r="FU179" s="39"/>
      <c r="FV179" s="39"/>
      <c r="FW179" s="39"/>
      <c r="FX179" s="39"/>
      <c r="FY179" s="39"/>
      <c r="FZ179" s="39"/>
      <c r="GA179" s="39"/>
      <c r="GB179" s="39"/>
      <c r="GC179" s="39"/>
      <c r="GD179" s="39"/>
      <c r="GE179" s="39"/>
      <c r="GF179" s="39"/>
      <c r="GG179" s="39"/>
      <c r="GH179" s="39"/>
      <c r="GI179" s="39"/>
      <c r="GJ179" s="39"/>
      <c r="GK179" s="39"/>
      <c r="GL179" s="39"/>
      <c r="GM179" s="39"/>
      <c r="GN179" s="39"/>
      <c r="GO179" s="39"/>
      <c r="GP179" s="39"/>
      <c r="GQ179" s="39"/>
      <c r="GR179" s="39"/>
      <c r="GS179" s="39"/>
      <c r="GT179" s="39"/>
      <c r="GU179" s="39"/>
      <c r="GV179" s="39"/>
      <c r="GW179" s="39"/>
      <c r="GX179" s="39"/>
      <c r="GY179" s="39"/>
      <c r="GZ179" s="39"/>
      <c r="HA179" s="39"/>
      <c r="HB179" s="39"/>
      <c r="HC179" s="39"/>
      <c r="HD179" s="39"/>
      <c r="HE179" s="39"/>
      <c r="HF179" s="39"/>
      <c r="HG179" s="39"/>
      <c r="HH179" s="39"/>
      <c r="HI179" s="39"/>
      <c r="HJ179" s="39"/>
      <c r="HK179" s="39"/>
      <c r="HL179" s="39"/>
      <c r="HM179" s="39"/>
      <c r="HN179" s="39"/>
      <c r="HO179" s="39"/>
      <c r="HP179" s="39"/>
      <c r="HQ179" s="39"/>
      <c r="HR179" s="39"/>
      <c r="HS179" s="39"/>
      <c r="HT179" s="39"/>
      <c r="HU179" s="39"/>
      <c r="HV179" s="39"/>
      <c r="HW179" s="39"/>
      <c r="HX179" s="39"/>
      <c r="HY179" s="39"/>
      <c r="HZ179" s="39"/>
      <c r="IA179" s="39"/>
      <c r="IB179" s="39"/>
      <c r="IC179" s="39"/>
      <c r="ID179" s="39"/>
      <c r="IE179" s="39"/>
      <c r="IF179" s="39"/>
      <c r="IG179" s="39"/>
      <c r="IH179" s="39"/>
      <c r="II179" s="39"/>
      <c r="IJ179" s="39"/>
      <c r="IK179" s="39"/>
      <c r="IL179" s="39"/>
      <c r="IM179" s="39"/>
      <c r="IN179" s="39"/>
      <c r="IO179" s="39"/>
      <c r="IP179" s="39"/>
      <c r="IQ179" s="39"/>
      <c r="IR179" s="39"/>
      <c r="IS179" s="39"/>
      <c r="IT179" s="39"/>
      <c r="IU179" s="39"/>
      <c r="IV179" s="39"/>
      <c r="IW179" s="39"/>
    </row>
    <row r="180" customFormat="false" ht="12.95" hidden="false" customHeight="true" outlineLevel="0" collapsed="false">
      <c r="A180" s="37" t="n">
        <f aca="false">+'CCs # Master'!A189</f>
        <v>11</v>
      </c>
      <c r="B180" s="99" t="str">
        <f aca="false">+'CCs # Master'!B189</f>
        <v>HR Communications</v>
      </c>
      <c r="C180" s="99" t="str">
        <f aca="false">+'CCs # Master'!C189</f>
        <v>Olson, Cindy</v>
      </c>
      <c r="D180" s="37" t="n">
        <f aca="false">+'CCs # Master'!D189</f>
        <v>103384</v>
      </c>
      <c r="E180" s="39" t="n">
        <f aca="false">+'CCs # Master'!E189</f>
        <v>278</v>
      </c>
      <c r="F180" s="39" t="n">
        <f aca="false">+'CCs # Master'!F189</f>
        <v>5</v>
      </c>
      <c r="G180" s="39" t="n">
        <f aca="false">+'CCs # Master'!G189</f>
        <v>5</v>
      </c>
      <c r="H180" s="39" t="n">
        <f aca="false">+'CCs # Master'!H189</f>
        <v>43</v>
      </c>
      <c r="I180" s="39" t="n">
        <f aca="false">+'CCs # Master'!I189</f>
        <v>68</v>
      </c>
      <c r="J180" s="39" t="n">
        <f aca="false">+'CCs # Master'!J189</f>
        <v>-99</v>
      </c>
      <c r="K180" s="71" t="n">
        <f aca="false">SUM(E180:J180)</f>
        <v>300</v>
      </c>
      <c r="L180" s="39"/>
      <c r="M180" s="39" t="str">
        <f aca="false">+'CCs # Master'!M189</f>
        <v>% Domestic Headcount</v>
      </c>
      <c r="N180" s="39" t="n">
        <f aca="false">+'CCs # Master'!AW189</f>
        <v>30</v>
      </c>
      <c r="O180" s="39" t="n">
        <v>0</v>
      </c>
      <c r="P180" s="39" t="n">
        <f aca="false">+'CCs # Master'!N189</f>
        <v>5</v>
      </c>
      <c r="Q180" s="39" t="n">
        <f aca="false">+'CCs # Master'!O189</f>
        <v>9</v>
      </c>
      <c r="R180" s="39" t="n">
        <f aca="false">+'CCs # Master'!P189</f>
        <v>10</v>
      </c>
      <c r="S180" s="39" t="n">
        <f aca="false">+'CCs # Master'!Q189</f>
        <v>10</v>
      </c>
      <c r="T180" s="39" t="n">
        <f aca="false">+'CCs # Master'!R189</f>
        <v>1</v>
      </c>
      <c r="U180" s="39" t="n">
        <f aca="false">+'CCs # Master'!S189</f>
        <v>0</v>
      </c>
      <c r="V180" s="39" t="n">
        <f aca="false">+'CCs # Master'!T189</f>
        <v>5</v>
      </c>
      <c r="W180" s="39" t="n">
        <f aca="false">+'CCs # Master'!U189</f>
        <v>35</v>
      </c>
      <c r="X180" s="39" t="n">
        <f aca="false">+'CCs # Master'!V189</f>
        <v>7</v>
      </c>
      <c r="Y180" s="39" t="n">
        <f aca="false">+'CCs # Master'!W189</f>
        <v>3</v>
      </c>
      <c r="Z180" s="39" t="n">
        <f aca="false">+'CCs # Master'!X189</f>
        <v>49</v>
      </c>
      <c r="AA180" s="39" t="n">
        <f aca="false">+'CCs # Master'!Y189</f>
        <v>0</v>
      </c>
      <c r="AB180" s="39" t="n">
        <f aca="false">+'CCs # Master'!Z189</f>
        <v>5</v>
      </c>
      <c r="AC180" s="39" t="n">
        <f aca="false">+'CCs # Master'!AA189</f>
        <v>1</v>
      </c>
      <c r="AD180" s="39" t="n">
        <f aca="false">+'CCs # Master'!AB189</f>
        <v>0</v>
      </c>
      <c r="AE180" s="39" t="n">
        <f aca="false">+'CCs # Master'!AC189</f>
        <v>2</v>
      </c>
      <c r="AF180" s="39" t="n">
        <f aca="false">+'CCs # Master'!AD189</f>
        <v>44</v>
      </c>
      <c r="AG180" s="39" t="n">
        <f aca="false">+'CCs # Master'!AE189</f>
        <v>36</v>
      </c>
      <c r="AH180" s="39" t="n">
        <f aca="false">+'CCs # Master'!AF189</f>
        <v>0</v>
      </c>
      <c r="AI180" s="39" t="n">
        <f aca="false">+'CCs # Master'!AG189</f>
        <v>0</v>
      </c>
      <c r="AJ180" s="39" t="n">
        <f aca="false">+'CCs # Master'!AH189</f>
        <v>2</v>
      </c>
      <c r="AK180" s="39" t="n">
        <f aca="false">+'CCs # Master'!AI189</f>
        <v>2</v>
      </c>
      <c r="AL180" s="39" t="n">
        <f aca="false">+'CCs # Master'!AJ189</f>
        <v>1</v>
      </c>
      <c r="AM180" s="39" t="n">
        <f aca="false">+'CCs # Master'!AK189</f>
        <v>3</v>
      </c>
      <c r="AN180" s="39" t="n">
        <f aca="false">+'CCs # Master'!AL189</f>
        <v>1</v>
      </c>
      <c r="AO180" s="39" t="n">
        <f aca="false">+'CCs # Master'!AM189</f>
        <v>22</v>
      </c>
      <c r="AP180" s="39" t="n">
        <f aca="false">+'CCs # Master'!AN189</f>
        <v>0</v>
      </c>
      <c r="AQ180" s="39" t="n">
        <f aca="false">+'CCs # Master'!AO189</f>
        <v>13</v>
      </c>
      <c r="AR180" s="39" t="n">
        <f aca="false">+'CCs # Master'!AP189</f>
        <v>4</v>
      </c>
      <c r="AS180" s="39" t="n">
        <f aca="false">+'CCs # Master'!AQ189</f>
        <v>0</v>
      </c>
      <c r="AT180" s="39" t="n">
        <f aca="false">+'CCs # Master'!AR189</f>
        <v>0</v>
      </c>
      <c r="AU180" s="39" t="n">
        <f aca="false">+'CCs # Master'!AS189</f>
        <v>0</v>
      </c>
      <c r="AV180" s="39" t="n">
        <f aca="false">+'CCs # Master'!AT189</f>
        <v>0</v>
      </c>
      <c r="AW180" s="100"/>
      <c r="AX180" s="71" t="n">
        <f aca="false">SUM(N180:AW180)</f>
        <v>300</v>
      </c>
      <c r="AY180" s="71" t="n">
        <f aca="false">+K180-AX180</f>
        <v>0</v>
      </c>
      <c r="AZ180" s="39"/>
      <c r="BA180" s="39" t="n">
        <f aca="false">+P180+Q180+T180+U180+V180+W180+X180+Y180</f>
        <v>65</v>
      </c>
      <c r="BB180" s="39" t="n">
        <f aca="false">N180</f>
        <v>30</v>
      </c>
      <c r="BC180" s="39" t="n">
        <f aca="false">SUM(P180:AW180)</f>
        <v>270</v>
      </c>
      <c r="BD180" s="39"/>
      <c r="BE180" s="39" t="n">
        <f aca="false">SUM(BB180:BC180)</f>
        <v>300</v>
      </c>
      <c r="BF180" s="39"/>
      <c r="BG180" s="48"/>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c r="CD180" s="39"/>
      <c r="CE180" s="39"/>
      <c r="CF180" s="39"/>
      <c r="CG180" s="39"/>
      <c r="CH180" s="39"/>
      <c r="CI180" s="39"/>
      <c r="CJ180" s="39"/>
      <c r="CK180" s="39"/>
      <c r="CL180" s="39"/>
      <c r="CM180" s="39"/>
      <c r="CN180" s="39"/>
      <c r="CO180" s="39"/>
      <c r="CP180" s="39"/>
      <c r="CQ180" s="39"/>
      <c r="CR180" s="39"/>
      <c r="CS180" s="39"/>
      <c r="CT180" s="39"/>
      <c r="CU180" s="39"/>
      <c r="CV180" s="39"/>
      <c r="CW180" s="39"/>
      <c r="CX180" s="39"/>
      <c r="CY180" s="39"/>
      <c r="CZ180" s="39"/>
      <c r="DA180" s="39"/>
      <c r="DB180" s="39"/>
      <c r="DC180" s="39"/>
      <c r="DD180" s="39"/>
      <c r="DE180" s="39"/>
      <c r="DF180" s="39"/>
      <c r="DG180" s="39"/>
      <c r="DH180" s="39"/>
      <c r="DI180" s="39"/>
      <c r="DJ180" s="39"/>
      <c r="DK180" s="39"/>
      <c r="DL180" s="39"/>
      <c r="DM180" s="39"/>
      <c r="DN180" s="39"/>
      <c r="DO180" s="39"/>
      <c r="DP180" s="39"/>
      <c r="DQ180" s="39"/>
      <c r="DR180" s="39"/>
      <c r="DS180" s="39"/>
      <c r="DT180" s="39"/>
      <c r="DU180" s="39"/>
      <c r="DV180" s="39"/>
      <c r="DW180" s="39"/>
      <c r="DX180" s="39"/>
      <c r="DY180" s="39"/>
      <c r="DZ180" s="39"/>
      <c r="EA180" s="39"/>
      <c r="EB180" s="39"/>
      <c r="EC180" s="39"/>
      <c r="ED180" s="39"/>
      <c r="EE180" s="39"/>
      <c r="EF180" s="39"/>
      <c r="EG180" s="39"/>
      <c r="EH180" s="39"/>
      <c r="EI180" s="39"/>
      <c r="EJ180" s="39"/>
      <c r="EK180" s="39"/>
      <c r="EL180" s="39"/>
      <c r="EM180" s="39"/>
      <c r="EN180" s="39"/>
      <c r="EO180" s="39"/>
      <c r="EP180" s="39"/>
      <c r="EQ180" s="39"/>
      <c r="ER180" s="39"/>
      <c r="ES180" s="39"/>
      <c r="ET180" s="39"/>
      <c r="EU180" s="39"/>
      <c r="EV180" s="39"/>
      <c r="EW180" s="39"/>
      <c r="EX180" s="39"/>
      <c r="EY180" s="39"/>
      <c r="EZ180" s="39"/>
      <c r="FA180" s="39"/>
      <c r="FB180" s="39"/>
      <c r="FC180" s="39"/>
      <c r="FD180" s="39"/>
      <c r="FE180" s="39"/>
      <c r="FF180" s="39"/>
      <c r="FG180" s="39"/>
      <c r="FH180" s="39"/>
      <c r="FI180" s="39"/>
      <c r="FJ180" s="39"/>
      <c r="FK180" s="39"/>
      <c r="FL180" s="39"/>
      <c r="FM180" s="39"/>
      <c r="FN180" s="39"/>
      <c r="FO180" s="39"/>
      <c r="FP180" s="39"/>
      <c r="FQ180" s="39"/>
      <c r="FR180" s="39"/>
      <c r="FS180" s="39"/>
      <c r="FT180" s="39"/>
      <c r="FU180" s="39"/>
      <c r="FV180" s="39"/>
      <c r="FW180" s="39"/>
      <c r="FX180" s="39"/>
      <c r="FY180" s="39"/>
      <c r="FZ180" s="39"/>
      <c r="GA180" s="39"/>
      <c r="GB180" s="39"/>
      <c r="GC180" s="39"/>
      <c r="GD180" s="39"/>
      <c r="GE180" s="39"/>
      <c r="GF180" s="39"/>
      <c r="GG180" s="39"/>
      <c r="GH180" s="39"/>
      <c r="GI180" s="39"/>
      <c r="GJ180" s="39"/>
      <c r="GK180" s="39"/>
      <c r="GL180" s="39"/>
      <c r="GM180" s="39"/>
      <c r="GN180" s="39"/>
      <c r="GO180" s="39"/>
      <c r="GP180" s="39"/>
      <c r="GQ180" s="39"/>
      <c r="GR180" s="39"/>
      <c r="GS180" s="39"/>
      <c r="GT180" s="39"/>
      <c r="GU180" s="39"/>
      <c r="GV180" s="39"/>
      <c r="GW180" s="39"/>
      <c r="GX180" s="39"/>
      <c r="GY180" s="39"/>
      <c r="GZ180" s="39"/>
      <c r="HA180" s="39"/>
      <c r="HB180" s="39"/>
      <c r="HC180" s="39"/>
      <c r="HD180" s="39"/>
      <c r="HE180" s="39"/>
      <c r="HF180" s="39"/>
      <c r="HG180" s="39"/>
      <c r="HH180" s="39"/>
      <c r="HI180" s="39"/>
      <c r="HJ180" s="39"/>
      <c r="HK180" s="39"/>
      <c r="HL180" s="39"/>
      <c r="HM180" s="39"/>
      <c r="HN180" s="39"/>
      <c r="HO180" s="39"/>
      <c r="HP180" s="39"/>
      <c r="HQ180" s="39"/>
      <c r="HR180" s="39"/>
      <c r="HS180" s="39"/>
      <c r="HT180" s="39"/>
      <c r="HU180" s="39"/>
      <c r="HV180" s="39"/>
      <c r="HW180" s="39"/>
      <c r="HX180" s="39"/>
      <c r="HY180" s="39"/>
      <c r="HZ180" s="39"/>
      <c r="IA180" s="39"/>
      <c r="IB180" s="39"/>
      <c r="IC180" s="39"/>
      <c r="ID180" s="39"/>
      <c r="IE180" s="39"/>
      <c r="IF180" s="39"/>
      <c r="IG180" s="39"/>
      <c r="IH180" s="39"/>
      <c r="II180" s="39"/>
      <c r="IJ180" s="39"/>
      <c r="IK180" s="39"/>
      <c r="IL180" s="39"/>
      <c r="IM180" s="39"/>
      <c r="IN180" s="39"/>
      <c r="IO180" s="39"/>
      <c r="IP180" s="39"/>
      <c r="IQ180" s="39"/>
      <c r="IR180" s="39"/>
      <c r="IS180" s="39"/>
      <c r="IT180" s="39"/>
      <c r="IU180" s="39"/>
      <c r="IV180" s="39"/>
      <c r="IW180" s="39"/>
    </row>
    <row r="181" customFormat="false" ht="12.95" hidden="false" customHeight="true" outlineLevel="0" collapsed="false">
      <c r="A181" s="37" t="n">
        <f aca="false">+'CCs # Master'!A183</f>
        <v>11</v>
      </c>
      <c r="B181" s="99" t="str">
        <f aca="false">+'CCs # Master'!B183</f>
        <v>WorkLife Programs</v>
      </c>
      <c r="C181" s="99" t="str">
        <f aca="false">+'CCs # Master'!C183</f>
        <v>Roman deMeza, MaryAnn</v>
      </c>
      <c r="D181" s="37" t="n">
        <f aca="false">+'CCs # Master'!D183</f>
        <v>103230</v>
      </c>
      <c r="E181" s="39" t="n">
        <f aca="false">+'CCs # Master'!E183</f>
        <v>0</v>
      </c>
      <c r="F181" s="39" t="n">
        <f aca="false">+'CCs # Master'!F183</f>
        <v>0</v>
      </c>
      <c r="G181" s="39" t="n">
        <f aca="false">+'CCs # Master'!G183</f>
        <v>3</v>
      </c>
      <c r="H181" s="39" t="n">
        <f aca="false">+'CCs # Master'!H183</f>
        <v>4</v>
      </c>
      <c r="I181" s="39" t="n">
        <f aca="false">+'CCs # Master'!I183</f>
        <v>135</v>
      </c>
      <c r="J181" s="39" t="n">
        <f aca="false">+'CCs # Master'!J183</f>
        <v>108</v>
      </c>
      <c r="K181" s="71" t="n">
        <f aca="false">SUM(E181:J181)</f>
        <v>250</v>
      </c>
      <c r="L181" s="39"/>
      <c r="M181" s="39" t="str">
        <f aca="false">+'CCs # Master'!M183</f>
        <v>% of Downtown Headcount</v>
      </c>
      <c r="N181" s="39" t="n">
        <f aca="false">+'CCs # Master'!AW183</f>
        <v>28</v>
      </c>
      <c r="O181" s="39" t="n">
        <v>0</v>
      </c>
      <c r="P181" s="39" t="n">
        <f aca="false">+'CCs # Master'!N183</f>
        <v>4</v>
      </c>
      <c r="Q181" s="39" t="n">
        <f aca="false">+'CCs # Master'!O183</f>
        <v>8</v>
      </c>
      <c r="R181" s="39" t="n">
        <f aca="false">+'CCs # Master'!P183</f>
        <v>18</v>
      </c>
      <c r="S181" s="39" t="n">
        <f aca="false">+'CCs # Master'!Q183</f>
        <v>0</v>
      </c>
      <c r="T181" s="39" t="n">
        <f aca="false">+'CCs # Master'!R183</f>
        <v>1</v>
      </c>
      <c r="U181" s="39" t="n">
        <f aca="false">+'CCs # Master'!S183</f>
        <v>0</v>
      </c>
      <c r="V181" s="39" t="n">
        <f aca="false">+'CCs # Master'!T183</f>
        <v>5</v>
      </c>
      <c r="W181" s="39" t="n">
        <f aca="false">+'CCs # Master'!U183</f>
        <v>24</v>
      </c>
      <c r="X181" s="39" t="n">
        <f aca="false">+'CCs # Master'!V183</f>
        <v>9</v>
      </c>
      <c r="Y181" s="39" t="n">
        <f aca="false">+'CCs # Master'!W183</f>
        <v>0</v>
      </c>
      <c r="Z181" s="39" t="n">
        <f aca="false">+'CCs # Master'!X183</f>
        <v>39</v>
      </c>
      <c r="AA181" s="39" t="n">
        <f aca="false">+'CCs # Master'!Y183</f>
        <v>0</v>
      </c>
      <c r="AB181" s="39" t="n">
        <f aca="false">+'CCs # Master'!Z183</f>
        <v>5</v>
      </c>
      <c r="AC181" s="39" t="n">
        <f aca="false">+'CCs # Master'!AA183</f>
        <v>1</v>
      </c>
      <c r="AD181" s="39" t="n">
        <f aca="false">+'CCs # Master'!AB183</f>
        <v>1</v>
      </c>
      <c r="AE181" s="39" t="n">
        <f aca="false">+'CCs # Master'!AC183</f>
        <v>2</v>
      </c>
      <c r="AF181" s="39" t="n">
        <f aca="false">+'CCs # Master'!AD183</f>
        <v>25</v>
      </c>
      <c r="AG181" s="39" t="n">
        <f aca="false">+'CCs # Master'!AE183</f>
        <v>33</v>
      </c>
      <c r="AH181" s="39" t="n">
        <f aca="false">+'CCs # Master'!AF183</f>
        <v>11</v>
      </c>
      <c r="AI181" s="39" t="n">
        <f aca="false">+'CCs # Master'!AG183</f>
        <v>2</v>
      </c>
      <c r="AJ181" s="39" t="n">
        <f aca="false">+'CCs # Master'!AH183</f>
        <v>2</v>
      </c>
      <c r="AK181" s="39" t="n">
        <f aca="false">+'CCs # Master'!AI183</f>
        <v>2</v>
      </c>
      <c r="AL181" s="39" t="n">
        <f aca="false">+'CCs # Master'!AJ183</f>
        <v>1</v>
      </c>
      <c r="AM181" s="39" t="n">
        <f aca="false">+'CCs # Master'!AK183</f>
        <v>3</v>
      </c>
      <c r="AN181" s="39" t="n">
        <f aca="false">+'CCs # Master'!AL183</f>
        <v>5</v>
      </c>
      <c r="AO181" s="39" t="n">
        <f aca="false">+'CCs # Master'!AM183</f>
        <v>21</v>
      </c>
      <c r="AP181" s="39" t="n">
        <f aca="false">+'CCs # Master'!AN183</f>
        <v>0</v>
      </c>
      <c r="AQ181" s="39" t="n">
        <f aca="false">+'CCs # Master'!AO183</f>
        <v>0</v>
      </c>
      <c r="AR181" s="39" t="n">
        <f aca="false">+'CCs # Master'!AP183</f>
        <v>0</v>
      </c>
      <c r="AS181" s="39" t="n">
        <f aca="false">+'CCs # Master'!AQ183</f>
        <v>0</v>
      </c>
      <c r="AT181" s="39" t="n">
        <f aca="false">+'CCs # Master'!AR183</f>
        <v>0</v>
      </c>
      <c r="AU181" s="39" t="n">
        <f aca="false">+'CCs # Master'!AS183</f>
        <v>0</v>
      </c>
      <c r="AV181" s="39" t="n">
        <f aca="false">+'CCs # Master'!AT183</f>
        <v>0</v>
      </c>
      <c r="AW181" s="0"/>
      <c r="AX181" s="71" t="n">
        <f aca="false">SUM(N181:AW181)</f>
        <v>250</v>
      </c>
      <c r="AY181" s="71" t="n">
        <f aca="false">+K181-AX181</f>
        <v>0</v>
      </c>
      <c r="AZ181" s="39"/>
      <c r="BA181" s="39" t="n">
        <f aca="false">+P181+Q181+T181+U181+V181+W181+X181+Y181</f>
        <v>51</v>
      </c>
      <c r="BB181" s="39" t="n">
        <f aca="false">N181</f>
        <v>28</v>
      </c>
      <c r="BC181" s="97" t="n">
        <f aca="false">SUM(P181:AW181)</f>
        <v>222</v>
      </c>
      <c r="BD181" s="39"/>
      <c r="BE181" s="97" t="n">
        <f aca="false">SUM(BB181:BC181)</f>
        <v>250</v>
      </c>
      <c r="BF181" s="39"/>
      <c r="BG181" s="98" t="n">
        <f aca="false">SUM(N181:AW181)</f>
        <v>250</v>
      </c>
      <c r="BH181" s="39" t="n">
        <f aca="false">BE181-BG181</f>
        <v>0</v>
      </c>
      <c r="BI181" s="39"/>
      <c r="BJ181" s="39"/>
      <c r="BK181" s="39"/>
      <c r="BL181" s="39"/>
      <c r="BM181" s="39"/>
      <c r="BN181" s="39"/>
      <c r="BO181" s="39"/>
      <c r="BP181" s="39"/>
      <c r="BQ181" s="39"/>
      <c r="BR181" s="39"/>
      <c r="BS181" s="39"/>
      <c r="BT181" s="39"/>
      <c r="BU181" s="39"/>
      <c r="BV181" s="39"/>
      <c r="BW181" s="39"/>
      <c r="BX181" s="39"/>
      <c r="BY181" s="39"/>
      <c r="BZ181" s="39"/>
      <c r="CA181" s="39"/>
      <c r="CB181" s="39"/>
      <c r="CC181" s="39"/>
      <c r="CD181" s="39"/>
      <c r="CE181" s="39"/>
      <c r="CF181" s="39"/>
      <c r="CG181" s="39"/>
      <c r="CH181" s="39"/>
      <c r="CI181" s="39"/>
      <c r="CJ181" s="39"/>
      <c r="CK181" s="39"/>
      <c r="CL181" s="39"/>
      <c r="CM181" s="39"/>
      <c r="CN181" s="39"/>
      <c r="CO181" s="39"/>
      <c r="CP181" s="39"/>
      <c r="CQ181" s="39"/>
      <c r="CR181" s="39"/>
      <c r="CS181" s="39"/>
      <c r="CT181" s="39"/>
      <c r="CU181" s="39"/>
      <c r="CV181" s="39"/>
      <c r="CW181" s="39"/>
      <c r="CX181" s="39"/>
      <c r="CY181" s="39"/>
      <c r="CZ181" s="39"/>
      <c r="DA181" s="39"/>
      <c r="DB181" s="39"/>
      <c r="DC181" s="39"/>
      <c r="DD181" s="39"/>
      <c r="DE181" s="39"/>
      <c r="DF181" s="39"/>
      <c r="DG181" s="39"/>
      <c r="DH181" s="39"/>
      <c r="DI181" s="39"/>
      <c r="DJ181" s="39"/>
      <c r="DK181" s="39"/>
      <c r="DL181" s="39"/>
      <c r="DM181" s="39"/>
      <c r="DN181" s="39"/>
      <c r="DO181" s="39"/>
      <c r="DP181" s="39"/>
      <c r="DQ181" s="39"/>
      <c r="DR181" s="39"/>
      <c r="DS181" s="39"/>
      <c r="DT181" s="39"/>
      <c r="DU181" s="39"/>
      <c r="DV181" s="39"/>
      <c r="DW181" s="39"/>
      <c r="DX181" s="39"/>
      <c r="DY181" s="39"/>
      <c r="DZ181" s="39"/>
      <c r="EA181" s="39"/>
      <c r="EB181" s="39"/>
      <c r="EC181" s="39"/>
      <c r="ED181" s="39"/>
      <c r="EE181" s="39"/>
      <c r="EF181" s="39"/>
      <c r="EG181" s="39"/>
      <c r="EH181" s="39"/>
      <c r="EI181" s="39"/>
      <c r="EJ181" s="39"/>
      <c r="EK181" s="39"/>
      <c r="EL181" s="39"/>
      <c r="EM181" s="39"/>
      <c r="EN181" s="39"/>
      <c r="EO181" s="39"/>
      <c r="EP181" s="39"/>
      <c r="EQ181" s="39"/>
      <c r="ER181" s="39"/>
      <c r="ES181" s="39"/>
      <c r="ET181" s="39"/>
      <c r="EU181" s="39"/>
      <c r="EV181" s="39"/>
      <c r="EW181" s="39"/>
      <c r="EX181" s="39"/>
      <c r="EY181" s="39"/>
      <c r="EZ181" s="39"/>
      <c r="FA181" s="39"/>
      <c r="FB181" s="39"/>
      <c r="FC181" s="39"/>
      <c r="FD181" s="39"/>
      <c r="FE181" s="39"/>
      <c r="FF181" s="39"/>
      <c r="FG181" s="39"/>
      <c r="FH181" s="39"/>
      <c r="FI181" s="39"/>
      <c r="FJ181" s="39"/>
      <c r="FK181" s="39"/>
      <c r="FL181" s="39"/>
      <c r="FM181" s="39"/>
      <c r="FN181" s="39"/>
      <c r="FO181" s="39"/>
      <c r="FP181" s="39"/>
      <c r="FQ181" s="39"/>
      <c r="FR181" s="39"/>
      <c r="FS181" s="39"/>
      <c r="FT181" s="39"/>
      <c r="FU181" s="39"/>
      <c r="FV181" s="39"/>
      <c r="FW181" s="39"/>
      <c r="FX181" s="39"/>
      <c r="FY181" s="39"/>
      <c r="FZ181" s="39"/>
      <c r="GA181" s="39"/>
      <c r="GB181" s="39"/>
      <c r="GC181" s="39"/>
      <c r="GD181" s="39"/>
      <c r="GE181" s="39"/>
      <c r="GF181" s="39"/>
      <c r="GG181" s="39"/>
      <c r="GH181" s="39"/>
      <c r="GI181" s="39"/>
      <c r="GJ181" s="39"/>
      <c r="GK181" s="39"/>
      <c r="GL181" s="39"/>
      <c r="GM181" s="39"/>
      <c r="GN181" s="39"/>
      <c r="GO181" s="39"/>
      <c r="GP181" s="39"/>
      <c r="GQ181" s="39"/>
      <c r="GR181" s="39"/>
      <c r="GS181" s="39"/>
      <c r="GT181" s="39"/>
      <c r="GU181" s="39"/>
      <c r="GV181" s="39"/>
      <c r="GW181" s="39"/>
      <c r="GX181" s="39"/>
      <c r="GY181" s="39"/>
      <c r="GZ181" s="39"/>
      <c r="HA181" s="39"/>
      <c r="HB181" s="39"/>
      <c r="HC181" s="39"/>
      <c r="HD181" s="39"/>
      <c r="HE181" s="39"/>
      <c r="HF181" s="39"/>
      <c r="HG181" s="39"/>
      <c r="HH181" s="39"/>
      <c r="HI181" s="39"/>
      <c r="HJ181" s="39"/>
      <c r="HK181" s="39"/>
      <c r="HL181" s="39"/>
      <c r="HM181" s="39"/>
      <c r="HN181" s="39"/>
      <c r="HO181" s="39"/>
      <c r="HP181" s="39"/>
      <c r="HQ181" s="39"/>
      <c r="HR181" s="39"/>
      <c r="HS181" s="39"/>
      <c r="HT181" s="39"/>
      <c r="HU181" s="39"/>
      <c r="HV181" s="39"/>
      <c r="HW181" s="39"/>
      <c r="HX181" s="39"/>
      <c r="HY181" s="39"/>
      <c r="HZ181" s="39"/>
      <c r="IA181" s="39"/>
      <c r="IB181" s="39"/>
      <c r="IC181" s="39"/>
      <c r="ID181" s="39"/>
      <c r="IE181" s="39"/>
      <c r="IF181" s="39"/>
      <c r="IG181" s="39"/>
      <c r="IH181" s="39"/>
      <c r="II181" s="39"/>
      <c r="IJ181" s="39"/>
      <c r="IK181" s="39"/>
      <c r="IL181" s="39"/>
      <c r="IM181" s="39"/>
      <c r="IN181" s="39"/>
      <c r="IO181" s="39"/>
      <c r="IP181" s="39"/>
      <c r="IQ181" s="39"/>
      <c r="IR181" s="39"/>
      <c r="IS181" s="39"/>
      <c r="IT181" s="39"/>
      <c r="IU181" s="39"/>
      <c r="IV181" s="39"/>
      <c r="IW181" s="39"/>
    </row>
    <row r="182" customFormat="false" ht="8.1" hidden="false" customHeight="true" outlineLevel="0" collapsed="false">
      <c r="A182" s="37"/>
      <c r="B182" s="39"/>
      <c r="C182" s="39"/>
      <c r="D182" s="96"/>
      <c r="E182" s="91"/>
      <c r="F182" s="91"/>
      <c r="G182" s="91"/>
      <c r="H182" s="91"/>
      <c r="I182" s="91"/>
      <c r="J182" s="91"/>
      <c r="K182" s="91"/>
      <c r="L182" s="39"/>
      <c r="M182" s="39"/>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c r="AW182" s="0"/>
      <c r="AX182" s="91"/>
      <c r="AY182" s="91"/>
      <c r="AZ182" s="39"/>
      <c r="BA182" s="91"/>
      <c r="BB182" s="91"/>
      <c r="BC182" s="39"/>
      <c r="BD182" s="39"/>
      <c r="BE182" s="39"/>
      <c r="BF182" s="39"/>
      <c r="BG182" s="48"/>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c r="CD182" s="39"/>
      <c r="CE182" s="39"/>
      <c r="CF182" s="39"/>
      <c r="CG182" s="39"/>
      <c r="CH182" s="39"/>
      <c r="CI182" s="39"/>
      <c r="CJ182" s="39"/>
      <c r="CK182" s="39"/>
      <c r="CL182" s="39"/>
      <c r="CM182" s="39"/>
      <c r="CN182" s="39"/>
      <c r="CO182" s="39"/>
      <c r="CP182" s="39"/>
      <c r="CQ182" s="39"/>
      <c r="CR182" s="39"/>
      <c r="CS182" s="39"/>
      <c r="CT182" s="39"/>
      <c r="CU182" s="39"/>
      <c r="CV182" s="39"/>
      <c r="CW182" s="39"/>
      <c r="CX182" s="39"/>
      <c r="CY182" s="39"/>
      <c r="CZ182" s="39"/>
      <c r="DA182" s="39"/>
      <c r="DB182" s="39"/>
      <c r="DC182" s="39"/>
      <c r="DD182" s="39"/>
      <c r="DE182" s="39"/>
      <c r="DF182" s="39"/>
      <c r="DG182" s="39"/>
      <c r="DH182" s="39"/>
      <c r="DI182" s="39"/>
      <c r="DJ182" s="39"/>
      <c r="DK182" s="39"/>
      <c r="DL182" s="39"/>
      <c r="DM182" s="39"/>
      <c r="DN182" s="39"/>
      <c r="DO182" s="39"/>
      <c r="DP182" s="39"/>
      <c r="DQ182" s="39"/>
      <c r="DR182" s="39"/>
      <c r="DS182" s="39"/>
      <c r="DT182" s="39"/>
      <c r="DU182" s="39"/>
      <c r="DV182" s="39"/>
      <c r="DW182" s="39"/>
      <c r="DX182" s="39"/>
      <c r="DY182" s="39"/>
      <c r="DZ182" s="39"/>
      <c r="EA182" s="39"/>
      <c r="EB182" s="39"/>
      <c r="EC182" s="39"/>
      <c r="ED182" s="39"/>
      <c r="EE182" s="39"/>
      <c r="EF182" s="39"/>
      <c r="EG182" s="39"/>
      <c r="EH182" s="39"/>
      <c r="EI182" s="39"/>
      <c r="EJ182" s="39"/>
      <c r="EK182" s="39"/>
      <c r="EL182" s="39"/>
      <c r="EM182" s="39"/>
      <c r="EN182" s="39"/>
      <c r="EO182" s="39"/>
      <c r="EP182" s="39"/>
      <c r="EQ182" s="39"/>
      <c r="ER182" s="39"/>
      <c r="ES182" s="39"/>
      <c r="ET182" s="39"/>
      <c r="EU182" s="39"/>
      <c r="EV182" s="39"/>
      <c r="EW182" s="39"/>
      <c r="EX182" s="39"/>
      <c r="EY182" s="39"/>
      <c r="EZ182" s="39"/>
      <c r="FA182" s="39"/>
      <c r="FB182" s="39"/>
      <c r="FC182" s="39"/>
      <c r="FD182" s="39"/>
      <c r="FE182" s="39"/>
      <c r="FF182" s="39"/>
      <c r="FG182" s="39"/>
      <c r="FH182" s="39"/>
      <c r="FI182" s="39"/>
      <c r="FJ182" s="39"/>
      <c r="FK182" s="39"/>
      <c r="FL182" s="39"/>
      <c r="FM182" s="39"/>
      <c r="FN182" s="39"/>
      <c r="FO182" s="39"/>
      <c r="FP182" s="39"/>
      <c r="FQ182" s="39"/>
      <c r="FR182" s="39"/>
      <c r="FS182" s="39"/>
      <c r="FT182" s="39"/>
      <c r="FU182" s="39"/>
      <c r="FV182" s="39"/>
      <c r="FW182" s="39"/>
      <c r="FX182" s="39"/>
      <c r="FY182" s="39"/>
      <c r="FZ182" s="39"/>
      <c r="GA182" s="39"/>
      <c r="GB182" s="39"/>
      <c r="GC182" s="39"/>
      <c r="GD182" s="39"/>
      <c r="GE182" s="39"/>
      <c r="GF182" s="39"/>
      <c r="GG182" s="39"/>
      <c r="GH182" s="39"/>
      <c r="GI182" s="39"/>
      <c r="GJ182" s="39"/>
      <c r="GK182" s="39"/>
      <c r="GL182" s="39"/>
      <c r="GM182" s="39"/>
      <c r="GN182" s="39"/>
      <c r="GO182" s="39"/>
      <c r="GP182" s="39"/>
      <c r="GQ182" s="39"/>
      <c r="GR182" s="39"/>
      <c r="GS182" s="39"/>
      <c r="GT182" s="39"/>
      <c r="GU182" s="39"/>
      <c r="GV182" s="39"/>
      <c r="GW182" s="39"/>
      <c r="GX182" s="39"/>
      <c r="GY182" s="39"/>
      <c r="GZ182" s="39"/>
      <c r="HA182" s="39"/>
      <c r="HB182" s="39"/>
      <c r="HC182" s="39"/>
      <c r="HD182" s="39"/>
      <c r="HE182" s="39"/>
      <c r="HF182" s="39"/>
      <c r="HG182" s="39"/>
      <c r="HH182" s="39"/>
      <c r="HI182" s="39"/>
      <c r="HJ182" s="39"/>
      <c r="HK182" s="39"/>
      <c r="HL182" s="39"/>
      <c r="HM182" s="39"/>
      <c r="HN182" s="39"/>
      <c r="HO182" s="39"/>
      <c r="HP182" s="39"/>
      <c r="HQ182" s="39"/>
      <c r="HR182" s="39"/>
      <c r="HS182" s="39"/>
      <c r="HT182" s="39"/>
      <c r="HU182" s="39"/>
      <c r="HV182" s="39"/>
      <c r="HW182" s="39"/>
      <c r="HX182" s="39"/>
      <c r="HY182" s="39"/>
      <c r="HZ182" s="39"/>
      <c r="IA182" s="39"/>
      <c r="IB182" s="39"/>
      <c r="IC182" s="39"/>
      <c r="ID182" s="39"/>
      <c r="IE182" s="39"/>
      <c r="IF182" s="39"/>
      <c r="IG182" s="39"/>
      <c r="IH182" s="39"/>
      <c r="II182" s="39"/>
      <c r="IJ182" s="39"/>
      <c r="IK182" s="39"/>
      <c r="IL182" s="39"/>
      <c r="IM182" s="39"/>
      <c r="IN182" s="39"/>
      <c r="IO182" s="39"/>
      <c r="IP182" s="39"/>
      <c r="IQ182" s="39"/>
      <c r="IR182" s="39"/>
      <c r="IS182" s="39"/>
      <c r="IT182" s="39"/>
      <c r="IU182" s="39"/>
      <c r="IV182" s="39"/>
      <c r="IW182" s="39"/>
    </row>
    <row r="183" customFormat="false" ht="12.95" hidden="false" customHeight="true" outlineLevel="0" collapsed="false">
      <c r="A183" s="37"/>
      <c r="B183" s="39"/>
      <c r="C183" s="39"/>
      <c r="D183" s="96"/>
      <c r="E183" s="97" t="n">
        <f aca="false">SUM(E149:E181)</f>
        <v>8341</v>
      </c>
      <c r="F183" s="97" t="n">
        <f aca="false">SUM(F149:F181)</f>
        <v>1268</v>
      </c>
      <c r="G183" s="97" t="n">
        <f aca="false">SUM(G149:G181)</f>
        <v>689</v>
      </c>
      <c r="H183" s="97" t="n">
        <f aca="false">SUM(H149:H181)</f>
        <v>14658</v>
      </c>
      <c r="I183" s="97" t="n">
        <f aca="false">SUM(I149:I181)</f>
        <v>2783</v>
      </c>
      <c r="J183" s="97" t="n">
        <f aca="false">SUM(J149:J181)</f>
        <v>-2734</v>
      </c>
      <c r="K183" s="97" t="n">
        <f aca="false">SUM(K149:K181)</f>
        <v>25005</v>
      </c>
      <c r="L183" s="39"/>
      <c r="M183" s="39"/>
      <c r="N183" s="97" t="n">
        <f aca="false">SUM(N149:N181)</f>
        <v>3461</v>
      </c>
      <c r="O183" s="97" t="n">
        <f aca="false">SUM(O149:O181)</f>
        <v>0</v>
      </c>
      <c r="P183" s="97" t="n">
        <f aca="false">SUM(P149:P181)</f>
        <v>338</v>
      </c>
      <c r="Q183" s="97" t="n">
        <f aca="false">SUM(Q149:Q181)</f>
        <v>617</v>
      </c>
      <c r="R183" s="97" t="n">
        <f aca="false">SUM(R149:R181)</f>
        <v>868</v>
      </c>
      <c r="S183" s="97" t="n">
        <f aca="false">SUM(S149:S181)</f>
        <v>642</v>
      </c>
      <c r="T183" s="97" t="n">
        <f aca="false">SUM(T149:T181)</f>
        <v>91</v>
      </c>
      <c r="U183" s="97" t="n">
        <f aca="false">SUM(U149:U181)</f>
        <v>0</v>
      </c>
      <c r="V183" s="97" t="n">
        <f aca="false">SUM(V149:V181)</f>
        <v>365</v>
      </c>
      <c r="W183" s="97" t="n">
        <f aca="false">SUM(W149:W181)</f>
        <v>2293</v>
      </c>
      <c r="X183" s="97" t="n">
        <f aca="false">SUM(X149:X181)</f>
        <v>536</v>
      </c>
      <c r="Y183" s="97" t="n">
        <f aca="false">SUM(Y149:Y181)</f>
        <v>151</v>
      </c>
      <c r="Z183" s="97" t="n">
        <f aca="false">SUM(Z149:Z181)</f>
        <v>3671</v>
      </c>
      <c r="AA183" s="97" t="n">
        <f aca="false">SUM(AA149:AA181)</f>
        <v>28</v>
      </c>
      <c r="AB183" s="97" t="n">
        <f aca="false">SUM(AB149:AB181)</f>
        <v>354</v>
      </c>
      <c r="AC183" s="97" t="n">
        <f aca="false">SUM(AC149:AC181)</f>
        <v>88</v>
      </c>
      <c r="AD183" s="97" t="n">
        <f aca="false">SUM(AD149:AD181)</f>
        <v>1674</v>
      </c>
      <c r="AE183" s="97" t="n">
        <f aca="false">SUM(AE149:AE181)</f>
        <v>166</v>
      </c>
      <c r="AF183" s="97" t="n">
        <f aca="false">SUM(AF149:AF181)</f>
        <v>3075</v>
      </c>
      <c r="AG183" s="97" t="n">
        <f aca="false">SUM(AG149:AG181)</f>
        <v>2466</v>
      </c>
      <c r="AH183" s="97" t="n">
        <f aca="false">SUM(AH149:AH181)</f>
        <v>92</v>
      </c>
      <c r="AI183" s="97" t="n">
        <f aca="false">SUM(AI149:AI181)</f>
        <v>46</v>
      </c>
      <c r="AJ183" s="97" t="n">
        <f aca="false">SUM(AJ149:AJ181)</f>
        <v>188</v>
      </c>
      <c r="AK183" s="97" t="n">
        <f aca="false">SUM(AK149:AK181)</f>
        <v>333</v>
      </c>
      <c r="AL183" s="97" t="n">
        <f aca="false">SUM(AL149:AL181)</f>
        <v>388</v>
      </c>
      <c r="AM183" s="97" t="n">
        <f aca="false">SUM(AM149:AM181)</f>
        <v>136</v>
      </c>
      <c r="AN183" s="97" t="n">
        <f aca="false">SUM(AN149:AN181)</f>
        <v>139</v>
      </c>
      <c r="AO183" s="97" t="n">
        <f aca="false">SUM(AO149:AO181)</f>
        <v>1753</v>
      </c>
      <c r="AP183" s="97" t="n">
        <f aca="false">SUM(AP149:AP181)</f>
        <v>0</v>
      </c>
      <c r="AQ183" s="97" t="n">
        <f aca="false">SUM(AQ149:AQ181)</f>
        <v>822</v>
      </c>
      <c r="AR183" s="97" t="n">
        <f aca="false">SUM(AR149:AR181)</f>
        <v>224</v>
      </c>
      <c r="AS183" s="97" t="n">
        <f aca="false">SUM(AS149:AS181)</f>
        <v>0</v>
      </c>
      <c r="AT183" s="97" t="n">
        <f aca="false">SUM(AT149:AT181)</f>
        <v>0</v>
      </c>
      <c r="AU183" s="97" t="n">
        <f aca="false">SUM(AU149:AU181)</f>
        <v>0</v>
      </c>
      <c r="AV183" s="97" t="n">
        <f aca="false">SUM(AV149:AV181)</f>
        <v>0</v>
      </c>
      <c r="AW183" s="39"/>
      <c r="AX183" s="97" t="n">
        <f aca="false">SUM(AX149:AX181)</f>
        <v>25005</v>
      </c>
      <c r="AY183" s="97" t="n">
        <f aca="false">SUM(AY149:AY181)</f>
        <v>0</v>
      </c>
      <c r="AZ183" s="39"/>
      <c r="BA183" s="97" t="n">
        <f aca="false">SUM(BA149:BA181)</f>
        <v>4391</v>
      </c>
      <c r="BB183" s="97" t="n">
        <f aca="false">SUM(BB149:BB181)</f>
        <v>3461</v>
      </c>
      <c r="BC183" s="97" t="n">
        <f aca="false">SUM(BC149:BC181)</f>
        <v>21544</v>
      </c>
      <c r="BD183" s="39"/>
      <c r="BE183" s="97" t="n">
        <f aca="false">SUM(BE149:BE181)</f>
        <v>25005</v>
      </c>
      <c r="BF183" s="39"/>
      <c r="BG183" s="98" t="n">
        <f aca="false">SUM(BG138:BG182)</f>
        <v>38683</v>
      </c>
      <c r="BH183" s="39" t="n">
        <f aca="false">SUM(BH138:BH182)</f>
        <v>0</v>
      </c>
      <c r="BI183" s="39"/>
      <c r="BJ183" s="39"/>
      <c r="BK183" s="39"/>
      <c r="BL183" s="39"/>
      <c r="BM183" s="39"/>
      <c r="BN183" s="39"/>
      <c r="BO183" s="39"/>
      <c r="BP183" s="39"/>
      <c r="BQ183" s="39"/>
      <c r="BR183" s="39"/>
      <c r="BS183" s="39"/>
      <c r="BT183" s="39"/>
      <c r="BU183" s="39"/>
      <c r="BV183" s="39"/>
      <c r="BW183" s="39"/>
      <c r="BX183" s="39"/>
      <c r="BY183" s="39"/>
      <c r="BZ183" s="39"/>
      <c r="CA183" s="39"/>
      <c r="CB183" s="39"/>
      <c r="CC183" s="39"/>
      <c r="CD183" s="39"/>
      <c r="CE183" s="39"/>
      <c r="CF183" s="39"/>
      <c r="CG183" s="39"/>
      <c r="CH183" s="39"/>
      <c r="CI183" s="39"/>
      <c r="CJ183" s="39"/>
      <c r="CK183" s="39"/>
      <c r="CL183" s="39"/>
      <c r="CM183" s="39"/>
      <c r="CN183" s="39"/>
      <c r="CO183" s="39"/>
      <c r="CP183" s="39"/>
      <c r="CQ183" s="39"/>
      <c r="CR183" s="39"/>
      <c r="CS183" s="39"/>
      <c r="CT183" s="39"/>
      <c r="CU183" s="39"/>
      <c r="CV183" s="39"/>
      <c r="CW183" s="39"/>
      <c r="CX183" s="39"/>
      <c r="CY183" s="39"/>
      <c r="CZ183" s="39"/>
      <c r="DA183" s="39"/>
      <c r="DB183" s="39"/>
      <c r="DC183" s="39"/>
      <c r="DD183" s="39"/>
      <c r="DE183" s="39"/>
      <c r="DF183" s="39"/>
      <c r="DG183" s="39"/>
      <c r="DH183" s="39"/>
      <c r="DI183" s="39"/>
      <c r="DJ183" s="39"/>
      <c r="DK183" s="39"/>
      <c r="DL183" s="39"/>
      <c r="DM183" s="39"/>
      <c r="DN183" s="39"/>
      <c r="DO183" s="39"/>
      <c r="DP183" s="39"/>
      <c r="DQ183" s="39"/>
      <c r="DR183" s="39"/>
      <c r="DS183" s="39"/>
      <c r="DT183" s="39"/>
      <c r="DU183" s="39"/>
      <c r="DV183" s="39"/>
      <c r="DW183" s="39"/>
      <c r="DX183" s="39"/>
      <c r="DY183" s="39"/>
      <c r="DZ183" s="39"/>
      <c r="EA183" s="39"/>
      <c r="EB183" s="39"/>
      <c r="EC183" s="39"/>
      <c r="ED183" s="39"/>
      <c r="EE183" s="39"/>
      <c r="EF183" s="39"/>
      <c r="EG183" s="39"/>
      <c r="EH183" s="39"/>
      <c r="EI183" s="39"/>
      <c r="EJ183" s="39"/>
      <c r="EK183" s="39"/>
      <c r="EL183" s="39"/>
      <c r="EM183" s="39"/>
      <c r="EN183" s="39"/>
      <c r="EO183" s="39"/>
      <c r="EP183" s="39"/>
      <c r="EQ183" s="39"/>
      <c r="ER183" s="39"/>
      <c r="ES183" s="39"/>
      <c r="ET183" s="39"/>
      <c r="EU183" s="39"/>
      <c r="EV183" s="39"/>
      <c r="EW183" s="39"/>
      <c r="EX183" s="39"/>
      <c r="EY183" s="39"/>
      <c r="EZ183" s="39"/>
      <c r="FA183" s="39"/>
      <c r="FB183" s="39"/>
      <c r="FC183" s="39"/>
      <c r="FD183" s="39"/>
      <c r="FE183" s="39"/>
      <c r="FF183" s="39"/>
      <c r="FG183" s="39"/>
      <c r="FH183" s="39"/>
      <c r="FI183" s="39"/>
      <c r="FJ183" s="39"/>
      <c r="FK183" s="39"/>
      <c r="FL183" s="39"/>
      <c r="FM183" s="39"/>
      <c r="FN183" s="39"/>
      <c r="FO183" s="39"/>
      <c r="FP183" s="39"/>
      <c r="FQ183" s="39"/>
      <c r="FR183" s="39"/>
      <c r="FS183" s="39"/>
      <c r="FT183" s="39"/>
      <c r="FU183" s="39"/>
      <c r="FV183" s="39"/>
      <c r="FW183" s="39"/>
      <c r="FX183" s="39"/>
      <c r="FY183" s="39"/>
      <c r="FZ183" s="39"/>
      <c r="GA183" s="39"/>
      <c r="GB183" s="39"/>
      <c r="GC183" s="39"/>
      <c r="GD183" s="39"/>
      <c r="GE183" s="39"/>
      <c r="GF183" s="39"/>
      <c r="GG183" s="39"/>
      <c r="GH183" s="39"/>
      <c r="GI183" s="39"/>
      <c r="GJ183" s="39"/>
      <c r="GK183" s="39"/>
      <c r="GL183" s="39"/>
      <c r="GM183" s="39"/>
      <c r="GN183" s="39"/>
      <c r="GO183" s="39"/>
      <c r="GP183" s="39"/>
      <c r="GQ183" s="39"/>
      <c r="GR183" s="39"/>
      <c r="GS183" s="39"/>
      <c r="GT183" s="39"/>
      <c r="GU183" s="39"/>
      <c r="GV183" s="39"/>
      <c r="GW183" s="39"/>
      <c r="GX183" s="39"/>
      <c r="GY183" s="39"/>
      <c r="GZ183" s="39"/>
      <c r="HA183" s="39"/>
      <c r="HB183" s="39"/>
      <c r="HC183" s="39"/>
      <c r="HD183" s="39"/>
      <c r="HE183" s="39"/>
      <c r="HF183" s="39"/>
      <c r="HG183" s="39"/>
      <c r="HH183" s="39"/>
      <c r="HI183" s="39"/>
      <c r="HJ183" s="39"/>
      <c r="HK183" s="39"/>
      <c r="HL183" s="39"/>
      <c r="HM183" s="39"/>
      <c r="HN183" s="39"/>
      <c r="HO183" s="39"/>
      <c r="HP183" s="39"/>
      <c r="HQ183" s="39"/>
      <c r="HR183" s="39"/>
      <c r="HS183" s="39"/>
      <c r="HT183" s="39"/>
      <c r="HU183" s="39"/>
      <c r="HV183" s="39"/>
      <c r="HW183" s="39"/>
      <c r="HX183" s="39"/>
      <c r="HY183" s="39"/>
      <c r="HZ183" s="39"/>
      <c r="IA183" s="39"/>
      <c r="IB183" s="39"/>
      <c r="IC183" s="39"/>
      <c r="ID183" s="39"/>
      <c r="IE183" s="39"/>
      <c r="IF183" s="39"/>
      <c r="IG183" s="39"/>
      <c r="IH183" s="39"/>
      <c r="II183" s="39"/>
      <c r="IJ183" s="39"/>
      <c r="IK183" s="39"/>
      <c r="IL183" s="39"/>
      <c r="IM183" s="39"/>
      <c r="IN183" s="39"/>
      <c r="IO183" s="39"/>
      <c r="IP183" s="39"/>
      <c r="IQ183" s="39"/>
      <c r="IR183" s="39"/>
      <c r="IS183" s="39"/>
      <c r="IT183" s="39"/>
      <c r="IU183" s="39"/>
      <c r="IV183" s="39"/>
      <c r="IW183" s="39"/>
    </row>
    <row r="184" customFormat="false" ht="8.1" hidden="false" customHeight="true" outlineLevel="0" collapsed="false">
      <c r="A184" s="37"/>
      <c r="B184" s="39"/>
      <c r="C184" s="39"/>
      <c r="D184" s="96"/>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0"/>
      <c r="AX184" s="71"/>
      <c r="AY184" s="71"/>
      <c r="AZ184" s="39"/>
      <c r="BA184" s="39"/>
      <c r="BB184" s="39"/>
      <c r="BC184" s="39"/>
      <c r="BD184" s="39"/>
      <c r="BE184" s="39"/>
      <c r="BF184" s="39"/>
      <c r="BG184" s="48"/>
      <c r="BH184" s="39"/>
      <c r="BI184" s="39"/>
      <c r="BJ184" s="39"/>
      <c r="BK184" s="39"/>
      <c r="BL184" s="39"/>
      <c r="BM184" s="39"/>
      <c r="BN184" s="39"/>
      <c r="BO184" s="39"/>
      <c r="BP184" s="39"/>
      <c r="BQ184" s="39"/>
      <c r="BR184" s="39"/>
      <c r="BS184" s="39"/>
      <c r="BT184" s="39"/>
      <c r="BU184" s="39"/>
      <c r="BV184" s="39"/>
      <c r="BW184" s="39"/>
      <c r="BX184" s="39"/>
      <c r="BY184" s="39"/>
      <c r="BZ184" s="39"/>
      <c r="CA184" s="39"/>
      <c r="CB184" s="39"/>
      <c r="CC184" s="39"/>
      <c r="CD184" s="39"/>
      <c r="CE184" s="39"/>
      <c r="CF184" s="39"/>
      <c r="CG184" s="39"/>
      <c r="CH184" s="39"/>
      <c r="CI184" s="39"/>
      <c r="CJ184" s="39"/>
      <c r="CK184" s="39"/>
      <c r="CL184" s="39"/>
      <c r="CM184" s="39"/>
      <c r="CN184" s="39"/>
      <c r="CO184" s="39"/>
      <c r="CP184" s="39"/>
      <c r="CQ184" s="39"/>
      <c r="CR184" s="39"/>
      <c r="CS184" s="39"/>
      <c r="CT184" s="39"/>
      <c r="CU184" s="39"/>
      <c r="CV184" s="39"/>
      <c r="CW184" s="39"/>
      <c r="CX184" s="39"/>
      <c r="CY184" s="39"/>
      <c r="CZ184" s="39"/>
      <c r="DA184" s="39"/>
      <c r="DB184" s="39"/>
      <c r="DC184" s="39"/>
      <c r="DD184" s="39"/>
      <c r="DE184" s="39"/>
      <c r="DF184" s="39"/>
      <c r="DG184" s="39"/>
      <c r="DH184" s="39"/>
      <c r="DI184" s="39"/>
      <c r="DJ184" s="39"/>
      <c r="DK184" s="39"/>
      <c r="DL184" s="39"/>
      <c r="DM184" s="39"/>
      <c r="DN184" s="39"/>
      <c r="DO184" s="39"/>
      <c r="DP184" s="39"/>
      <c r="DQ184" s="39"/>
      <c r="DR184" s="39"/>
      <c r="DS184" s="39"/>
      <c r="DT184" s="39"/>
      <c r="DU184" s="39"/>
      <c r="DV184" s="39"/>
      <c r="DW184" s="39"/>
      <c r="DX184" s="39"/>
      <c r="DY184" s="39"/>
      <c r="DZ184" s="39"/>
      <c r="EA184" s="39"/>
      <c r="EB184" s="39"/>
      <c r="EC184" s="39"/>
      <c r="ED184" s="39"/>
      <c r="EE184" s="39"/>
      <c r="EF184" s="39"/>
      <c r="EG184" s="39"/>
      <c r="EH184" s="39"/>
      <c r="EI184" s="39"/>
      <c r="EJ184" s="39"/>
      <c r="EK184" s="39"/>
      <c r="EL184" s="39"/>
      <c r="EM184" s="39"/>
      <c r="EN184" s="39"/>
      <c r="EO184" s="39"/>
      <c r="EP184" s="39"/>
      <c r="EQ184" s="39"/>
      <c r="ER184" s="39"/>
      <c r="ES184" s="39"/>
      <c r="ET184" s="39"/>
      <c r="EU184" s="39"/>
      <c r="EV184" s="39"/>
      <c r="EW184" s="39"/>
      <c r="EX184" s="39"/>
      <c r="EY184" s="39"/>
      <c r="EZ184" s="39"/>
      <c r="FA184" s="39"/>
      <c r="FB184" s="39"/>
      <c r="FC184" s="39"/>
      <c r="FD184" s="39"/>
      <c r="FE184" s="39"/>
      <c r="FF184" s="39"/>
      <c r="FG184" s="39"/>
      <c r="FH184" s="39"/>
      <c r="FI184" s="39"/>
      <c r="FJ184" s="39"/>
      <c r="FK184" s="39"/>
      <c r="FL184" s="39"/>
      <c r="FM184" s="39"/>
      <c r="FN184" s="39"/>
      <c r="FO184" s="39"/>
      <c r="FP184" s="39"/>
      <c r="FQ184" s="39"/>
      <c r="FR184" s="39"/>
      <c r="FS184" s="39"/>
      <c r="FT184" s="39"/>
      <c r="FU184" s="39"/>
      <c r="FV184" s="39"/>
      <c r="FW184" s="39"/>
      <c r="FX184" s="39"/>
      <c r="FY184" s="39"/>
      <c r="FZ184" s="39"/>
      <c r="GA184" s="39"/>
      <c r="GB184" s="39"/>
      <c r="GC184" s="39"/>
      <c r="GD184" s="39"/>
      <c r="GE184" s="39"/>
      <c r="GF184" s="39"/>
      <c r="GG184" s="39"/>
      <c r="GH184" s="39"/>
      <c r="GI184" s="39"/>
      <c r="GJ184" s="39"/>
      <c r="GK184" s="39"/>
      <c r="GL184" s="39"/>
      <c r="GM184" s="39"/>
      <c r="GN184" s="39"/>
      <c r="GO184" s="39"/>
      <c r="GP184" s="39"/>
      <c r="GQ184" s="39"/>
      <c r="GR184" s="39"/>
      <c r="GS184" s="39"/>
      <c r="GT184" s="39"/>
      <c r="GU184" s="39"/>
      <c r="GV184" s="39"/>
      <c r="GW184" s="39"/>
      <c r="GX184" s="39"/>
      <c r="GY184" s="39"/>
      <c r="GZ184" s="39"/>
      <c r="HA184" s="39"/>
      <c r="HB184" s="39"/>
      <c r="HC184" s="39"/>
      <c r="HD184" s="39"/>
      <c r="HE184" s="39"/>
      <c r="HF184" s="39"/>
      <c r="HG184" s="39"/>
      <c r="HH184" s="39"/>
      <c r="HI184" s="39"/>
      <c r="HJ184" s="39"/>
      <c r="HK184" s="39"/>
      <c r="HL184" s="39"/>
      <c r="HM184" s="39"/>
      <c r="HN184" s="39"/>
      <c r="HO184" s="39"/>
      <c r="HP184" s="39"/>
      <c r="HQ184" s="39"/>
      <c r="HR184" s="39"/>
      <c r="HS184" s="39"/>
      <c r="HT184" s="39"/>
      <c r="HU184" s="39"/>
      <c r="HV184" s="39"/>
      <c r="HW184" s="39"/>
      <c r="HX184" s="39"/>
      <c r="HY184" s="39"/>
      <c r="HZ184" s="39"/>
      <c r="IA184" s="39"/>
      <c r="IB184" s="39"/>
      <c r="IC184" s="39"/>
      <c r="ID184" s="39"/>
      <c r="IE184" s="39"/>
      <c r="IF184" s="39"/>
      <c r="IG184" s="39"/>
      <c r="IH184" s="39"/>
      <c r="II184" s="39"/>
      <c r="IJ184" s="39"/>
      <c r="IK184" s="39"/>
      <c r="IL184" s="39"/>
      <c r="IM184" s="39"/>
      <c r="IN184" s="39"/>
      <c r="IO184" s="39"/>
      <c r="IP184" s="39"/>
      <c r="IQ184" s="39"/>
      <c r="IR184" s="39"/>
      <c r="IS184" s="39"/>
      <c r="IT184" s="39"/>
      <c r="IU184" s="39"/>
      <c r="IV184" s="39"/>
      <c r="IW184" s="39"/>
    </row>
    <row r="185" customFormat="false" ht="12.75" hidden="false" customHeight="true" outlineLevel="0" collapsed="false">
      <c r="A185" s="95" t="s">
        <v>426</v>
      </c>
      <c r="B185" s="39"/>
      <c r="C185" s="39"/>
      <c r="D185" s="96"/>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0"/>
      <c r="AX185" s="71"/>
      <c r="AY185" s="71"/>
      <c r="AZ185" s="39"/>
      <c r="BA185" s="39"/>
      <c r="BB185" s="39"/>
      <c r="BC185" s="39"/>
      <c r="BD185" s="39"/>
      <c r="BE185" s="39"/>
      <c r="BF185" s="39"/>
      <c r="BG185" s="48"/>
      <c r="BH185" s="39"/>
      <c r="BI185" s="39"/>
      <c r="BJ185" s="39"/>
      <c r="BK185" s="39"/>
      <c r="BL185" s="39"/>
      <c r="BM185" s="39"/>
      <c r="BN185" s="39"/>
      <c r="BO185" s="39"/>
      <c r="BP185" s="39"/>
      <c r="BQ185" s="39"/>
      <c r="BR185" s="39"/>
      <c r="BS185" s="39"/>
      <c r="BT185" s="39"/>
      <c r="BU185" s="39"/>
      <c r="BV185" s="39"/>
      <c r="BW185" s="39"/>
      <c r="BX185" s="39"/>
      <c r="BY185" s="39"/>
      <c r="BZ185" s="39"/>
      <c r="CA185" s="39"/>
      <c r="CB185" s="39"/>
      <c r="CC185" s="39"/>
      <c r="CD185" s="39"/>
      <c r="CE185" s="39"/>
      <c r="CF185" s="39"/>
      <c r="CG185" s="39"/>
      <c r="CH185" s="39"/>
      <c r="CI185" s="39"/>
      <c r="CJ185" s="39"/>
      <c r="CK185" s="39"/>
      <c r="CL185" s="39"/>
      <c r="CM185" s="39"/>
      <c r="CN185" s="39"/>
      <c r="CO185" s="39"/>
      <c r="CP185" s="39"/>
      <c r="CQ185" s="39"/>
      <c r="CR185" s="39"/>
      <c r="CS185" s="39"/>
      <c r="CT185" s="39"/>
      <c r="CU185" s="39"/>
      <c r="CV185" s="39"/>
      <c r="CW185" s="39"/>
      <c r="CX185" s="39"/>
      <c r="CY185" s="39"/>
      <c r="CZ185" s="39"/>
      <c r="DA185" s="39"/>
      <c r="DB185" s="39"/>
      <c r="DC185" s="39"/>
      <c r="DD185" s="39"/>
      <c r="DE185" s="39"/>
      <c r="DF185" s="39"/>
      <c r="DG185" s="39"/>
      <c r="DH185" s="39"/>
      <c r="DI185" s="39"/>
      <c r="DJ185" s="39"/>
      <c r="DK185" s="39"/>
      <c r="DL185" s="39"/>
      <c r="DM185" s="39"/>
      <c r="DN185" s="39"/>
      <c r="DO185" s="39"/>
      <c r="DP185" s="39"/>
      <c r="DQ185" s="39"/>
      <c r="DR185" s="39"/>
      <c r="DS185" s="39"/>
      <c r="DT185" s="39"/>
      <c r="DU185" s="39"/>
      <c r="DV185" s="39"/>
      <c r="DW185" s="39"/>
      <c r="DX185" s="39"/>
      <c r="DY185" s="39"/>
      <c r="DZ185" s="39"/>
      <c r="EA185" s="39"/>
      <c r="EB185" s="39"/>
      <c r="EC185" s="39"/>
      <c r="ED185" s="39"/>
      <c r="EE185" s="39"/>
      <c r="EF185" s="39"/>
      <c r="EG185" s="39"/>
      <c r="EH185" s="39"/>
      <c r="EI185" s="39"/>
      <c r="EJ185" s="39"/>
      <c r="EK185" s="39"/>
      <c r="EL185" s="39"/>
      <c r="EM185" s="39"/>
      <c r="EN185" s="39"/>
      <c r="EO185" s="39"/>
      <c r="EP185" s="39"/>
      <c r="EQ185" s="39"/>
      <c r="ER185" s="39"/>
      <c r="ES185" s="39"/>
      <c r="ET185" s="39"/>
      <c r="EU185" s="39"/>
      <c r="EV185" s="39"/>
      <c r="EW185" s="39"/>
      <c r="EX185" s="39"/>
      <c r="EY185" s="39"/>
      <c r="EZ185" s="39"/>
      <c r="FA185" s="39"/>
      <c r="FB185" s="39"/>
      <c r="FC185" s="39"/>
      <c r="FD185" s="39"/>
      <c r="FE185" s="39"/>
      <c r="FF185" s="39"/>
      <c r="FG185" s="39"/>
      <c r="FH185" s="39"/>
      <c r="FI185" s="39"/>
      <c r="FJ185" s="39"/>
      <c r="FK185" s="39"/>
      <c r="FL185" s="39"/>
      <c r="FM185" s="39"/>
      <c r="FN185" s="39"/>
      <c r="FO185" s="39"/>
      <c r="FP185" s="39"/>
      <c r="FQ185" s="39"/>
      <c r="FR185" s="39"/>
      <c r="FS185" s="39"/>
      <c r="FT185" s="39"/>
      <c r="FU185" s="39"/>
      <c r="FV185" s="39"/>
      <c r="FW185" s="39"/>
      <c r="FX185" s="39"/>
      <c r="FY185" s="39"/>
      <c r="FZ185" s="39"/>
      <c r="GA185" s="39"/>
      <c r="GB185" s="39"/>
      <c r="GC185" s="39"/>
      <c r="GD185" s="39"/>
      <c r="GE185" s="39"/>
      <c r="GF185" s="39"/>
      <c r="GG185" s="39"/>
      <c r="GH185" s="39"/>
      <c r="GI185" s="39"/>
      <c r="GJ185" s="39"/>
      <c r="GK185" s="39"/>
      <c r="GL185" s="39"/>
      <c r="GM185" s="39"/>
      <c r="GN185" s="39"/>
      <c r="GO185" s="39"/>
      <c r="GP185" s="39"/>
      <c r="GQ185" s="39"/>
      <c r="GR185" s="39"/>
      <c r="GS185" s="39"/>
      <c r="GT185" s="39"/>
      <c r="GU185" s="39"/>
      <c r="GV185" s="39"/>
      <c r="GW185" s="39"/>
      <c r="GX185" s="39"/>
      <c r="GY185" s="39"/>
      <c r="GZ185" s="39"/>
      <c r="HA185" s="39"/>
      <c r="HB185" s="39"/>
      <c r="HC185" s="39"/>
      <c r="HD185" s="39"/>
      <c r="HE185" s="39"/>
      <c r="HF185" s="39"/>
      <c r="HG185" s="39"/>
      <c r="HH185" s="39"/>
      <c r="HI185" s="39"/>
      <c r="HJ185" s="39"/>
      <c r="HK185" s="39"/>
      <c r="HL185" s="39"/>
      <c r="HM185" s="39"/>
      <c r="HN185" s="39"/>
      <c r="HO185" s="39"/>
      <c r="HP185" s="39"/>
      <c r="HQ185" s="39"/>
      <c r="HR185" s="39"/>
      <c r="HS185" s="39"/>
      <c r="HT185" s="39"/>
      <c r="HU185" s="39"/>
      <c r="HV185" s="39"/>
      <c r="HW185" s="39"/>
      <c r="HX185" s="39"/>
      <c r="HY185" s="39"/>
      <c r="HZ185" s="39"/>
      <c r="IA185" s="39"/>
      <c r="IB185" s="39"/>
      <c r="IC185" s="39"/>
      <c r="ID185" s="39"/>
      <c r="IE185" s="39"/>
      <c r="IF185" s="39"/>
      <c r="IG185" s="39"/>
      <c r="IH185" s="39"/>
      <c r="II185" s="39"/>
      <c r="IJ185" s="39"/>
      <c r="IK185" s="39"/>
      <c r="IL185" s="39"/>
      <c r="IM185" s="39"/>
      <c r="IN185" s="39"/>
      <c r="IO185" s="39"/>
      <c r="IP185" s="39"/>
      <c r="IQ185" s="39"/>
      <c r="IR185" s="39"/>
      <c r="IS185" s="39"/>
      <c r="IT185" s="39"/>
      <c r="IU185" s="39"/>
      <c r="IV185" s="39"/>
      <c r="IW185" s="39"/>
    </row>
    <row r="186" customFormat="false" ht="12.95" hidden="false" customHeight="true" outlineLevel="0" collapsed="false">
      <c r="A186" s="37" t="n">
        <f aca="false">+'CCs # Master'!A120</f>
        <v>11</v>
      </c>
      <c r="B186" s="39" t="str">
        <f aca="false">+'CCs # Master'!B120</f>
        <v>A&amp;A Recruits Expenses</v>
      </c>
      <c r="C186" s="39" t="str">
        <f aca="false">+'CCs # Master'!C120</f>
        <v>Roberts, Celeste</v>
      </c>
      <c r="D186" s="96" t="n">
        <f aca="false">+'CCs # Master'!D120</f>
        <v>100806</v>
      </c>
      <c r="E186" s="39" t="n">
        <f aca="false">+'CCs # Master'!E120</f>
        <v>50428</v>
      </c>
      <c r="F186" s="39" t="n">
        <f aca="false">+'CCs # Master'!F120</f>
        <v>1103</v>
      </c>
      <c r="G186" s="39" t="n">
        <f aca="false">+'CCs # Master'!G120</f>
        <v>0</v>
      </c>
      <c r="H186" s="39" t="n">
        <f aca="false">+'CCs # Master'!H120</f>
        <v>0</v>
      </c>
      <c r="I186" s="39" t="n">
        <f aca="false">+'CCs # Master'!I120</f>
        <v>0</v>
      </c>
      <c r="J186" s="39" t="n">
        <f aca="false">+'CCs # Master'!J120</f>
        <v>0</v>
      </c>
      <c r="K186" s="71" t="n">
        <f aca="false">SUM(E186:J186)</f>
        <v>51531</v>
      </c>
      <c r="L186" s="39"/>
      <c r="M186" s="39" t="str">
        <f aca="false">+'CCs # Master'!M120</f>
        <v>Allocated based on Analyst &amp; Assoc used</v>
      </c>
      <c r="N186" s="39" t="n">
        <f aca="false">+'CCs # Master'!AW120</f>
        <v>0</v>
      </c>
      <c r="O186" s="39" t="n">
        <f aca="false">'CCs # Master'!AX120</f>
        <v>51531</v>
      </c>
      <c r="P186" s="39" t="n">
        <f aca="false">+'CCs # Master'!N120</f>
        <v>0</v>
      </c>
      <c r="Q186" s="39" t="n">
        <f aca="false">+'CCs # Master'!O120</f>
        <v>0</v>
      </c>
      <c r="R186" s="39" t="n">
        <f aca="false">+'CCs # Master'!P120</f>
        <v>0</v>
      </c>
      <c r="S186" s="39" t="n">
        <f aca="false">+'CCs # Master'!Q120</f>
        <v>0</v>
      </c>
      <c r="T186" s="39" t="n">
        <f aca="false">+'CCs # Master'!R120</f>
        <v>0</v>
      </c>
      <c r="U186" s="39" t="n">
        <f aca="false">+'CCs # Master'!S120</f>
        <v>0</v>
      </c>
      <c r="V186" s="39" t="n">
        <f aca="false">+'CCs # Master'!T120</f>
        <v>0</v>
      </c>
      <c r="W186" s="39" t="n">
        <f aca="false">+'CCs # Master'!U120</f>
        <v>0</v>
      </c>
      <c r="X186" s="39" t="n">
        <f aca="false">+'CCs # Master'!V120</f>
        <v>0</v>
      </c>
      <c r="Y186" s="39" t="n">
        <f aca="false">+'CCs # Master'!W120</f>
        <v>0</v>
      </c>
      <c r="Z186" s="39" t="n">
        <f aca="false">+'CCs # Master'!X120</f>
        <v>0</v>
      </c>
      <c r="AA186" s="39" t="n">
        <f aca="false">+'CCs # Master'!Y120</f>
        <v>0</v>
      </c>
      <c r="AB186" s="39" t="n">
        <f aca="false">+'CCs # Master'!Z120</f>
        <v>0</v>
      </c>
      <c r="AC186" s="39" t="n">
        <f aca="false">+'CCs # Master'!AA120</f>
        <v>0</v>
      </c>
      <c r="AD186" s="39" t="n">
        <f aca="false">+'CCs # Master'!AB120</f>
        <v>0</v>
      </c>
      <c r="AE186" s="39" t="n">
        <f aca="false">+'CCs # Master'!AC120</f>
        <v>0</v>
      </c>
      <c r="AF186" s="39" t="n">
        <f aca="false">+'CCs # Master'!AD120</f>
        <v>0</v>
      </c>
      <c r="AG186" s="39" t="n">
        <f aca="false">+'CCs # Master'!AE120</f>
        <v>0</v>
      </c>
      <c r="AH186" s="39" t="n">
        <f aca="false">+'CCs # Master'!AF120</f>
        <v>0</v>
      </c>
      <c r="AI186" s="39" t="n">
        <f aca="false">+'CCs # Master'!AG120</f>
        <v>0</v>
      </c>
      <c r="AJ186" s="39" t="n">
        <f aca="false">+'CCs # Master'!AH120</f>
        <v>0</v>
      </c>
      <c r="AK186" s="39" t="n">
        <f aca="false">+'CCs # Master'!AI120</f>
        <v>0</v>
      </c>
      <c r="AL186" s="39" t="n">
        <f aca="false">+'CCs # Master'!AJ120</f>
        <v>0</v>
      </c>
      <c r="AM186" s="39" t="n">
        <f aca="false">+'CCs # Master'!AK120</f>
        <v>0</v>
      </c>
      <c r="AN186" s="39" t="n">
        <f aca="false">+'CCs # Master'!AL120</f>
        <v>0</v>
      </c>
      <c r="AO186" s="39" t="n">
        <f aca="false">+'CCs # Master'!AM120</f>
        <v>0</v>
      </c>
      <c r="AP186" s="39" t="n">
        <f aca="false">+'CCs # Master'!AN120</f>
        <v>0</v>
      </c>
      <c r="AQ186" s="39" t="n">
        <f aca="false">+'CCs # Master'!AO120</f>
        <v>0</v>
      </c>
      <c r="AR186" s="39" t="n">
        <f aca="false">+'CCs # Master'!AP120</f>
        <v>0</v>
      </c>
      <c r="AS186" s="39" t="n">
        <f aca="false">+'CCs # Master'!AQ120</f>
        <v>0</v>
      </c>
      <c r="AT186" s="39" t="n">
        <f aca="false">+'CCs # Master'!AR120</f>
        <v>0</v>
      </c>
      <c r="AU186" s="39" t="n">
        <f aca="false">+'CCs # Master'!AS120</f>
        <v>0</v>
      </c>
      <c r="AV186" s="39" t="n">
        <f aca="false">+'CCs # Master'!AT120</f>
        <v>0</v>
      </c>
      <c r="AW186" s="100"/>
      <c r="AX186" s="71" t="n">
        <f aca="false">SUM(N186:AW186)</f>
        <v>51531</v>
      </c>
      <c r="AY186" s="71" t="n">
        <f aca="false">+K186-AX186</f>
        <v>0</v>
      </c>
      <c r="AZ186" s="39"/>
      <c r="BA186" s="39" t="n">
        <f aca="false">+P186+Q186+T186+U186+V186+W186+X186+Y186</f>
        <v>0</v>
      </c>
      <c r="BB186" s="39" t="n">
        <f aca="false">N186+O186</f>
        <v>51531</v>
      </c>
      <c r="BC186" s="39" t="n">
        <f aca="false">SUM(P186:AW186)</f>
        <v>0</v>
      </c>
      <c r="BD186" s="39"/>
      <c r="BE186" s="39" t="n">
        <f aca="false">SUM(BB186:BC186)</f>
        <v>51531</v>
      </c>
      <c r="BF186" s="39"/>
      <c r="BG186" s="48" t="n">
        <f aca="false">SUM(N186:AW186)</f>
        <v>51531</v>
      </c>
      <c r="BH186" s="39" t="n">
        <f aca="false">BE186-BG186</f>
        <v>0</v>
      </c>
      <c r="BI186" s="39"/>
      <c r="BJ186" s="39"/>
      <c r="BK186" s="39"/>
      <c r="BL186" s="39"/>
      <c r="BM186" s="39"/>
      <c r="BN186" s="39"/>
      <c r="BO186" s="39"/>
      <c r="BP186" s="39"/>
      <c r="BQ186" s="39"/>
      <c r="BR186" s="39"/>
      <c r="BS186" s="39"/>
      <c r="BT186" s="39"/>
      <c r="BU186" s="39"/>
      <c r="BV186" s="39"/>
      <c r="BW186" s="39"/>
      <c r="BX186" s="39"/>
      <c r="BY186" s="39"/>
      <c r="BZ186" s="39"/>
      <c r="CA186" s="39"/>
      <c r="CB186" s="39"/>
      <c r="CC186" s="39"/>
      <c r="CD186" s="39"/>
      <c r="CE186" s="39"/>
      <c r="CF186" s="39"/>
      <c r="CG186" s="39"/>
      <c r="CH186" s="39"/>
      <c r="CI186" s="39"/>
      <c r="CJ186" s="39"/>
      <c r="CK186" s="39"/>
      <c r="CL186" s="39"/>
      <c r="CM186" s="39"/>
      <c r="CN186" s="39"/>
      <c r="CO186" s="39"/>
      <c r="CP186" s="39"/>
      <c r="CQ186" s="39"/>
      <c r="CR186" s="39"/>
      <c r="CS186" s="39"/>
      <c r="CT186" s="39"/>
      <c r="CU186" s="39"/>
      <c r="CV186" s="39"/>
      <c r="CW186" s="39"/>
      <c r="CX186" s="39"/>
      <c r="CY186" s="39"/>
      <c r="CZ186" s="39"/>
      <c r="DA186" s="39"/>
      <c r="DB186" s="39"/>
      <c r="DC186" s="39"/>
      <c r="DD186" s="39"/>
      <c r="DE186" s="39"/>
      <c r="DF186" s="39"/>
      <c r="DG186" s="39"/>
      <c r="DH186" s="39"/>
      <c r="DI186" s="39"/>
      <c r="DJ186" s="39"/>
      <c r="DK186" s="39"/>
      <c r="DL186" s="39"/>
      <c r="DM186" s="39"/>
      <c r="DN186" s="39"/>
      <c r="DO186" s="39"/>
      <c r="DP186" s="39"/>
      <c r="DQ186" s="39"/>
      <c r="DR186" s="39"/>
      <c r="DS186" s="39"/>
      <c r="DT186" s="39"/>
      <c r="DU186" s="39"/>
      <c r="DV186" s="39"/>
      <c r="DW186" s="39"/>
      <c r="DX186" s="39"/>
      <c r="DY186" s="39"/>
      <c r="DZ186" s="39"/>
      <c r="EA186" s="39"/>
      <c r="EB186" s="39"/>
      <c r="EC186" s="39"/>
      <c r="ED186" s="39"/>
      <c r="EE186" s="39"/>
      <c r="EF186" s="39"/>
      <c r="EG186" s="39"/>
      <c r="EH186" s="39"/>
      <c r="EI186" s="39"/>
      <c r="EJ186" s="39"/>
      <c r="EK186" s="39"/>
      <c r="EL186" s="39"/>
      <c r="EM186" s="39"/>
      <c r="EN186" s="39"/>
      <c r="EO186" s="39"/>
      <c r="EP186" s="39"/>
      <c r="EQ186" s="39"/>
      <c r="ER186" s="39"/>
      <c r="ES186" s="39"/>
      <c r="ET186" s="39"/>
      <c r="EU186" s="39"/>
      <c r="EV186" s="39"/>
      <c r="EW186" s="39"/>
      <c r="EX186" s="39"/>
      <c r="EY186" s="39"/>
      <c r="EZ186" s="39"/>
      <c r="FA186" s="39"/>
      <c r="FB186" s="39"/>
      <c r="FC186" s="39"/>
      <c r="FD186" s="39"/>
      <c r="FE186" s="39"/>
      <c r="FF186" s="39"/>
      <c r="FG186" s="39"/>
      <c r="FH186" s="39"/>
      <c r="FI186" s="39"/>
      <c r="FJ186" s="39"/>
      <c r="FK186" s="39"/>
      <c r="FL186" s="39"/>
      <c r="FM186" s="39"/>
      <c r="FN186" s="39"/>
      <c r="FO186" s="39"/>
      <c r="FP186" s="39"/>
      <c r="FQ186" s="39"/>
      <c r="FR186" s="39"/>
      <c r="FS186" s="39"/>
      <c r="FT186" s="39"/>
      <c r="FU186" s="39"/>
      <c r="FV186" s="39"/>
      <c r="FW186" s="39"/>
      <c r="FX186" s="39"/>
      <c r="FY186" s="39"/>
      <c r="FZ186" s="39"/>
      <c r="GA186" s="39"/>
      <c r="GB186" s="39"/>
      <c r="GC186" s="39"/>
      <c r="GD186" s="39"/>
      <c r="GE186" s="39"/>
      <c r="GF186" s="39"/>
      <c r="GG186" s="39"/>
      <c r="GH186" s="39"/>
      <c r="GI186" s="39"/>
      <c r="GJ186" s="39"/>
      <c r="GK186" s="39"/>
      <c r="GL186" s="39"/>
      <c r="GM186" s="39"/>
      <c r="GN186" s="39"/>
      <c r="GO186" s="39"/>
      <c r="GP186" s="39"/>
      <c r="GQ186" s="39"/>
      <c r="GR186" s="39"/>
      <c r="GS186" s="39"/>
      <c r="GT186" s="39"/>
      <c r="GU186" s="39"/>
      <c r="GV186" s="39"/>
      <c r="GW186" s="39"/>
      <c r="GX186" s="39"/>
      <c r="GY186" s="39"/>
      <c r="GZ186" s="39"/>
      <c r="HA186" s="39"/>
      <c r="HB186" s="39"/>
      <c r="HC186" s="39"/>
      <c r="HD186" s="39"/>
      <c r="HE186" s="39"/>
      <c r="HF186" s="39"/>
      <c r="HG186" s="39"/>
      <c r="HH186" s="39"/>
      <c r="HI186" s="39"/>
      <c r="HJ186" s="39"/>
      <c r="HK186" s="39"/>
      <c r="HL186" s="39"/>
      <c r="HM186" s="39"/>
      <c r="HN186" s="39"/>
      <c r="HO186" s="39"/>
      <c r="HP186" s="39"/>
      <c r="HQ186" s="39"/>
      <c r="HR186" s="39"/>
      <c r="HS186" s="39"/>
      <c r="HT186" s="39"/>
      <c r="HU186" s="39"/>
      <c r="HV186" s="39"/>
      <c r="HW186" s="39"/>
      <c r="HX186" s="39"/>
      <c r="HY186" s="39"/>
      <c r="HZ186" s="39"/>
      <c r="IA186" s="39"/>
      <c r="IB186" s="39"/>
      <c r="IC186" s="39"/>
      <c r="ID186" s="39"/>
      <c r="IE186" s="39"/>
      <c r="IF186" s="39"/>
      <c r="IG186" s="39"/>
      <c r="IH186" s="39"/>
      <c r="II186" s="39"/>
      <c r="IJ186" s="39"/>
      <c r="IK186" s="39"/>
      <c r="IL186" s="39"/>
      <c r="IM186" s="39"/>
      <c r="IN186" s="39"/>
      <c r="IO186" s="39"/>
      <c r="IP186" s="39"/>
      <c r="IQ186" s="39"/>
      <c r="IR186" s="39"/>
      <c r="IS186" s="39"/>
      <c r="IT186" s="39"/>
      <c r="IU186" s="39"/>
      <c r="IV186" s="39"/>
      <c r="IW186" s="39"/>
    </row>
    <row r="187" customFormat="false" ht="12.95" hidden="false" customHeight="true" outlineLevel="0" collapsed="false">
      <c r="A187" s="37" t="n">
        <f aca="false">+'CCs # Master'!A121</f>
        <v>11</v>
      </c>
      <c r="B187" s="39" t="str">
        <f aca="false">+'CCs # Master'!B121</f>
        <v>A&amp;A Recruiting</v>
      </c>
      <c r="C187" s="39" t="str">
        <f aca="false">+'CCs # Master'!C121</f>
        <v>Roberts, Celeste</v>
      </c>
      <c r="D187" s="96" t="n">
        <f aca="false">+'CCs # Master'!D121</f>
        <v>100807</v>
      </c>
      <c r="E187" s="39" t="n">
        <f aca="false">+'CCs # Master'!E121</f>
        <v>1184</v>
      </c>
      <c r="F187" s="39" t="n">
        <f aca="false">+'CCs # Master'!F121</f>
        <v>6871</v>
      </c>
      <c r="G187" s="39" t="n">
        <f aca="false">+'CCs # Master'!G121</f>
        <v>4</v>
      </c>
      <c r="H187" s="39" t="n">
        <f aca="false">+'CCs # Master'!H121</f>
        <v>288</v>
      </c>
      <c r="I187" s="39" t="n">
        <f aca="false">+'CCs # Master'!I121</f>
        <v>410</v>
      </c>
      <c r="J187" s="39" t="n">
        <f aca="false">+'CCs # Master'!J121</f>
        <v>301</v>
      </c>
      <c r="K187" s="71" t="n">
        <f aca="false">SUM(E187:J187)</f>
        <v>9058</v>
      </c>
      <c r="L187" s="39"/>
      <c r="M187" s="39" t="str">
        <f aca="false">+'CCs # Master'!M121</f>
        <v>Allocated based on Analyst &amp; Assoc used</v>
      </c>
      <c r="N187" s="39" t="n">
        <f aca="false">+'CCs # Master'!AW121</f>
        <v>0</v>
      </c>
      <c r="O187" s="39" t="n">
        <f aca="false">'CCs # Master'!AX121</f>
        <v>9058</v>
      </c>
      <c r="P187" s="39" t="n">
        <f aca="false">+'CCs # Master'!N121</f>
        <v>0</v>
      </c>
      <c r="Q187" s="39" t="n">
        <f aca="false">+'CCs # Master'!O121</f>
        <v>0</v>
      </c>
      <c r="R187" s="39" t="n">
        <f aca="false">+'CCs # Master'!P121</f>
        <v>0</v>
      </c>
      <c r="S187" s="39" t="n">
        <f aca="false">+'CCs # Master'!Q121</f>
        <v>0</v>
      </c>
      <c r="T187" s="39" t="n">
        <f aca="false">+'CCs # Master'!R121</f>
        <v>0</v>
      </c>
      <c r="U187" s="39" t="n">
        <f aca="false">+'CCs # Master'!S121</f>
        <v>0</v>
      </c>
      <c r="V187" s="39" t="n">
        <f aca="false">+'CCs # Master'!T121</f>
        <v>0</v>
      </c>
      <c r="W187" s="39" t="n">
        <f aca="false">+'CCs # Master'!U121</f>
        <v>0</v>
      </c>
      <c r="X187" s="39" t="n">
        <f aca="false">+'CCs # Master'!V121</f>
        <v>0</v>
      </c>
      <c r="Y187" s="39" t="n">
        <f aca="false">+'CCs # Master'!W121</f>
        <v>0</v>
      </c>
      <c r="Z187" s="39" t="n">
        <f aca="false">+'CCs # Master'!X121</f>
        <v>0</v>
      </c>
      <c r="AA187" s="39" t="n">
        <f aca="false">+'CCs # Master'!Y121</f>
        <v>0</v>
      </c>
      <c r="AB187" s="39" t="n">
        <f aca="false">+'CCs # Master'!Z121</f>
        <v>0</v>
      </c>
      <c r="AC187" s="39" t="n">
        <f aca="false">+'CCs # Master'!AA121</f>
        <v>0</v>
      </c>
      <c r="AD187" s="39" t="n">
        <f aca="false">+'CCs # Master'!AB121</f>
        <v>0</v>
      </c>
      <c r="AE187" s="39" t="n">
        <f aca="false">+'CCs # Master'!AC121</f>
        <v>0</v>
      </c>
      <c r="AF187" s="39" t="n">
        <f aca="false">+'CCs # Master'!AD121</f>
        <v>0</v>
      </c>
      <c r="AG187" s="39" t="n">
        <f aca="false">+'CCs # Master'!AE121</f>
        <v>0</v>
      </c>
      <c r="AH187" s="39" t="n">
        <f aca="false">+'CCs # Master'!AF121</f>
        <v>0</v>
      </c>
      <c r="AI187" s="39" t="n">
        <f aca="false">+'CCs # Master'!AG121</f>
        <v>0</v>
      </c>
      <c r="AJ187" s="39" t="n">
        <f aca="false">+'CCs # Master'!AH121</f>
        <v>0</v>
      </c>
      <c r="AK187" s="39" t="n">
        <f aca="false">+'CCs # Master'!AI121</f>
        <v>0</v>
      </c>
      <c r="AL187" s="39" t="n">
        <f aca="false">+'CCs # Master'!AJ121</f>
        <v>0</v>
      </c>
      <c r="AM187" s="39" t="n">
        <f aca="false">+'CCs # Master'!AK121</f>
        <v>0</v>
      </c>
      <c r="AN187" s="39" t="n">
        <f aca="false">+'CCs # Master'!AL121</f>
        <v>0</v>
      </c>
      <c r="AO187" s="39" t="n">
        <f aca="false">+'CCs # Master'!AM121</f>
        <v>0</v>
      </c>
      <c r="AP187" s="39" t="n">
        <f aca="false">+'CCs # Master'!AN121</f>
        <v>0</v>
      </c>
      <c r="AQ187" s="39" t="n">
        <f aca="false">+'CCs # Master'!AO121</f>
        <v>0</v>
      </c>
      <c r="AR187" s="39" t="n">
        <f aca="false">+'CCs # Master'!AP121</f>
        <v>0</v>
      </c>
      <c r="AS187" s="39" t="n">
        <f aca="false">+'CCs # Master'!AQ121</f>
        <v>0</v>
      </c>
      <c r="AT187" s="39" t="n">
        <f aca="false">+'CCs # Master'!AR121</f>
        <v>0</v>
      </c>
      <c r="AU187" s="39" t="n">
        <f aca="false">+'CCs # Master'!AS121</f>
        <v>0</v>
      </c>
      <c r="AV187" s="39" t="n">
        <f aca="false">+'CCs # Master'!AT121</f>
        <v>0</v>
      </c>
      <c r="AW187" s="100"/>
      <c r="AX187" s="71" t="n">
        <f aca="false">SUM(N187:AW187)</f>
        <v>9058</v>
      </c>
      <c r="AY187" s="71" t="n">
        <f aca="false">+K187-AX187</f>
        <v>0</v>
      </c>
      <c r="AZ187" s="39"/>
      <c r="BA187" s="39" t="n">
        <f aca="false">+P187+Q187+T187+U187+V187+W187+X187+Y187</f>
        <v>0</v>
      </c>
      <c r="BB187" s="39" t="n">
        <f aca="false">N187+O187</f>
        <v>9058</v>
      </c>
      <c r="BC187" s="39" t="n">
        <f aca="false">SUM(P187:AW187)</f>
        <v>0</v>
      </c>
      <c r="BD187" s="39"/>
      <c r="BE187" s="39" t="n">
        <f aca="false">SUM(BB187:BC187)</f>
        <v>9058</v>
      </c>
      <c r="BF187" s="39"/>
      <c r="BG187" s="48" t="n">
        <f aca="false">SUM(N187:AW187)</f>
        <v>9058</v>
      </c>
      <c r="BH187" s="39" t="n">
        <f aca="false">BE187-BG187</f>
        <v>0</v>
      </c>
      <c r="BI187" s="39"/>
      <c r="BJ187" s="39"/>
      <c r="BK187" s="39"/>
      <c r="BL187" s="39"/>
      <c r="BM187" s="39"/>
      <c r="BN187" s="39"/>
      <c r="BO187" s="39"/>
      <c r="BP187" s="39"/>
      <c r="BQ187" s="39"/>
      <c r="BR187" s="39"/>
      <c r="BS187" s="39"/>
      <c r="BT187" s="39"/>
      <c r="BU187" s="39"/>
      <c r="BV187" s="39"/>
      <c r="BW187" s="39"/>
      <c r="BX187" s="39"/>
      <c r="BY187" s="39"/>
      <c r="BZ187" s="39"/>
      <c r="CA187" s="39"/>
      <c r="CB187" s="39"/>
      <c r="CC187" s="39"/>
      <c r="CD187" s="39"/>
      <c r="CE187" s="39"/>
      <c r="CF187" s="39"/>
      <c r="CG187" s="39"/>
      <c r="CH187" s="39"/>
      <c r="CI187" s="39"/>
      <c r="CJ187" s="39"/>
      <c r="CK187" s="39"/>
      <c r="CL187" s="39"/>
      <c r="CM187" s="39"/>
      <c r="CN187" s="39"/>
      <c r="CO187" s="39"/>
      <c r="CP187" s="39"/>
      <c r="CQ187" s="39"/>
      <c r="CR187" s="39"/>
      <c r="CS187" s="39"/>
      <c r="CT187" s="39"/>
      <c r="CU187" s="39"/>
      <c r="CV187" s="39"/>
      <c r="CW187" s="39"/>
      <c r="CX187" s="39"/>
      <c r="CY187" s="39"/>
      <c r="CZ187" s="39"/>
      <c r="DA187" s="39"/>
      <c r="DB187" s="39"/>
      <c r="DC187" s="39"/>
      <c r="DD187" s="39"/>
      <c r="DE187" s="39"/>
      <c r="DF187" s="39"/>
      <c r="DG187" s="39"/>
      <c r="DH187" s="39"/>
      <c r="DI187" s="39"/>
      <c r="DJ187" s="39"/>
      <c r="DK187" s="39"/>
      <c r="DL187" s="39"/>
      <c r="DM187" s="39"/>
      <c r="DN187" s="39"/>
      <c r="DO187" s="39"/>
      <c r="DP187" s="39"/>
      <c r="DQ187" s="39"/>
      <c r="DR187" s="39"/>
      <c r="DS187" s="39"/>
      <c r="DT187" s="39"/>
      <c r="DU187" s="39"/>
      <c r="DV187" s="39"/>
      <c r="DW187" s="39"/>
      <c r="DX187" s="39"/>
      <c r="DY187" s="39"/>
      <c r="DZ187" s="39"/>
      <c r="EA187" s="39"/>
      <c r="EB187" s="39"/>
      <c r="EC187" s="39"/>
      <c r="ED187" s="39"/>
      <c r="EE187" s="39"/>
      <c r="EF187" s="39"/>
      <c r="EG187" s="39"/>
      <c r="EH187" s="39"/>
      <c r="EI187" s="39"/>
      <c r="EJ187" s="39"/>
      <c r="EK187" s="39"/>
      <c r="EL187" s="39"/>
      <c r="EM187" s="39"/>
      <c r="EN187" s="39"/>
      <c r="EO187" s="39"/>
      <c r="EP187" s="39"/>
      <c r="EQ187" s="39"/>
      <c r="ER187" s="39"/>
      <c r="ES187" s="39"/>
      <c r="ET187" s="39"/>
      <c r="EU187" s="39"/>
      <c r="EV187" s="39"/>
      <c r="EW187" s="39"/>
      <c r="EX187" s="39"/>
      <c r="EY187" s="39"/>
      <c r="EZ187" s="39"/>
      <c r="FA187" s="39"/>
      <c r="FB187" s="39"/>
      <c r="FC187" s="39"/>
      <c r="FD187" s="39"/>
      <c r="FE187" s="39"/>
      <c r="FF187" s="39"/>
      <c r="FG187" s="39"/>
      <c r="FH187" s="39"/>
      <c r="FI187" s="39"/>
      <c r="FJ187" s="39"/>
      <c r="FK187" s="39"/>
      <c r="FL187" s="39"/>
      <c r="FM187" s="39"/>
      <c r="FN187" s="39"/>
      <c r="FO187" s="39"/>
      <c r="FP187" s="39"/>
      <c r="FQ187" s="39"/>
      <c r="FR187" s="39"/>
      <c r="FS187" s="39"/>
      <c r="FT187" s="39"/>
      <c r="FU187" s="39"/>
      <c r="FV187" s="39"/>
      <c r="FW187" s="39"/>
      <c r="FX187" s="39"/>
      <c r="FY187" s="39"/>
      <c r="FZ187" s="39"/>
      <c r="GA187" s="39"/>
      <c r="GB187" s="39"/>
      <c r="GC187" s="39"/>
      <c r="GD187" s="39"/>
      <c r="GE187" s="39"/>
      <c r="GF187" s="39"/>
      <c r="GG187" s="39"/>
      <c r="GH187" s="39"/>
      <c r="GI187" s="39"/>
      <c r="GJ187" s="39"/>
      <c r="GK187" s="39"/>
      <c r="GL187" s="39"/>
      <c r="GM187" s="39"/>
      <c r="GN187" s="39"/>
      <c r="GO187" s="39"/>
      <c r="GP187" s="39"/>
      <c r="GQ187" s="39"/>
      <c r="GR187" s="39"/>
      <c r="GS187" s="39"/>
      <c r="GT187" s="39"/>
      <c r="GU187" s="39"/>
      <c r="GV187" s="39"/>
      <c r="GW187" s="39"/>
      <c r="GX187" s="39"/>
      <c r="GY187" s="39"/>
      <c r="GZ187" s="39"/>
      <c r="HA187" s="39"/>
      <c r="HB187" s="39"/>
      <c r="HC187" s="39"/>
      <c r="HD187" s="39"/>
      <c r="HE187" s="39"/>
      <c r="HF187" s="39"/>
      <c r="HG187" s="39"/>
      <c r="HH187" s="39"/>
      <c r="HI187" s="39"/>
      <c r="HJ187" s="39"/>
      <c r="HK187" s="39"/>
      <c r="HL187" s="39"/>
      <c r="HM187" s="39"/>
      <c r="HN187" s="39"/>
      <c r="HO187" s="39"/>
      <c r="HP187" s="39"/>
      <c r="HQ187" s="39"/>
      <c r="HR187" s="39"/>
      <c r="HS187" s="39"/>
      <c r="HT187" s="39"/>
      <c r="HU187" s="39"/>
      <c r="HV187" s="39"/>
      <c r="HW187" s="39"/>
      <c r="HX187" s="39"/>
      <c r="HY187" s="39"/>
      <c r="HZ187" s="39"/>
      <c r="IA187" s="39"/>
      <c r="IB187" s="39"/>
      <c r="IC187" s="39"/>
      <c r="ID187" s="39"/>
      <c r="IE187" s="39"/>
      <c r="IF187" s="39"/>
      <c r="IG187" s="39"/>
      <c r="IH187" s="39"/>
      <c r="II187" s="39"/>
      <c r="IJ187" s="39"/>
      <c r="IK187" s="39"/>
      <c r="IL187" s="39"/>
      <c r="IM187" s="39"/>
      <c r="IN187" s="39"/>
      <c r="IO187" s="39"/>
      <c r="IP187" s="39"/>
      <c r="IQ187" s="39"/>
      <c r="IR187" s="39"/>
      <c r="IS187" s="39"/>
      <c r="IT187" s="39"/>
      <c r="IU187" s="39"/>
      <c r="IV187" s="39"/>
      <c r="IW187" s="39"/>
    </row>
    <row r="188" customFormat="false" ht="12.95" hidden="false" customHeight="true" outlineLevel="0" collapsed="false">
      <c r="A188" s="37" t="n">
        <f aca="false">+'CCs # Master'!A123</f>
        <v>11</v>
      </c>
      <c r="B188" s="39" t="str">
        <f aca="false">+'CCs # Master'!B123</f>
        <v>A&amp;A Operations</v>
      </c>
      <c r="C188" s="39" t="str">
        <f aca="false">+'CCs # Master'!C123</f>
        <v>Roberts, Celeste</v>
      </c>
      <c r="D188" s="96" t="n">
        <f aca="false">+'CCs # Master'!D123</f>
        <v>100809</v>
      </c>
      <c r="E188" s="39" t="n">
        <f aca="false">+'CCs # Master'!E123</f>
        <v>347</v>
      </c>
      <c r="F188" s="39" t="n">
        <f aca="false">+'CCs # Master'!F123</f>
        <v>234</v>
      </c>
      <c r="G188" s="39" t="n">
        <f aca="false">+'CCs # Master'!G123</f>
        <v>4</v>
      </c>
      <c r="H188" s="39" t="n">
        <f aca="false">+'CCs # Master'!H123</f>
        <v>526</v>
      </c>
      <c r="I188" s="39" t="n">
        <f aca="false">+'CCs # Master'!I123</f>
        <v>130</v>
      </c>
      <c r="J188" s="39" t="n">
        <f aca="false">+'CCs # Master'!J123</f>
        <v>5</v>
      </c>
      <c r="K188" s="71" t="n">
        <f aca="false">SUM(E188:J188)</f>
        <v>1246</v>
      </c>
      <c r="L188" s="39"/>
      <c r="M188" s="39" t="str">
        <f aca="false">+'CCs # Master'!M123</f>
        <v>Allocated based on Analyst &amp; Assoc used</v>
      </c>
      <c r="N188" s="39" t="n">
        <f aca="false">+'CCs # Master'!AW123</f>
        <v>0</v>
      </c>
      <c r="O188" s="39" t="n">
        <f aca="false">'CCs # Master'!AX123</f>
        <v>1246</v>
      </c>
      <c r="P188" s="39" t="n">
        <f aca="false">+'CCs # Master'!N123</f>
        <v>0</v>
      </c>
      <c r="Q188" s="39" t="n">
        <f aca="false">+'CCs # Master'!O123</f>
        <v>0</v>
      </c>
      <c r="R188" s="39" t="n">
        <f aca="false">+'CCs # Master'!P123</f>
        <v>0</v>
      </c>
      <c r="S188" s="39" t="n">
        <f aca="false">+'CCs # Master'!Q123</f>
        <v>0</v>
      </c>
      <c r="T188" s="39" t="n">
        <f aca="false">+'CCs # Master'!R123</f>
        <v>0</v>
      </c>
      <c r="U188" s="39" t="n">
        <f aca="false">+'CCs # Master'!S123</f>
        <v>0</v>
      </c>
      <c r="V188" s="39" t="n">
        <f aca="false">+'CCs # Master'!T123</f>
        <v>0</v>
      </c>
      <c r="W188" s="39" t="n">
        <f aca="false">+'CCs # Master'!U123</f>
        <v>0</v>
      </c>
      <c r="X188" s="39" t="n">
        <f aca="false">+'CCs # Master'!V123</f>
        <v>0</v>
      </c>
      <c r="Y188" s="39" t="n">
        <f aca="false">+'CCs # Master'!W123</f>
        <v>0</v>
      </c>
      <c r="Z188" s="39" t="n">
        <f aca="false">+'CCs # Master'!X123</f>
        <v>0</v>
      </c>
      <c r="AA188" s="39" t="n">
        <f aca="false">+'CCs # Master'!Y123</f>
        <v>0</v>
      </c>
      <c r="AB188" s="39" t="n">
        <f aca="false">+'CCs # Master'!Z123</f>
        <v>0</v>
      </c>
      <c r="AC188" s="39" t="n">
        <f aca="false">+'CCs # Master'!AA123</f>
        <v>0</v>
      </c>
      <c r="AD188" s="39" t="n">
        <f aca="false">+'CCs # Master'!AB123</f>
        <v>0</v>
      </c>
      <c r="AE188" s="39" t="n">
        <f aca="false">+'CCs # Master'!AC123</f>
        <v>0</v>
      </c>
      <c r="AF188" s="39" t="n">
        <f aca="false">+'CCs # Master'!AD123</f>
        <v>0</v>
      </c>
      <c r="AG188" s="39" t="n">
        <f aca="false">+'CCs # Master'!AE123</f>
        <v>0</v>
      </c>
      <c r="AH188" s="39" t="n">
        <f aca="false">+'CCs # Master'!AF123</f>
        <v>0</v>
      </c>
      <c r="AI188" s="39" t="n">
        <f aca="false">+'CCs # Master'!AG123</f>
        <v>0</v>
      </c>
      <c r="AJ188" s="39" t="n">
        <f aca="false">+'CCs # Master'!AH123</f>
        <v>0</v>
      </c>
      <c r="AK188" s="39" t="n">
        <f aca="false">+'CCs # Master'!AI123</f>
        <v>0</v>
      </c>
      <c r="AL188" s="39" t="n">
        <f aca="false">+'CCs # Master'!AJ123</f>
        <v>0</v>
      </c>
      <c r="AM188" s="39" t="n">
        <f aca="false">+'CCs # Master'!AK123</f>
        <v>0</v>
      </c>
      <c r="AN188" s="39" t="n">
        <f aca="false">+'CCs # Master'!AL123</f>
        <v>0</v>
      </c>
      <c r="AO188" s="39" t="n">
        <f aca="false">+'CCs # Master'!AM123</f>
        <v>0</v>
      </c>
      <c r="AP188" s="39" t="n">
        <f aca="false">+'CCs # Master'!AN123</f>
        <v>0</v>
      </c>
      <c r="AQ188" s="39" t="n">
        <f aca="false">+'CCs # Master'!AO123</f>
        <v>0</v>
      </c>
      <c r="AR188" s="39" t="n">
        <f aca="false">+'CCs # Master'!AP123</f>
        <v>0</v>
      </c>
      <c r="AS188" s="39" t="n">
        <f aca="false">+'CCs # Master'!AQ123</f>
        <v>0</v>
      </c>
      <c r="AT188" s="39" t="n">
        <f aca="false">+'CCs # Master'!AR123</f>
        <v>0</v>
      </c>
      <c r="AU188" s="39" t="n">
        <f aca="false">+'CCs # Master'!AS123</f>
        <v>0</v>
      </c>
      <c r="AV188" s="39" t="n">
        <f aca="false">+'CCs # Master'!AT123</f>
        <v>0</v>
      </c>
      <c r="AW188" s="100"/>
      <c r="AX188" s="71" t="n">
        <f aca="false">SUM(N188:AW188)</f>
        <v>1246</v>
      </c>
      <c r="AY188" s="71" t="n">
        <f aca="false">+K188-AX188</f>
        <v>0</v>
      </c>
      <c r="AZ188" s="39"/>
      <c r="BA188" s="39" t="n">
        <f aca="false">+P188+Q188+T188+U188+V188+W188+X188+Y188</f>
        <v>0</v>
      </c>
      <c r="BB188" s="39" t="n">
        <f aca="false">N188+O188</f>
        <v>1246</v>
      </c>
      <c r="BC188" s="39" t="n">
        <f aca="false">SUM(P188:AW188)</f>
        <v>0</v>
      </c>
      <c r="BD188" s="39"/>
      <c r="BE188" s="39" t="n">
        <f aca="false">SUM(BB188:BC188)</f>
        <v>1246</v>
      </c>
      <c r="BF188" s="39"/>
      <c r="BG188" s="48" t="n">
        <f aca="false">SUM(N188:AW188)</f>
        <v>1246</v>
      </c>
      <c r="BH188" s="39" t="n">
        <f aca="false">BE188-BG188</f>
        <v>0</v>
      </c>
      <c r="BI188" s="39"/>
      <c r="BJ188" s="39"/>
      <c r="BK188" s="39"/>
      <c r="BL188" s="39"/>
      <c r="BM188" s="39"/>
      <c r="BN188" s="39"/>
      <c r="BO188" s="39"/>
      <c r="BP188" s="39"/>
      <c r="BQ188" s="39"/>
      <c r="BR188" s="39"/>
      <c r="BS188" s="39"/>
      <c r="BT188" s="39"/>
      <c r="BU188" s="39"/>
      <c r="BV188" s="39"/>
      <c r="BW188" s="39"/>
      <c r="BX188" s="39"/>
      <c r="BY188" s="39"/>
      <c r="BZ188" s="39"/>
      <c r="CA188" s="39"/>
      <c r="CB188" s="39"/>
      <c r="CC188" s="39"/>
      <c r="CD188" s="39"/>
      <c r="CE188" s="39"/>
      <c r="CF188" s="39"/>
      <c r="CG188" s="39"/>
      <c r="CH188" s="39"/>
      <c r="CI188" s="39"/>
      <c r="CJ188" s="39"/>
      <c r="CK188" s="39"/>
      <c r="CL188" s="39"/>
      <c r="CM188" s="39"/>
      <c r="CN188" s="39"/>
      <c r="CO188" s="39"/>
      <c r="CP188" s="39"/>
      <c r="CQ188" s="39"/>
      <c r="CR188" s="39"/>
      <c r="CS188" s="39"/>
      <c r="CT188" s="39"/>
      <c r="CU188" s="39"/>
      <c r="CV188" s="39"/>
      <c r="CW188" s="39"/>
      <c r="CX188" s="39"/>
      <c r="CY188" s="39"/>
      <c r="CZ188" s="39"/>
      <c r="DA188" s="39"/>
      <c r="DB188" s="39"/>
      <c r="DC188" s="39"/>
      <c r="DD188" s="39"/>
      <c r="DE188" s="39"/>
      <c r="DF188" s="39"/>
      <c r="DG188" s="39"/>
      <c r="DH188" s="39"/>
      <c r="DI188" s="39"/>
      <c r="DJ188" s="39"/>
      <c r="DK188" s="39"/>
      <c r="DL188" s="39"/>
      <c r="DM188" s="39"/>
      <c r="DN188" s="39"/>
      <c r="DO188" s="39"/>
      <c r="DP188" s="39"/>
      <c r="DQ188" s="39"/>
      <c r="DR188" s="39"/>
      <c r="DS188" s="39"/>
      <c r="DT188" s="39"/>
      <c r="DU188" s="39"/>
      <c r="DV188" s="39"/>
      <c r="DW188" s="39"/>
      <c r="DX188" s="39"/>
      <c r="DY188" s="39"/>
      <c r="DZ188" s="39"/>
      <c r="EA188" s="39"/>
      <c r="EB188" s="39"/>
      <c r="EC188" s="39"/>
      <c r="ED188" s="39"/>
      <c r="EE188" s="39"/>
      <c r="EF188" s="39"/>
      <c r="EG188" s="39"/>
      <c r="EH188" s="39"/>
      <c r="EI188" s="39"/>
      <c r="EJ188" s="39"/>
      <c r="EK188" s="39"/>
      <c r="EL188" s="39"/>
      <c r="EM188" s="39"/>
      <c r="EN188" s="39"/>
      <c r="EO188" s="39"/>
      <c r="EP188" s="39"/>
      <c r="EQ188" s="39"/>
      <c r="ER188" s="39"/>
      <c r="ES188" s="39"/>
      <c r="ET188" s="39"/>
      <c r="EU188" s="39"/>
      <c r="EV188" s="39"/>
      <c r="EW188" s="39"/>
      <c r="EX188" s="39"/>
      <c r="EY188" s="39"/>
      <c r="EZ188" s="39"/>
      <c r="FA188" s="39"/>
      <c r="FB188" s="39"/>
      <c r="FC188" s="39"/>
      <c r="FD188" s="39"/>
      <c r="FE188" s="39"/>
      <c r="FF188" s="39"/>
      <c r="FG188" s="39"/>
      <c r="FH188" s="39"/>
      <c r="FI188" s="39"/>
      <c r="FJ188" s="39"/>
      <c r="FK188" s="39"/>
      <c r="FL188" s="39"/>
      <c r="FM188" s="39"/>
      <c r="FN188" s="39"/>
      <c r="FO188" s="39"/>
      <c r="FP188" s="39"/>
      <c r="FQ188" s="39"/>
      <c r="FR188" s="39"/>
      <c r="FS188" s="39"/>
      <c r="FT188" s="39"/>
      <c r="FU188" s="39"/>
      <c r="FV188" s="39"/>
      <c r="FW188" s="39"/>
      <c r="FX188" s="39"/>
      <c r="FY188" s="39"/>
      <c r="FZ188" s="39"/>
      <c r="GA188" s="39"/>
      <c r="GB188" s="39"/>
      <c r="GC188" s="39"/>
      <c r="GD188" s="39"/>
      <c r="GE188" s="39"/>
      <c r="GF188" s="39"/>
      <c r="GG188" s="39"/>
      <c r="GH188" s="39"/>
      <c r="GI188" s="39"/>
      <c r="GJ188" s="39"/>
      <c r="GK188" s="39"/>
      <c r="GL188" s="39"/>
      <c r="GM188" s="39"/>
      <c r="GN188" s="39"/>
      <c r="GO188" s="39"/>
      <c r="GP188" s="39"/>
      <c r="GQ188" s="39"/>
      <c r="GR188" s="39"/>
      <c r="GS188" s="39"/>
      <c r="GT188" s="39"/>
      <c r="GU188" s="39"/>
      <c r="GV188" s="39"/>
      <c r="GW188" s="39"/>
      <c r="GX188" s="39"/>
      <c r="GY188" s="39"/>
      <c r="GZ188" s="39"/>
      <c r="HA188" s="39"/>
      <c r="HB188" s="39"/>
      <c r="HC188" s="39"/>
      <c r="HD188" s="39"/>
      <c r="HE188" s="39"/>
      <c r="HF188" s="39"/>
      <c r="HG188" s="39"/>
      <c r="HH188" s="39"/>
      <c r="HI188" s="39"/>
      <c r="HJ188" s="39"/>
      <c r="HK188" s="39"/>
      <c r="HL188" s="39"/>
      <c r="HM188" s="39"/>
      <c r="HN188" s="39"/>
      <c r="HO188" s="39"/>
      <c r="HP188" s="39"/>
      <c r="HQ188" s="39"/>
      <c r="HR188" s="39"/>
      <c r="HS188" s="39"/>
      <c r="HT188" s="39"/>
      <c r="HU188" s="39"/>
      <c r="HV188" s="39"/>
      <c r="HW188" s="39"/>
      <c r="HX188" s="39"/>
      <c r="HY188" s="39"/>
      <c r="HZ188" s="39"/>
      <c r="IA188" s="39"/>
      <c r="IB188" s="39"/>
      <c r="IC188" s="39"/>
      <c r="ID188" s="39"/>
      <c r="IE188" s="39"/>
      <c r="IF188" s="39"/>
      <c r="IG188" s="39"/>
      <c r="IH188" s="39"/>
      <c r="II188" s="39"/>
      <c r="IJ188" s="39"/>
      <c r="IK188" s="39"/>
      <c r="IL188" s="39"/>
      <c r="IM188" s="39"/>
      <c r="IN188" s="39"/>
      <c r="IO188" s="39"/>
      <c r="IP188" s="39"/>
      <c r="IQ188" s="39"/>
      <c r="IR188" s="39"/>
      <c r="IS188" s="39"/>
      <c r="IT188" s="39"/>
      <c r="IU188" s="39"/>
      <c r="IV188" s="39"/>
      <c r="IW188" s="39"/>
    </row>
    <row r="189" customFormat="false" ht="12.75" hidden="false" customHeight="true" outlineLevel="0" collapsed="false">
      <c r="A189" s="37" t="n">
        <f aca="false">+'CCs # Master'!A179</f>
        <v>11</v>
      </c>
      <c r="B189" s="99" t="str">
        <f aca="false">+'CCs # Master'!B179</f>
        <v>Generalist</v>
      </c>
      <c r="C189" s="99" t="str">
        <f aca="false">+'CCs # Master'!C179</f>
        <v>Bosien, Terry</v>
      </c>
      <c r="D189" s="37" t="n">
        <f aca="false">+'CCs # Master'!D179</f>
        <v>103185</v>
      </c>
      <c r="E189" s="39" t="n">
        <f aca="false">+'CCs # Master'!E179</f>
        <v>335</v>
      </c>
      <c r="F189" s="39" t="n">
        <f aca="false">+'CCs # Master'!F179</f>
        <v>23</v>
      </c>
      <c r="G189" s="39" t="n">
        <f aca="false">+'CCs # Master'!G179</f>
        <v>7</v>
      </c>
      <c r="H189" s="39" t="n">
        <f aca="false">+'CCs # Master'!H179</f>
        <v>2</v>
      </c>
      <c r="I189" s="39" t="n">
        <f aca="false">+'CCs # Master'!I179</f>
        <v>108</v>
      </c>
      <c r="J189" s="39" t="n">
        <f aca="false">+'CCs # Master'!J179</f>
        <v>11</v>
      </c>
      <c r="K189" s="71" t="n">
        <f aca="false">SUM(E189:J189)</f>
        <v>486</v>
      </c>
      <c r="L189" s="39"/>
      <c r="M189" s="39" t="str">
        <f aca="false">+'CCs # Master'!M179</f>
        <v>Retained at Corp</v>
      </c>
      <c r="N189" s="39" t="n">
        <f aca="false">+'CCs # Master'!AW179</f>
        <v>0</v>
      </c>
      <c r="O189" s="39" t="n">
        <f aca="false">'CCs # Master'!AX179</f>
        <v>486</v>
      </c>
      <c r="P189" s="39" t="n">
        <f aca="false">+'CCs # Master'!N179</f>
        <v>0</v>
      </c>
      <c r="Q189" s="39" t="n">
        <f aca="false">+'CCs # Master'!O179</f>
        <v>0</v>
      </c>
      <c r="R189" s="39" t="n">
        <f aca="false">+'CCs # Master'!P179</f>
        <v>0</v>
      </c>
      <c r="S189" s="39" t="n">
        <f aca="false">+'CCs # Master'!Q179</f>
        <v>0</v>
      </c>
      <c r="T189" s="39" t="n">
        <f aca="false">+'CCs # Master'!R179</f>
        <v>0</v>
      </c>
      <c r="U189" s="39" t="n">
        <f aca="false">+'CCs # Master'!S179</f>
        <v>0</v>
      </c>
      <c r="V189" s="39" t="n">
        <f aca="false">+'CCs # Master'!T179</f>
        <v>0</v>
      </c>
      <c r="W189" s="39" t="n">
        <f aca="false">+'CCs # Master'!U179</f>
        <v>0</v>
      </c>
      <c r="X189" s="39" t="n">
        <f aca="false">+'CCs # Master'!V179</f>
        <v>0</v>
      </c>
      <c r="Y189" s="39" t="n">
        <f aca="false">+'CCs # Master'!W179</f>
        <v>0</v>
      </c>
      <c r="Z189" s="39" t="n">
        <f aca="false">+'CCs # Master'!X179</f>
        <v>0</v>
      </c>
      <c r="AA189" s="39" t="n">
        <f aca="false">+'CCs # Master'!Y179</f>
        <v>0</v>
      </c>
      <c r="AB189" s="39" t="n">
        <f aca="false">+'CCs # Master'!Z179</f>
        <v>0</v>
      </c>
      <c r="AC189" s="39" t="n">
        <f aca="false">+'CCs # Master'!AA179</f>
        <v>0</v>
      </c>
      <c r="AD189" s="39" t="n">
        <f aca="false">+'CCs # Master'!AB179</f>
        <v>0</v>
      </c>
      <c r="AE189" s="39" t="n">
        <f aca="false">+'CCs # Master'!AC179</f>
        <v>0</v>
      </c>
      <c r="AF189" s="39" t="n">
        <f aca="false">+'CCs # Master'!AD179</f>
        <v>0</v>
      </c>
      <c r="AG189" s="39" t="n">
        <f aca="false">+'CCs # Master'!AE179</f>
        <v>0</v>
      </c>
      <c r="AH189" s="39" t="n">
        <f aca="false">+'CCs # Master'!AF179</f>
        <v>0</v>
      </c>
      <c r="AI189" s="39" t="n">
        <f aca="false">+'CCs # Master'!AG179</f>
        <v>0</v>
      </c>
      <c r="AJ189" s="39" t="n">
        <f aca="false">+'CCs # Master'!AH179</f>
        <v>0</v>
      </c>
      <c r="AK189" s="39" t="n">
        <f aca="false">+'CCs # Master'!AI179</f>
        <v>0</v>
      </c>
      <c r="AL189" s="39" t="n">
        <f aca="false">+'CCs # Master'!AJ179</f>
        <v>0</v>
      </c>
      <c r="AM189" s="39" t="n">
        <f aca="false">+'CCs # Master'!AK179</f>
        <v>0</v>
      </c>
      <c r="AN189" s="39" t="n">
        <f aca="false">+'CCs # Master'!AL179</f>
        <v>0</v>
      </c>
      <c r="AO189" s="39" t="n">
        <f aca="false">+'CCs # Master'!AM179</f>
        <v>0</v>
      </c>
      <c r="AP189" s="39" t="n">
        <f aca="false">+'CCs # Master'!AN179</f>
        <v>0</v>
      </c>
      <c r="AQ189" s="39" t="n">
        <f aca="false">+'CCs # Master'!AO179</f>
        <v>0</v>
      </c>
      <c r="AR189" s="39" t="n">
        <f aca="false">+'CCs # Master'!AP179</f>
        <v>0</v>
      </c>
      <c r="AS189" s="39" t="n">
        <f aca="false">+'CCs # Master'!AQ179</f>
        <v>0</v>
      </c>
      <c r="AT189" s="39" t="n">
        <f aca="false">+'CCs # Master'!AR179</f>
        <v>0</v>
      </c>
      <c r="AU189" s="39" t="n">
        <f aca="false">+'CCs # Master'!AS179</f>
        <v>0</v>
      </c>
      <c r="AV189" s="39" t="n">
        <f aca="false">+'CCs # Master'!AT179</f>
        <v>0</v>
      </c>
      <c r="AW189" s="100"/>
      <c r="AX189" s="71" t="n">
        <f aca="false">SUM(N189:AW189)</f>
        <v>486</v>
      </c>
      <c r="AY189" s="71" t="n">
        <f aca="false">+K189-AX189</f>
        <v>0</v>
      </c>
      <c r="AZ189" s="39"/>
      <c r="BA189" s="39" t="n">
        <f aca="false">+P189+Q189+T189+U189+V189+W189+X189+Y189</f>
        <v>0</v>
      </c>
      <c r="BB189" s="39" t="n">
        <f aca="false">N189+O189</f>
        <v>486</v>
      </c>
      <c r="BC189" s="39" t="n">
        <f aca="false">SUM(P189:AW189)</f>
        <v>0</v>
      </c>
      <c r="BD189" s="39"/>
      <c r="BE189" s="39" t="n">
        <f aca="false">SUM(BB189:BC189)</f>
        <v>486</v>
      </c>
      <c r="BF189" s="39"/>
      <c r="BG189" s="48" t="n">
        <f aca="false">SUM(N189:AW189)</f>
        <v>486</v>
      </c>
      <c r="BH189" s="39" t="n">
        <f aca="false">BE189-BG189</f>
        <v>0</v>
      </c>
      <c r="BI189" s="39"/>
      <c r="BJ189" s="39"/>
      <c r="BK189" s="39"/>
      <c r="BL189" s="39"/>
      <c r="BM189" s="39"/>
      <c r="BN189" s="39"/>
      <c r="BO189" s="39"/>
      <c r="BP189" s="39"/>
      <c r="BQ189" s="39"/>
      <c r="BR189" s="39"/>
      <c r="BS189" s="39"/>
      <c r="BT189" s="39"/>
      <c r="BU189" s="39"/>
      <c r="BV189" s="39"/>
      <c r="BW189" s="39"/>
      <c r="BX189" s="39"/>
      <c r="BY189" s="39"/>
      <c r="BZ189" s="39"/>
      <c r="CA189" s="39"/>
      <c r="CB189" s="39"/>
      <c r="CC189" s="39"/>
      <c r="CD189" s="39"/>
      <c r="CE189" s="39"/>
      <c r="CF189" s="39"/>
      <c r="CG189" s="39"/>
      <c r="CH189" s="39"/>
      <c r="CI189" s="39"/>
      <c r="CJ189" s="39"/>
      <c r="CK189" s="39"/>
      <c r="CL189" s="39"/>
      <c r="CM189" s="39"/>
      <c r="CN189" s="39"/>
      <c r="CO189" s="39"/>
      <c r="CP189" s="39"/>
      <c r="CQ189" s="39"/>
      <c r="CR189" s="39"/>
      <c r="CS189" s="39"/>
      <c r="CT189" s="39"/>
      <c r="CU189" s="39"/>
      <c r="CV189" s="39"/>
      <c r="CW189" s="39"/>
      <c r="CX189" s="39"/>
      <c r="CY189" s="39"/>
      <c r="CZ189" s="39"/>
      <c r="DA189" s="39"/>
      <c r="DB189" s="39"/>
      <c r="DC189" s="39"/>
      <c r="DD189" s="39"/>
      <c r="DE189" s="39"/>
      <c r="DF189" s="39"/>
      <c r="DG189" s="39"/>
      <c r="DH189" s="39"/>
      <c r="DI189" s="39"/>
      <c r="DJ189" s="39"/>
      <c r="DK189" s="39"/>
      <c r="DL189" s="39"/>
      <c r="DM189" s="39"/>
      <c r="DN189" s="39"/>
      <c r="DO189" s="39"/>
      <c r="DP189" s="39"/>
      <c r="DQ189" s="39"/>
      <c r="DR189" s="39"/>
      <c r="DS189" s="39"/>
      <c r="DT189" s="39"/>
      <c r="DU189" s="39"/>
      <c r="DV189" s="39"/>
      <c r="DW189" s="39"/>
      <c r="DX189" s="39"/>
      <c r="DY189" s="39"/>
      <c r="DZ189" s="39"/>
      <c r="EA189" s="39"/>
      <c r="EB189" s="39"/>
      <c r="EC189" s="39"/>
      <c r="ED189" s="39"/>
      <c r="EE189" s="39"/>
      <c r="EF189" s="39"/>
      <c r="EG189" s="39"/>
      <c r="EH189" s="39"/>
      <c r="EI189" s="39"/>
      <c r="EJ189" s="39"/>
      <c r="EK189" s="39"/>
      <c r="EL189" s="39"/>
      <c r="EM189" s="39"/>
      <c r="EN189" s="39"/>
      <c r="EO189" s="39"/>
      <c r="EP189" s="39"/>
      <c r="EQ189" s="39"/>
      <c r="ER189" s="39"/>
      <c r="ES189" s="39"/>
      <c r="ET189" s="39"/>
      <c r="EU189" s="39"/>
      <c r="EV189" s="39"/>
      <c r="EW189" s="39"/>
      <c r="EX189" s="39"/>
      <c r="EY189" s="39"/>
      <c r="EZ189" s="39"/>
      <c r="FA189" s="39"/>
      <c r="FB189" s="39"/>
      <c r="FC189" s="39"/>
      <c r="FD189" s="39"/>
      <c r="FE189" s="39"/>
      <c r="FF189" s="39"/>
      <c r="FG189" s="39"/>
      <c r="FH189" s="39"/>
      <c r="FI189" s="39"/>
      <c r="FJ189" s="39"/>
      <c r="FK189" s="39"/>
      <c r="FL189" s="39"/>
      <c r="FM189" s="39"/>
      <c r="FN189" s="39"/>
      <c r="FO189" s="39"/>
      <c r="FP189" s="39"/>
      <c r="FQ189" s="39"/>
      <c r="FR189" s="39"/>
      <c r="FS189" s="39"/>
      <c r="FT189" s="39"/>
      <c r="FU189" s="39"/>
      <c r="FV189" s="39"/>
      <c r="FW189" s="39"/>
      <c r="FX189" s="39"/>
      <c r="FY189" s="39"/>
      <c r="FZ189" s="39"/>
      <c r="GA189" s="39"/>
      <c r="GB189" s="39"/>
      <c r="GC189" s="39"/>
      <c r="GD189" s="39"/>
      <c r="GE189" s="39"/>
      <c r="GF189" s="39"/>
      <c r="GG189" s="39"/>
      <c r="GH189" s="39"/>
      <c r="GI189" s="39"/>
      <c r="GJ189" s="39"/>
      <c r="GK189" s="39"/>
      <c r="GL189" s="39"/>
      <c r="GM189" s="39"/>
      <c r="GN189" s="39"/>
      <c r="GO189" s="39"/>
      <c r="GP189" s="39"/>
      <c r="GQ189" s="39"/>
      <c r="GR189" s="39"/>
      <c r="GS189" s="39"/>
      <c r="GT189" s="39"/>
      <c r="GU189" s="39"/>
      <c r="GV189" s="39"/>
      <c r="GW189" s="39"/>
      <c r="GX189" s="39"/>
      <c r="GY189" s="39"/>
      <c r="GZ189" s="39"/>
      <c r="HA189" s="39"/>
      <c r="HB189" s="39"/>
      <c r="HC189" s="39"/>
      <c r="HD189" s="39"/>
      <c r="HE189" s="39"/>
      <c r="HF189" s="39"/>
      <c r="HG189" s="39"/>
      <c r="HH189" s="39"/>
      <c r="HI189" s="39"/>
      <c r="HJ189" s="39"/>
      <c r="HK189" s="39"/>
      <c r="HL189" s="39"/>
      <c r="HM189" s="39"/>
      <c r="HN189" s="39"/>
      <c r="HO189" s="39"/>
      <c r="HP189" s="39"/>
      <c r="HQ189" s="39"/>
      <c r="HR189" s="39"/>
      <c r="HS189" s="39"/>
      <c r="HT189" s="39"/>
      <c r="HU189" s="39"/>
      <c r="HV189" s="39"/>
      <c r="HW189" s="39"/>
      <c r="HX189" s="39"/>
      <c r="HY189" s="39"/>
      <c r="HZ189" s="39"/>
      <c r="IA189" s="39"/>
      <c r="IB189" s="39"/>
      <c r="IC189" s="39"/>
      <c r="ID189" s="39"/>
      <c r="IE189" s="39"/>
      <c r="IF189" s="39"/>
      <c r="IG189" s="39"/>
      <c r="IH189" s="39"/>
      <c r="II189" s="39"/>
      <c r="IJ189" s="39"/>
      <c r="IK189" s="39"/>
      <c r="IL189" s="39"/>
      <c r="IM189" s="39"/>
      <c r="IN189" s="39"/>
      <c r="IO189" s="39"/>
      <c r="IP189" s="39"/>
      <c r="IQ189" s="39"/>
      <c r="IR189" s="39"/>
      <c r="IS189" s="39"/>
      <c r="IT189" s="39"/>
      <c r="IU189" s="39"/>
      <c r="IV189" s="39"/>
      <c r="IW189" s="39"/>
    </row>
    <row r="190" customFormat="false" ht="12.75" hidden="false" customHeight="true" outlineLevel="0" collapsed="false">
      <c r="A190" s="37" t="n">
        <f aca="false">+'CCs # Master'!A180</f>
        <v>11</v>
      </c>
      <c r="B190" s="99" t="str">
        <f aca="false">+'CCs # Master'!B180</f>
        <v>Staffing</v>
      </c>
      <c r="C190" s="99" t="str">
        <f aca="false">+'CCs # Master'!C180</f>
        <v>Petteway, Gwen</v>
      </c>
      <c r="D190" s="37" t="n">
        <f aca="false">+'CCs # Master'!D180</f>
        <v>103186</v>
      </c>
      <c r="E190" s="39" t="n">
        <f aca="false">+'CCs # Master'!E180</f>
        <v>648</v>
      </c>
      <c r="F190" s="39" t="n">
        <f aca="false">+'CCs # Master'!F180</f>
        <v>72</v>
      </c>
      <c r="G190" s="39" t="n">
        <f aca="false">+'CCs # Master'!G180</f>
        <v>4</v>
      </c>
      <c r="H190" s="39" t="n">
        <f aca="false">+'CCs # Master'!H180</f>
        <v>0</v>
      </c>
      <c r="I190" s="39" t="n">
        <f aca="false">+'CCs # Master'!I180</f>
        <v>173</v>
      </c>
      <c r="J190" s="39" t="n">
        <f aca="false">+'CCs # Master'!J180</f>
        <v>7</v>
      </c>
      <c r="K190" s="71" t="n">
        <f aca="false">SUM(E190:J190)</f>
        <v>904</v>
      </c>
      <c r="L190" s="39"/>
      <c r="M190" s="39" t="str">
        <f aca="false">+'CCs # Master'!M180</f>
        <v>Retained at Corp</v>
      </c>
      <c r="N190" s="39" t="n">
        <f aca="false">+'CCs # Master'!AW180</f>
        <v>0</v>
      </c>
      <c r="O190" s="39" t="n">
        <f aca="false">'CCs # Master'!AX180</f>
        <v>904</v>
      </c>
      <c r="P190" s="39" t="n">
        <f aca="false">+'CCs # Master'!N180</f>
        <v>0</v>
      </c>
      <c r="Q190" s="39" t="n">
        <f aca="false">+'CCs # Master'!O180</f>
        <v>0</v>
      </c>
      <c r="R190" s="39" t="n">
        <f aca="false">+'CCs # Master'!P180</f>
        <v>0</v>
      </c>
      <c r="S190" s="39" t="n">
        <f aca="false">+'CCs # Master'!Q180</f>
        <v>0</v>
      </c>
      <c r="T190" s="39" t="n">
        <f aca="false">+'CCs # Master'!R180</f>
        <v>0</v>
      </c>
      <c r="U190" s="39" t="n">
        <f aca="false">+'CCs # Master'!S180</f>
        <v>0</v>
      </c>
      <c r="V190" s="39" t="n">
        <f aca="false">+'CCs # Master'!T180</f>
        <v>0</v>
      </c>
      <c r="W190" s="39" t="n">
        <f aca="false">+'CCs # Master'!U180</f>
        <v>0</v>
      </c>
      <c r="X190" s="39" t="n">
        <f aca="false">+'CCs # Master'!V180</f>
        <v>0</v>
      </c>
      <c r="Y190" s="39" t="n">
        <f aca="false">+'CCs # Master'!W180</f>
        <v>0</v>
      </c>
      <c r="Z190" s="39" t="n">
        <f aca="false">+'CCs # Master'!X180</f>
        <v>0</v>
      </c>
      <c r="AA190" s="39" t="n">
        <f aca="false">+'CCs # Master'!Y180</f>
        <v>0</v>
      </c>
      <c r="AB190" s="39" t="n">
        <f aca="false">+'CCs # Master'!Z180</f>
        <v>0</v>
      </c>
      <c r="AC190" s="39" t="n">
        <f aca="false">+'CCs # Master'!AA180</f>
        <v>0</v>
      </c>
      <c r="AD190" s="39" t="n">
        <f aca="false">+'CCs # Master'!AB180</f>
        <v>0</v>
      </c>
      <c r="AE190" s="39" t="n">
        <f aca="false">+'CCs # Master'!AC180</f>
        <v>0</v>
      </c>
      <c r="AF190" s="39" t="n">
        <f aca="false">+'CCs # Master'!AD180</f>
        <v>0</v>
      </c>
      <c r="AG190" s="39" t="n">
        <f aca="false">+'CCs # Master'!AE180</f>
        <v>0</v>
      </c>
      <c r="AH190" s="39" t="n">
        <f aca="false">+'CCs # Master'!AF180</f>
        <v>0</v>
      </c>
      <c r="AI190" s="39" t="n">
        <f aca="false">+'CCs # Master'!AG180</f>
        <v>0</v>
      </c>
      <c r="AJ190" s="39" t="n">
        <f aca="false">+'CCs # Master'!AH180</f>
        <v>0</v>
      </c>
      <c r="AK190" s="39" t="n">
        <f aca="false">+'CCs # Master'!AI180</f>
        <v>0</v>
      </c>
      <c r="AL190" s="39" t="n">
        <f aca="false">+'CCs # Master'!AJ180</f>
        <v>0</v>
      </c>
      <c r="AM190" s="39" t="n">
        <f aca="false">+'CCs # Master'!AK180</f>
        <v>0</v>
      </c>
      <c r="AN190" s="39" t="n">
        <f aca="false">+'CCs # Master'!AL180</f>
        <v>0</v>
      </c>
      <c r="AO190" s="39" t="n">
        <f aca="false">+'CCs # Master'!AM180</f>
        <v>0</v>
      </c>
      <c r="AP190" s="39" t="n">
        <f aca="false">+'CCs # Master'!AN180</f>
        <v>0</v>
      </c>
      <c r="AQ190" s="39" t="n">
        <f aca="false">+'CCs # Master'!AO180</f>
        <v>0</v>
      </c>
      <c r="AR190" s="39" t="n">
        <f aca="false">+'CCs # Master'!AP180</f>
        <v>0</v>
      </c>
      <c r="AS190" s="39" t="n">
        <f aca="false">+'CCs # Master'!AQ180</f>
        <v>0</v>
      </c>
      <c r="AT190" s="39" t="n">
        <f aca="false">+'CCs # Master'!AR180</f>
        <v>0</v>
      </c>
      <c r="AU190" s="39" t="n">
        <f aca="false">+'CCs # Master'!AS180</f>
        <v>0</v>
      </c>
      <c r="AV190" s="39" t="n">
        <f aca="false">+'CCs # Master'!AT180</f>
        <v>0</v>
      </c>
      <c r="AW190" s="100"/>
      <c r="AX190" s="71" t="n">
        <f aca="false">SUM(N190:AW190)</f>
        <v>904</v>
      </c>
      <c r="AY190" s="71" t="n">
        <f aca="false">+K190-AX190</f>
        <v>0</v>
      </c>
      <c r="AZ190" s="39"/>
      <c r="BA190" s="39" t="n">
        <f aca="false">+P190+Q190+T190+U190+V190+W190+X190+Y190</f>
        <v>0</v>
      </c>
      <c r="BB190" s="39" t="n">
        <f aca="false">N190+O190</f>
        <v>904</v>
      </c>
      <c r="BC190" s="39" t="n">
        <f aca="false">SUM(P190:AW190)</f>
        <v>0</v>
      </c>
      <c r="BD190" s="39"/>
      <c r="BE190" s="39" t="n">
        <f aca="false">SUM(BB190:BC190)</f>
        <v>904</v>
      </c>
      <c r="BF190" s="39"/>
      <c r="BG190" s="48" t="n">
        <f aca="false">SUM(N190:AW190)</f>
        <v>904</v>
      </c>
      <c r="BH190" s="39" t="n">
        <f aca="false">BE190-BG190</f>
        <v>0</v>
      </c>
      <c r="BI190" s="39"/>
      <c r="BJ190" s="39"/>
      <c r="BK190" s="39"/>
      <c r="BL190" s="39"/>
      <c r="BM190" s="39"/>
      <c r="BN190" s="39"/>
      <c r="BO190" s="39"/>
      <c r="BP190" s="39"/>
      <c r="BQ190" s="39"/>
      <c r="BR190" s="39"/>
      <c r="BS190" s="39"/>
      <c r="BT190" s="39"/>
      <c r="BU190" s="39"/>
      <c r="BV190" s="39"/>
      <c r="BW190" s="39"/>
      <c r="BX190" s="39"/>
      <c r="BY190" s="39"/>
      <c r="BZ190" s="39"/>
      <c r="CA190" s="39"/>
      <c r="CB190" s="39"/>
      <c r="CC190" s="39"/>
      <c r="CD190" s="39"/>
      <c r="CE190" s="39"/>
      <c r="CF190" s="39"/>
      <c r="CG190" s="39"/>
      <c r="CH190" s="39"/>
      <c r="CI190" s="39"/>
      <c r="CJ190" s="39"/>
      <c r="CK190" s="39"/>
      <c r="CL190" s="39"/>
      <c r="CM190" s="39"/>
      <c r="CN190" s="39"/>
      <c r="CO190" s="39"/>
      <c r="CP190" s="39"/>
      <c r="CQ190" s="39"/>
      <c r="CR190" s="39"/>
      <c r="CS190" s="39"/>
      <c r="CT190" s="39"/>
      <c r="CU190" s="39"/>
      <c r="CV190" s="39"/>
      <c r="CW190" s="39"/>
      <c r="CX190" s="39"/>
      <c r="CY190" s="39"/>
      <c r="CZ190" s="39"/>
      <c r="DA190" s="39"/>
      <c r="DB190" s="39"/>
      <c r="DC190" s="39"/>
      <c r="DD190" s="39"/>
      <c r="DE190" s="39"/>
      <c r="DF190" s="39"/>
      <c r="DG190" s="39"/>
      <c r="DH190" s="39"/>
      <c r="DI190" s="39"/>
      <c r="DJ190" s="39"/>
      <c r="DK190" s="39"/>
      <c r="DL190" s="39"/>
      <c r="DM190" s="39"/>
      <c r="DN190" s="39"/>
      <c r="DO190" s="39"/>
      <c r="DP190" s="39"/>
      <c r="DQ190" s="39"/>
      <c r="DR190" s="39"/>
      <c r="DS190" s="39"/>
      <c r="DT190" s="39"/>
      <c r="DU190" s="39"/>
      <c r="DV190" s="39"/>
      <c r="DW190" s="39"/>
      <c r="DX190" s="39"/>
      <c r="DY190" s="39"/>
      <c r="DZ190" s="39"/>
      <c r="EA190" s="39"/>
      <c r="EB190" s="39"/>
      <c r="EC190" s="39"/>
      <c r="ED190" s="39"/>
      <c r="EE190" s="39"/>
      <c r="EF190" s="39"/>
      <c r="EG190" s="39"/>
      <c r="EH190" s="39"/>
      <c r="EI190" s="39"/>
      <c r="EJ190" s="39"/>
      <c r="EK190" s="39"/>
      <c r="EL190" s="39"/>
      <c r="EM190" s="39"/>
      <c r="EN190" s="39"/>
      <c r="EO190" s="39"/>
      <c r="EP190" s="39"/>
      <c r="EQ190" s="39"/>
      <c r="ER190" s="39"/>
      <c r="ES190" s="39"/>
      <c r="ET190" s="39"/>
      <c r="EU190" s="39"/>
      <c r="EV190" s="39"/>
      <c r="EW190" s="39"/>
      <c r="EX190" s="39"/>
      <c r="EY190" s="39"/>
      <c r="EZ190" s="39"/>
      <c r="FA190" s="39"/>
      <c r="FB190" s="39"/>
      <c r="FC190" s="39"/>
      <c r="FD190" s="39"/>
      <c r="FE190" s="39"/>
      <c r="FF190" s="39"/>
      <c r="FG190" s="39"/>
      <c r="FH190" s="39"/>
      <c r="FI190" s="39"/>
      <c r="FJ190" s="39"/>
      <c r="FK190" s="39"/>
      <c r="FL190" s="39"/>
      <c r="FM190" s="39"/>
      <c r="FN190" s="39"/>
      <c r="FO190" s="39"/>
      <c r="FP190" s="39"/>
      <c r="FQ190" s="39"/>
      <c r="FR190" s="39"/>
      <c r="FS190" s="39"/>
      <c r="FT190" s="39"/>
      <c r="FU190" s="39"/>
      <c r="FV190" s="39"/>
      <c r="FW190" s="39"/>
      <c r="FX190" s="39"/>
      <c r="FY190" s="39"/>
      <c r="FZ190" s="39"/>
      <c r="GA190" s="39"/>
      <c r="GB190" s="39"/>
      <c r="GC190" s="39"/>
      <c r="GD190" s="39"/>
      <c r="GE190" s="39"/>
      <c r="GF190" s="39"/>
      <c r="GG190" s="39"/>
      <c r="GH190" s="39"/>
      <c r="GI190" s="39"/>
      <c r="GJ190" s="39"/>
      <c r="GK190" s="39"/>
      <c r="GL190" s="39"/>
      <c r="GM190" s="39"/>
      <c r="GN190" s="39"/>
      <c r="GO190" s="39"/>
      <c r="GP190" s="39"/>
      <c r="GQ190" s="39"/>
      <c r="GR190" s="39"/>
      <c r="GS190" s="39"/>
      <c r="GT190" s="39"/>
      <c r="GU190" s="39"/>
      <c r="GV190" s="39"/>
      <c r="GW190" s="39"/>
      <c r="GX190" s="39"/>
      <c r="GY190" s="39"/>
      <c r="GZ190" s="39"/>
      <c r="HA190" s="39"/>
      <c r="HB190" s="39"/>
      <c r="HC190" s="39"/>
      <c r="HD190" s="39"/>
      <c r="HE190" s="39"/>
      <c r="HF190" s="39"/>
      <c r="HG190" s="39"/>
      <c r="HH190" s="39"/>
      <c r="HI190" s="39"/>
      <c r="HJ190" s="39"/>
      <c r="HK190" s="39"/>
      <c r="HL190" s="39"/>
      <c r="HM190" s="39"/>
      <c r="HN190" s="39"/>
      <c r="HO190" s="39"/>
      <c r="HP190" s="39"/>
      <c r="HQ190" s="39"/>
      <c r="HR190" s="39"/>
      <c r="HS190" s="39"/>
      <c r="HT190" s="39"/>
      <c r="HU190" s="39"/>
      <c r="HV190" s="39"/>
      <c r="HW190" s="39"/>
      <c r="HX190" s="39"/>
      <c r="HY190" s="39"/>
      <c r="HZ190" s="39"/>
      <c r="IA190" s="39"/>
      <c r="IB190" s="39"/>
      <c r="IC190" s="39"/>
      <c r="ID190" s="39"/>
      <c r="IE190" s="39"/>
      <c r="IF190" s="39"/>
      <c r="IG190" s="39"/>
      <c r="IH190" s="39"/>
      <c r="II190" s="39"/>
      <c r="IJ190" s="39"/>
      <c r="IK190" s="39"/>
      <c r="IL190" s="39"/>
      <c r="IM190" s="39"/>
      <c r="IN190" s="39"/>
      <c r="IO190" s="39"/>
      <c r="IP190" s="39"/>
      <c r="IQ190" s="39"/>
      <c r="IR190" s="39"/>
      <c r="IS190" s="39"/>
      <c r="IT190" s="39"/>
      <c r="IU190" s="39"/>
      <c r="IV190" s="39"/>
      <c r="IW190" s="39"/>
    </row>
    <row r="191" customFormat="false" ht="12.95" hidden="false" customHeight="true" outlineLevel="0" collapsed="false">
      <c r="A191" s="37" t="n">
        <f aca="false">+'CCs # Master'!A114</f>
        <v>11</v>
      </c>
      <c r="B191" s="39" t="str">
        <f aca="false">+'CCs # Master'!B114</f>
        <v>MD Recruiting &amp; Resource Mgmt</v>
      </c>
      <c r="C191" s="39" t="str">
        <f aca="false">+'CCs # Master'!C114</f>
        <v>Jackson, Charlene</v>
      </c>
      <c r="D191" s="96" t="n">
        <f aca="false">+'CCs # Master'!D114</f>
        <v>100246</v>
      </c>
      <c r="E191" s="97" t="n">
        <f aca="false">+'CCs # Master'!E114</f>
        <v>382</v>
      </c>
      <c r="F191" s="97" t="n">
        <f aca="false">+'CCs # Master'!F114</f>
        <v>105</v>
      </c>
      <c r="G191" s="97" t="n">
        <f aca="false">+'CCs # Master'!G114</f>
        <v>4</v>
      </c>
      <c r="H191" s="97" t="n">
        <f aca="false">+'CCs # Master'!H114</f>
        <v>96</v>
      </c>
      <c r="I191" s="97" t="n">
        <f aca="false">+'CCs # Master'!I114</f>
        <v>43</v>
      </c>
      <c r="J191" s="97" t="n">
        <f aca="false">+'CCs # Master'!J114</f>
        <v>4</v>
      </c>
      <c r="K191" s="102" t="n">
        <f aca="false">SUM(E191:J191)</f>
        <v>634</v>
      </c>
      <c r="L191" s="39"/>
      <c r="M191" s="39" t="str">
        <f aca="false">+'CCs # Master'!M114</f>
        <v>Retained At Corp</v>
      </c>
      <c r="N191" s="97" t="n">
        <f aca="false">+'CCs # Master'!AW114</f>
        <v>0</v>
      </c>
      <c r="O191" s="97" t="n">
        <f aca="false">'CCs # Master'!AX114</f>
        <v>634</v>
      </c>
      <c r="P191" s="97" t="n">
        <f aca="false">+'CCs # Master'!N114</f>
        <v>0</v>
      </c>
      <c r="Q191" s="97" t="n">
        <f aca="false">+'CCs # Master'!O114</f>
        <v>0</v>
      </c>
      <c r="R191" s="97" t="n">
        <f aca="false">+'CCs # Master'!P114</f>
        <v>0</v>
      </c>
      <c r="S191" s="97" t="n">
        <f aca="false">+'CCs # Master'!Q114</f>
        <v>0</v>
      </c>
      <c r="T191" s="97" t="n">
        <f aca="false">+'CCs # Master'!R114</f>
        <v>0</v>
      </c>
      <c r="U191" s="97" t="n">
        <f aca="false">+'CCs # Master'!S114</f>
        <v>0</v>
      </c>
      <c r="V191" s="97" t="n">
        <f aca="false">+'CCs # Master'!T114</f>
        <v>0</v>
      </c>
      <c r="W191" s="97" t="n">
        <f aca="false">+'CCs # Master'!U114</f>
        <v>0</v>
      </c>
      <c r="X191" s="97" t="n">
        <f aca="false">+'CCs # Master'!V114</f>
        <v>0</v>
      </c>
      <c r="Y191" s="97" t="n">
        <f aca="false">+'CCs # Master'!W114</f>
        <v>0</v>
      </c>
      <c r="Z191" s="97" t="n">
        <f aca="false">+'CCs # Master'!X114</f>
        <v>0</v>
      </c>
      <c r="AA191" s="97" t="n">
        <f aca="false">+'CCs # Master'!Y114</f>
        <v>0</v>
      </c>
      <c r="AB191" s="97" t="n">
        <f aca="false">+'CCs # Master'!Z114</f>
        <v>0</v>
      </c>
      <c r="AC191" s="97" t="n">
        <f aca="false">+'CCs # Master'!AA114</f>
        <v>0</v>
      </c>
      <c r="AD191" s="97" t="n">
        <f aca="false">+'CCs # Master'!AB114</f>
        <v>0</v>
      </c>
      <c r="AE191" s="97" t="n">
        <f aca="false">+'CCs # Master'!AC114</f>
        <v>0</v>
      </c>
      <c r="AF191" s="97" t="n">
        <f aca="false">+'CCs # Master'!AD114</f>
        <v>0</v>
      </c>
      <c r="AG191" s="97" t="n">
        <f aca="false">+'CCs # Master'!AE114</f>
        <v>0</v>
      </c>
      <c r="AH191" s="97" t="n">
        <f aca="false">+'CCs # Master'!AF114</f>
        <v>0</v>
      </c>
      <c r="AI191" s="97" t="n">
        <f aca="false">+'CCs # Master'!AG114</f>
        <v>0</v>
      </c>
      <c r="AJ191" s="97" t="n">
        <f aca="false">+'CCs # Master'!AH114</f>
        <v>0</v>
      </c>
      <c r="AK191" s="97" t="n">
        <f aca="false">+'CCs # Master'!AI114</f>
        <v>0</v>
      </c>
      <c r="AL191" s="97" t="n">
        <f aca="false">+'CCs # Master'!AJ114</f>
        <v>0</v>
      </c>
      <c r="AM191" s="97" t="n">
        <f aca="false">+'CCs # Master'!AK114</f>
        <v>0</v>
      </c>
      <c r="AN191" s="97" t="n">
        <f aca="false">+'CCs # Master'!AL114</f>
        <v>0</v>
      </c>
      <c r="AO191" s="97" t="n">
        <f aca="false">+'CCs # Master'!AM114</f>
        <v>0</v>
      </c>
      <c r="AP191" s="97" t="n">
        <f aca="false">+'CCs # Master'!AN114</f>
        <v>0</v>
      </c>
      <c r="AQ191" s="97" t="n">
        <f aca="false">+'CCs # Master'!AO114</f>
        <v>0</v>
      </c>
      <c r="AR191" s="97" t="n">
        <f aca="false">+'CCs # Master'!AP114</f>
        <v>0</v>
      </c>
      <c r="AS191" s="97" t="n">
        <f aca="false">+'CCs # Master'!AQ114</f>
        <v>0</v>
      </c>
      <c r="AT191" s="97" t="n">
        <f aca="false">+'CCs # Master'!AR114</f>
        <v>0</v>
      </c>
      <c r="AU191" s="97" t="n">
        <f aca="false">+'CCs # Master'!AS114</f>
        <v>0</v>
      </c>
      <c r="AV191" s="97" t="n">
        <f aca="false">+'CCs # Master'!AT114</f>
        <v>0</v>
      </c>
      <c r="AW191" s="100"/>
      <c r="AX191" s="102" t="n">
        <f aca="false">SUM(N191:AW191)</f>
        <v>634</v>
      </c>
      <c r="AY191" s="102" t="n">
        <f aca="false">+K191-AX191</f>
        <v>0</v>
      </c>
      <c r="AZ191" s="39"/>
      <c r="BA191" s="39" t="n">
        <f aca="false">+P191+Q191+T191+U191+V191+W191+X191+Y191</f>
        <v>0</v>
      </c>
      <c r="BB191" s="97" t="n">
        <f aca="false">N191+O191</f>
        <v>634</v>
      </c>
      <c r="BC191" s="97" t="n">
        <f aca="false">SUM(P191:AW191)</f>
        <v>0</v>
      </c>
      <c r="BD191" s="97"/>
      <c r="BE191" s="97" t="n">
        <f aca="false">SUM(BB191:BC191)</f>
        <v>634</v>
      </c>
      <c r="BF191" s="39"/>
      <c r="BG191" s="48" t="n">
        <f aca="false">SUM(N191:AW191)</f>
        <v>634</v>
      </c>
      <c r="BH191" s="39" t="n">
        <f aca="false">BE191-BG191</f>
        <v>0</v>
      </c>
      <c r="BI191" s="39"/>
      <c r="BJ191" s="39"/>
      <c r="BK191" s="39"/>
      <c r="BL191" s="39"/>
      <c r="BM191" s="39"/>
      <c r="BN191" s="39"/>
      <c r="BO191" s="39"/>
      <c r="BP191" s="39"/>
      <c r="BQ191" s="39"/>
      <c r="BR191" s="39"/>
      <c r="BS191" s="39"/>
      <c r="BT191" s="39"/>
      <c r="BU191" s="39"/>
      <c r="BV191" s="39"/>
      <c r="BW191" s="39"/>
      <c r="BX191" s="39"/>
      <c r="BY191" s="39"/>
      <c r="BZ191" s="39"/>
      <c r="CA191" s="39"/>
      <c r="CB191" s="39"/>
      <c r="CC191" s="39"/>
      <c r="CD191" s="39"/>
      <c r="CE191" s="39"/>
      <c r="CF191" s="39"/>
      <c r="CG191" s="39"/>
      <c r="CH191" s="39"/>
      <c r="CI191" s="39"/>
      <c r="CJ191" s="39"/>
      <c r="CK191" s="39"/>
      <c r="CL191" s="39"/>
      <c r="CM191" s="39"/>
      <c r="CN191" s="39"/>
      <c r="CO191" s="39"/>
      <c r="CP191" s="39"/>
      <c r="CQ191" s="39"/>
      <c r="CR191" s="39"/>
      <c r="CS191" s="39"/>
      <c r="CT191" s="39"/>
      <c r="CU191" s="39"/>
      <c r="CV191" s="39"/>
      <c r="CW191" s="39"/>
      <c r="CX191" s="39"/>
      <c r="CY191" s="39"/>
      <c r="CZ191" s="39"/>
      <c r="DA191" s="39"/>
      <c r="DB191" s="39"/>
      <c r="DC191" s="39"/>
      <c r="DD191" s="39"/>
      <c r="DE191" s="39"/>
      <c r="DF191" s="39"/>
      <c r="DG191" s="39"/>
      <c r="DH191" s="39"/>
      <c r="DI191" s="39"/>
      <c r="DJ191" s="39"/>
      <c r="DK191" s="39"/>
      <c r="DL191" s="39"/>
      <c r="DM191" s="39"/>
      <c r="DN191" s="39"/>
      <c r="DO191" s="39"/>
      <c r="DP191" s="39"/>
      <c r="DQ191" s="39"/>
      <c r="DR191" s="39"/>
      <c r="DS191" s="39"/>
      <c r="DT191" s="39"/>
      <c r="DU191" s="39"/>
      <c r="DV191" s="39"/>
      <c r="DW191" s="39"/>
      <c r="DX191" s="39"/>
      <c r="DY191" s="39"/>
      <c r="DZ191" s="39"/>
      <c r="EA191" s="39"/>
      <c r="EB191" s="39"/>
      <c r="EC191" s="39"/>
      <c r="ED191" s="39"/>
      <c r="EE191" s="39"/>
      <c r="EF191" s="39"/>
      <c r="EG191" s="39"/>
      <c r="EH191" s="39"/>
      <c r="EI191" s="39"/>
      <c r="EJ191" s="39"/>
      <c r="EK191" s="39"/>
      <c r="EL191" s="39"/>
      <c r="EM191" s="39"/>
      <c r="EN191" s="39"/>
      <c r="EO191" s="39"/>
      <c r="EP191" s="39"/>
      <c r="EQ191" s="39"/>
      <c r="ER191" s="39"/>
      <c r="ES191" s="39"/>
      <c r="ET191" s="39"/>
      <c r="EU191" s="39"/>
      <c r="EV191" s="39"/>
      <c r="EW191" s="39"/>
      <c r="EX191" s="39"/>
      <c r="EY191" s="39"/>
      <c r="EZ191" s="39"/>
      <c r="FA191" s="39"/>
      <c r="FB191" s="39"/>
      <c r="FC191" s="39"/>
      <c r="FD191" s="39"/>
      <c r="FE191" s="39"/>
      <c r="FF191" s="39"/>
      <c r="FG191" s="39"/>
      <c r="FH191" s="39"/>
      <c r="FI191" s="39"/>
      <c r="FJ191" s="39"/>
      <c r="FK191" s="39"/>
      <c r="FL191" s="39"/>
      <c r="FM191" s="39"/>
      <c r="FN191" s="39"/>
      <c r="FO191" s="39"/>
      <c r="FP191" s="39"/>
      <c r="FQ191" s="39"/>
      <c r="FR191" s="39"/>
      <c r="FS191" s="39"/>
      <c r="FT191" s="39"/>
      <c r="FU191" s="39"/>
      <c r="FV191" s="39"/>
      <c r="FW191" s="39"/>
      <c r="FX191" s="39"/>
      <c r="FY191" s="39"/>
      <c r="FZ191" s="39"/>
      <c r="GA191" s="39"/>
      <c r="GB191" s="39"/>
      <c r="GC191" s="39"/>
      <c r="GD191" s="39"/>
      <c r="GE191" s="39"/>
      <c r="GF191" s="39"/>
      <c r="GG191" s="39"/>
      <c r="GH191" s="39"/>
      <c r="GI191" s="39"/>
      <c r="GJ191" s="39"/>
      <c r="GK191" s="39"/>
      <c r="GL191" s="39"/>
      <c r="GM191" s="39"/>
      <c r="GN191" s="39"/>
      <c r="GO191" s="39"/>
      <c r="GP191" s="39"/>
      <c r="GQ191" s="39"/>
      <c r="GR191" s="39"/>
      <c r="GS191" s="39"/>
      <c r="GT191" s="39"/>
      <c r="GU191" s="39"/>
      <c r="GV191" s="39"/>
      <c r="GW191" s="39"/>
      <c r="GX191" s="39"/>
      <c r="GY191" s="39"/>
      <c r="GZ191" s="39"/>
      <c r="HA191" s="39"/>
      <c r="HB191" s="39"/>
      <c r="HC191" s="39"/>
      <c r="HD191" s="39"/>
      <c r="HE191" s="39"/>
      <c r="HF191" s="39"/>
      <c r="HG191" s="39"/>
      <c r="HH191" s="39"/>
      <c r="HI191" s="39"/>
      <c r="HJ191" s="39"/>
      <c r="HK191" s="39"/>
      <c r="HL191" s="39"/>
      <c r="HM191" s="39"/>
      <c r="HN191" s="39"/>
      <c r="HO191" s="39"/>
      <c r="HP191" s="39"/>
      <c r="HQ191" s="39"/>
      <c r="HR191" s="39"/>
      <c r="HS191" s="39"/>
      <c r="HT191" s="39"/>
      <c r="HU191" s="39"/>
      <c r="HV191" s="39"/>
      <c r="HW191" s="39"/>
      <c r="HX191" s="39"/>
      <c r="HY191" s="39"/>
      <c r="HZ191" s="39"/>
      <c r="IA191" s="39"/>
      <c r="IB191" s="39"/>
      <c r="IC191" s="39"/>
      <c r="ID191" s="39"/>
      <c r="IE191" s="39"/>
      <c r="IF191" s="39"/>
      <c r="IG191" s="39"/>
      <c r="IH191" s="39"/>
      <c r="II191" s="39"/>
      <c r="IJ191" s="39"/>
      <c r="IK191" s="39"/>
      <c r="IL191" s="39"/>
      <c r="IM191" s="39"/>
      <c r="IN191" s="39"/>
      <c r="IO191" s="39"/>
      <c r="IP191" s="39"/>
      <c r="IQ191" s="39"/>
      <c r="IR191" s="39"/>
      <c r="IS191" s="39"/>
      <c r="IT191" s="39"/>
      <c r="IU191" s="39"/>
      <c r="IV191" s="39"/>
      <c r="IW191" s="39"/>
    </row>
    <row r="192" customFormat="false" ht="6.75" hidden="false" customHeight="true" outlineLevel="0" collapsed="false">
      <c r="A192" s="37"/>
      <c r="B192" s="39"/>
      <c r="C192" s="39"/>
      <c r="D192" s="96"/>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0"/>
      <c r="AX192" s="71"/>
      <c r="AY192" s="71"/>
      <c r="AZ192" s="39"/>
      <c r="BA192" s="39"/>
      <c r="BB192" s="39"/>
      <c r="BC192" s="39"/>
      <c r="BD192" s="39"/>
      <c r="BE192" s="39"/>
      <c r="BF192" s="39"/>
      <c r="BG192" s="48"/>
      <c r="BH192" s="39"/>
      <c r="BI192" s="39"/>
      <c r="BJ192" s="39"/>
      <c r="BK192" s="39"/>
      <c r="BL192" s="39"/>
      <c r="BM192" s="39"/>
      <c r="BN192" s="39"/>
      <c r="BO192" s="39"/>
      <c r="BP192" s="39"/>
      <c r="BQ192" s="39"/>
      <c r="BR192" s="39"/>
      <c r="BS192" s="39"/>
      <c r="BT192" s="39"/>
      <c r="BU192" s="39"/>
      <c r="BV192" s="39"/>
      <c r="BW192" s="39"/>
      <c r="BX192" s="39"/>
      <c r="BY192" s="39"/>
      <c r="BZ192" s="39"/>
      <c r="CA192" s="39"/>
      <c r="CB192" s="39"/>
      <c r="CC192" s="39"/>
      <c r="CD192" s="39"/>
      <c r="CE192" s="39"/>
      <c r="CF192" s="39"/>
      <c r="CG192" s="39"/>
      <c r="CH192" s="39"/>
      <c r="CI192" s="39"/>
      <c r="CJ192" s="39"/>
      <c r="CK192" s="39"/>
      <c r="CL192" s="39"/>
      <c r="CM192" s="39"/>
      <c r="CN192" s="39"/>
      <c r="CO192" s="39"/>
      <c r="CP192" s="39"/>
      <c r="CQ192" s="39"/>
      <c r="CR192" s="39"/>
      <c r="CS192" s="39"/>
      <c r="CT192" s="39"/>
      <c r="CU192" s="39"/>
      <c r="CV192" s="39"/>
      <c r="CW192" s="39"/>
      <c r="CX192" s="39"/>
      <c r="CY192" s="39"/>
      <c r="CZ192" s="39"/>
      <c r="DA192" s="39"/>
      <c r="DB192" s="39"/>
      <c r="DC192" s="39"/>
      <c r="DD192" s="39"/>
      <c r="DE192" s="39"/>
      <c r="DF192" s="39"/>
      <c r="DG192" s="39"/>
      <c r="DH192" s="39"/>
      <c r="DI192" s="39"/>
      <c r="DJ192" s="39"/>
      <c r="DK192" s="39"/>
      <c r="DL192" s="39"/>
      <c r="DM192" s="39"/>
      <c r="DN192" s="39"/>
      <c r="DO192" s="39"/>
      <c r="DP192" s="39"/>
      <c r="DQ192" s="39"/>
      <c r="DR192" s="39"/>
      <c r="DS192" s="39"/>
      <c r="DT192" s="39"/>
      <c r="DU192" s="39"/>
      <c r="DV192" s="39"/>
      <c r="DW192" s="39"/>
      <c r="DX192" s="39"/>
      <c r="DY192" s="39"/>
      <c r="DZ192" s="39"/>
      <c r="EA192" s="39"/>
      <c r="EB192" s="39"/>
      <c r="EC192" s="39"/>
      <c r="ED192" s="39"/>
      <c r="EE192" s="39"/>
      <c r="EF192" s="39"/>
      <c r="EG192" s="39"/>
      <c r="EH192" s="39"/>
      <c r="EI192" s="39"/>
      <c r="EJ192" s="39"/>
      <c r="EK192" s="39"/>
      <c r="EL192" s="39"/>
      <c r="EM192" s="39"/>
      <c r="EN192" s="39"/>
      <c r="EO192" s="39"/>
      <c r="EP192" s="39"/>
      <c r="EQ192" s="39"/>
      <c r="ER192" s="39"/>
      <c r="ES192" s="39"/>
      <c r="ET192" s="39"/>
      <c r="EU192" s="39"/>
      <c r="EV192" s="39"/>
      <c r="EW192" s="39"/>
      <c r="EX192" s="39"/>
      <c r="EY192" s="39"/>
      <c r="EZ192" s="39"/>
      <c r="FA192" s="39"/>
      <c r="FB192" s="39"/>
      <c r="FC192" s="39"/>
      <c r="FD192" s="39"/>
      <c r="FE192" s="39"/>
      <c r="FF192" s="39"/>
      <c r="FG192" s="39"/>
      <c r="FH192" s="39"/>
      <c r="FI192" s="39"/>
      <c r="FJ192" s="39"/>
      <c r="FK192" s="39"/>
      <c r="FL192" s="39"/>
      <c r="FM192" s="39"/>
      <c r="FN192" s="39"/>
      <c r="FO192" s="39"/>
      <c r="FP192" s="39"/>
      <c r="FQ192" s="39"/>
      <c r="FR192" s="39"/>
      <c r="FS192" s="39"/>
      <c r="FT192" s="39"/>
      <c r="FU192" s="39"/>
      <c r="FV192" s="39"/>
      <c r="FW192" s="39"/>
      <c r="FX192" s="39"/>
      <c r="FY192" s="39"/>
      <c r="FZ192" s="39"/>
      <c r="GA192" s="39"/>
      <c r="GB192" s="39"/>
      <c r="GC192" s="39"/>
      <c r="GD192" s="39"/>
      <c r="GE192" s="39"/>
      <c r="GF192" s="39"/>
      <c r="GG192" s="39"/>
      <c r="GH192" s="39"/>
      <c r="GI192" s="39"/>
      <c r="GJ192" s="39"/>
      <c r="GK192" s="39"/>
      <c r="GL192" s="39"/>
      <c r="GM192" s="39"/>
      <c r="GN192" s="39"/>
      <c r="GO192" s="39"/>
      <c r="GP192" s="39"/>
      <c r="GQ192" s="39"/>
      <c r="GR192" s="39"/>
      <c r="GS192" s="39"/>
      <c r="GT192" s="39"/>
      <c r="GU192" s="39"/>
      <c r="GV192" s="39"/>
      <c r="GW192" s="39"/>
      <c r="GX192" s="39"/>
      <c r="GY192" s="39"/>
      <c r="GZ192" s="39"/>
      <c r="HA192" s="39"/>
      <c r="HB192" s="39"/>
      <c r="HC192" s="39"/>
      <c r="HD192" s="39"/>
      <c r="HE192" s="39"/>
      <c r="HF192" s="39"/>
      <c r="HG192" s="39"/>
      <c r="HH192" s="39"/>
      <c r="HI192" s="39"/>
      <c r="HJ192" s="39"/>
      <c r="HK192" s="39"/>
      <c r="HL192" s="39"/>
      <c r="HM192" s="39"/>
      <c r="HN192" s="39"/>
      <c r="HO192" s="39"/>
      <c r="HP192" s="39"/>
      <c r="HQ192" s="39"/>
      <c r="HR192" s="39"/>
      <c r="HS192" s="39"/>
      <c r="HT192" s="39"/>
      <c r="HU192" s="39"/>
      <c r="HV192" s="39"/>
      <c r="HW192" s="39"/>
      <c r="HX192" s="39"/>
      <c r="HY192" s="39"/>
      <c r="HZ192" s="39"/>
      <c r="IA192" s="39"/>
      <c r="IB192" s="39"/>
      <c r="IC192" s="39"/>
      <c r="ID192" s="39"/>
      <c r="IE192" s="39"/>
      <c r="IF192" s="39"/>
      <c r="IG192" s="39"/>
      <c r="IH192" s="39"/>
      <c r="II192" s="39"/>
      <c r="IJ192" s="39"/>
      <c r="IK192" s="39"/>
      <c r="IL192" s="39"/>
      <c r="IM192" s="39"/>
      <c r="IN192" s="39"/>
      <c r="IO192" s="39"/>
      <c r="IP192" s="39"/>
      <c r="IQ192" s="39"/>
      <c r="IR192" s="39"/>
      <c r="IS192" s="39"/>
      <c r="IT192" s="39"/>
      <c r="IU192" s="39"/>
      <c r="IV192" s="39"/>
      <c r="IW192" s="39"/>
    </row>
    <row r="193" customFormat="false" ht="12.75" hidden="false" customHeight="true" outlineLevel="0" collapsed="false">
      <c r="A193" s="37"/>
      <c r="B193" s="39"/>
      <c r="C193" s="39"/>
      <c r="D193" s="96"/>
      <c r="E193" s="97" t="n">
        <f aca="false">SUM(E186:E192)</f>
        <v>53324</v>
      </c>
      <c r="F193" s="97" t="n">
        <f aca="false">SUM(F186:F192)</f>
        <v>8408</v>
      </c>
      <c r="G193" s="97" t="n">
        <f aca="false">SUM(G186:G192)</f>
        <v>23</v>
      </c>
      <c r="H193" s="97" t="n">
        <f aca="false">SUM(H186:H192)</f>
        <v>912</v>
      </c>
      <c r="I193" s="97" t="n">
        <f aca="false">SUM(I186:I192)</f>
        <v>864</v>
      </c>
      <c r="J193" s="97" t="n">
        <f aca="false">SUM(J186:J192)</f>
        <v>328</v>
      </c>
      <c r="K193" s="97" t="n">
        <f aca="false">SUM(K186:K192)</f>
        <v>63859</v>
      </c>
      <c r="L193" s="39"/>
      <c r="M193" s="39"/>
      <c r="N193" s="97" t="n">
        <f aca="false">SUM(N186:N192)</f>
        <v>0</v>
      </c>
      <c r="O193" s="97" t="n">
        <f aca="false">SUM(O186:O192)</f>
        <v>63859</v>
      </c>
      <c r="P193" s="97" t="n">
        <f aca="false">SUM(P186:P192)</f>
        <v>0</v>
      </c>
      <c r="Q193" s="97" t="n">
        <f aca="false">SUM(Q186:Q192)</f>
        <v>0</v>
      </c>
      <c r="R193" s="97" t="n">
        <f aca="false">SUM(R186:R192)</f>
        <v>0</v>
      </c>
      <c r="S193" s="97" t="n">
        <f aca="false">SUM(S186:S192)</f>
        <v>0</v>
      </c>
      <c r="T193" s="97" t="n">
        <f aca="false">SUM(T186:T192)</f>
        <v>0</v>
      </c>
      <c r="U193" s="97" t="n">
        <f aca="false">SUM(U186:U192)</f>
        <v>0</v>
      </c>
      <c r="V193" s="97" t="n">
        <f aca="false">SUM(V186:V192)</f>
        <v>0</v>
      </c>
      <c r="W193" s="97" t="n">
        <f aca="false">SUM(W186:W192)</f>
        <v>0</v>
      </c>
      <c r="X193" s="97" t="n">
        <f aca="false">SUM(X186:X192)</f>
        <v>0</v>
      </c>
      <c r="Y193" s="97" t="n">
        <f aca="false">SUM(Y186:Y192)</f>
        <v>0</v>
      </c>
      <c r="Z193" s="97" t="n">
        <f aca="false">SUM(Z186:Z192)</f>
        <v>0</v>
      </c>
      <c r="AA193" s="97" t="n">
        <f aca="false">SUM(AA186:AA192)</f>
        <v>0</v>
      </c>
      <c r="AB193" s="97" t="n">
        <f aca="false">SUM(AB186:AB192)</f>
        <v>0</v>
      </c>
      <c r="AC193" s="97" t="n">
        <f aca="false">SUM(AC186:AC192)</f>
        <v>0</v>
      </c>
      <c r="AD193" s="97" t="n">
        <f aca="false">SUM(AD186:AD192)</f>
        <v>0</v>
      </c>
      <c r="AE193" s="97" t="n">
        <f aca="false">SUM(AE186:AE192)</f>
        <v>0</v>
      </c>
      <c r="AF193" s="97" t="n">
        <f aca="false">SUM(AF186:AF192)</f>
        <v>0</v>
      </c>
      <c r="AG193" s="97" t="n">
        <f aca="false">SUM(AG186:AG192)</f>
        <v>0</v>
      </c>
      <c r="AH193" s="97" t="n">
        <f aca="false">SUM(AH186:AH192)</f>
        <v>0</v>
      </c>
      <c r="AI193" s="97" t="n">
        <f aca="false">SUM(AI186:AI192)</f>
        <v>0</v>
      </c>
      <c r="AJ193" s="97" t="n">
        <f aca="false">SUM(AJ186:AJ192)</f>
        <v>0</v>
      </c>
      <c r="AK193" s="97" t="n">
        <f aca="false">SUM(AK186:AK192)</f>
        <v>0</v>
      </c>
      <c r="AL193" s="97" t="n">
        <f aca="false">SUM(AL186:AL192)</f>
        <v>0</v>
      </c>
      <c r="AM193" s="97" t="n">
        <f aca="false">SUM(AM186:AM192)</f>
        <v>0</v>
      </c>
      <c r="AN193" s="97" t="n">
        <f aca="false">SUM(AN186:AN192)</f>
        <v>0</v>
      </c>
      <c r="AO193" s="97" t="n">
        <f aca="false">SUM(AO186:AO192)</f>
        <v>0</v>
      </c>
      <c r="AP193" s="97" t="n">
        <f aca="false">SUM(AP186:AP192)</f>
        <v>0</v>
      </c>
      <c r="AQ193" s="97" t="n">
        <f aca="false">SUM(AQ186:AQ192)</f>
        <v>0</v>
      </c>
      <c r="AR193" s="97" t="n">
        <f aca="false">SUM(AR186:AR192)</f>
        <v>0</v>
      </c>
      <c r="AS193" s="97" t="n">
        <f aca="false">SUM(AS186:AS192)</f>
        <v>0</v>
      </c>
      <c r="AT193" s="97" t="n">
        <f aca="false">SUM(AT186:AT192)</f>
        <v>0</v>
      </c>
      <c r="AU193" s="97" t="n">
        <f aca="false">SUM(AU186:AU192)</f>
        <v>0</v>
      </c>
      <c r="AV193" s="97" t="n">
        <f aca="false">SUM(AV186:AV192)</f>
        <v>0</v>
      </c>
      <c r="AW193" s="0"/>
      <c r="AX193" s="97" t="n">
        <f aca="false">SUM(AX186:AX192)</f>
        <v>63859</v>
      </c>
      <c r="AY193" s="97" t="n">
        <f aca="false">SUM(AY186:AY192)</f>
        <v>0</v>
      </c>
      <c r="AZ193" s="39"/>
      <c r="BA193" s="97" t="n">
        <f aca="false">SUM(BA186:BA192)</f>
        <v>0</v>
      </c>
      <c r="BB193" s="97" t="n">
        <f aca="false">SUM(BB186:BB192)</f>
        <v>63859</v>
      </c>
      <c r="BC193" s="97" t="n">
        <f aca="false">SUM(BC186:BC192)</f>
        <v>0</v>
      </c>
      <c r="BD193" s="97"/>
      <c r="BE193" s="97" t="n">
        <f aca="false">SUM(BE186:BE192)</f>
        <v>63859</v>
      </c>
      <c r="BF193" s="39"/>
      <c r="BG193" s="48"/>
      <c r="BH193" s="39"/>
      <c r="BI193" s="39"/>
      <c r="BJ193" s="39"/>
      <c r="BK193" s="39"/>
      <c r="BL193" s="39"/>
      <c r="BM193" s="39"/>
      <c r="BN193" s="39"/>
      <c r="BO193" s="39"/>
      <c r="BP193" s="39"/>
      <c r="BQ193" s="39"/>
      <c r="BR193" s="39"/>
      <c r="BS193" s="39"/>
      <c r="BT193" s="39"/>
      <c r="BU193" s="39"/>
      <c r="BV193" s="39"/>
      <c r="BW193" s="39"/>
      <c r="BX193" s="39"/>
      <c r="BY193" s="39"/>
      <c r="BZ193" s="39"/>
      <c r="CA193" s="39"/>
      <c r="CB193" s="39"/>
      <c r="CC193" s="39"/>
      <c r="CD193" s="39"/>
      <c r="CE193" s="39"/>
      <c r="CF193" s="39"/>
      <c r="CG193" s="39"/>
      <c r="CH193" s="39"/>
      <c r="CI193" s="39"/>
      <c r="CJ193" s="39"/>
      <c r="CK193" s="39"/>
      <c r="CL193" s="39"/>
      <c r="CM193" s="39"/>
      <c r="CN193" s="39"/>
      <c r="CO193" s="39"/>
      <c r="CP193" s="39"/>
      <c r="CQ193" s="39"/>
      <c r="CR193" s="39"/>
      <c r="CS193" s="39"/>
      <c r="CT193" s="39"/>
      <c r="CU193" s="39"/>
      <c r="CV193" s="39"/>
      <c r="CW193" s="39"/>
      <c r="CX193" s="39"/>
      <c r="CY193" s="39"/>
      <c r="CZ193" s="39"/>
      <c r="DA193" s="39"/>
      <c r="DB193" s="39"/>
      <c r="DC193" s="39"/>
      <c r="DD193" s="39"/>
      <c r="DE193" s="39"/>
      <c r="DF193" s="39"/>
      <c r="DG193" s="39"/>
      <c r="DH193" s="39"/>
      <c r="DI193" s="39"/>
      <c r="DJ193" s="39"/>
      <c r="DK193" s="39"/>
      <c r="DL193" s="39"/>
      <c r="DM193" s="39"/>
      <c r="DN193" s="39"/>
      <c r="DO193" s="39"/>
      <c r="DP193" s="39"/>
      <c r="DQ193" s="39"/>
      <c r="DR193" s="39"/>
      <c r="DS193" s="39"/>
      <c r="DT193" s="39"/>
      <c r="DU193" s="39"/>
      <c r="DV193" s="39"/>
      <c r="DW193" s="39"/>
      <c r="DX193" s="39"/>
      <c r="DY193" s="39"/>
      <c r="DZ193" s="39"/>
      <c r="EA193" s="39"/>
      <c r="EB193" s="39"/>
      <c r="EC193" s="39"/>
      <c r="ED193" s="39"/>
      <c r="EE193" s="39"/>
      <c r="EF193" s="39"/>
      <c r="EG193" s="39"/>
      <c r="EH193" s="39"/>
      <c r="EI193" s="39"/>
      <c r="EJ193" s="39"/>
      <c r="EK193" s="39"/>
      <c r="EL193" s="39"/>
      <c r="EM193" s="39"/>
      <c r="EN193" s="39"/>
      <c r="EO193" s="39"/>
      <c r="EP193" s="39"/>
      <c r="EQ193" s="39"/>
      <c r="ER193" s="39"/>
      <c r="ES193" s="39"/>
      <c r="ET193" s="39"/>
      <c r="EU193" s="39"/>
      <c r="EV193" s="39"/>
      <c r="EW193" s="39"/>
      <c r="EX193" s="39"/>
      <c r="EY193" s="39"/>
      <c r="EZ193" s="39"/>
      <c r="FA193" s="39"/>
      <c r="FB193" s="39"/>
      <c r="FC193" s="39"/>
      <c r="FD193" s="39"/>
      <c r="FE193" s="39"/>
      <c r="FF193" s="39"/>
      <c r="FG193" s="39"/>
      <c r="FH193" s="39"/>
      <c r="FI193" s="39"/>
      <c r="FJ193" s="39"/>
      <c r="FK193" s="39"/>
      <c r="FL193" s="39"/>
      <c r="FM193" s="39"/>
      <c r="FN193" s="39"/>
      <c r="FO193" s="39"/>
      <c r="FP193" s="39"/>
      <c r="FQ193" s="39"/>
      <c r="FR193" s="39"/>
      <c r="FS193" s="39"/>
      <c r="FT193" s="39"/>
      <c r="FU193" s="39"/>
      <c r="FV193" s="39"/>
      <c r="FW193" s="39"/>
      <c r="FX193" s="39"/>
      <c r="FY193" s="39"/>
      <c r="FZ193" s="39"/>
      <c r="GA193" s="39"/>
      <c r="GB193" s="39"/>
      <c r="GC193" s="39"/>
      <c r="GD193" s="39"/>
      <c r="GE193" s="39"/>
      <c r="GF193" s="39"/>
      <c r="GG193" s="39"/>
      <c r="GH193" s="39"/>
      <c r="GI193" s="39"/>
      <c r="GJ193" s="39"/>
      <c r="GK193" s="39"/>
      <c r="GL193" s="39"/>
      <c r="GM193" s="39"/>
      <c r="GN193" s="39"/>
      <c r="GO193" s="39"/>
      <c r="GP193" s="39"/>
      <c r="GQ193" s="39"/>
      <c r="GR193" s="39"/>
      <c r="GS193" s="39"/>
      <c r="GT193" s="39"/>
      <c r="GU193" s="39"/>
      <c r="GV193" s="39"/>
      <c r="GW193" s="39"/>
      <c r="GX193" s="39"/>
      <c r="GY193" s="39"/>
      <c r="GZ193" s="39"/>
      <c r="HA193" s="39"/>
      <c r="HB193" s="39"/>
      <c r="HC193" s="39"/>
      <c r="HD193" s="39"/>
      <c r="HE193" s="39"/>
      <c r="HF193" s="39"/>
      <c r="HG193" s="39"/>
      <c r="HH193" s="39"/>
      <c r="HI193" s="39"/>
      <c r="HJ193" s="39"/>
      <c r="HK193" s="39"/>
      <c r="HL193" s="39"/>
      <c r="HM193" s="39"/>
      <c r="HN193" s="39"/>
      <c r="HO193" s="39"/>
      <c r="HP193" s="39"/>
      <c r="HQ193" s="39"/>
      <c r="HR193" s="39"/>
      <c r="HS193" s="39"/>
      <c r="HT193" s="39"/>
      <c r="HU193" s="39"/>
      <c r="HV193" s="39"/>
      <c r="HW193" s="39"/>
      <c r="HX193" s="39"/>
      <c r="HY193" s="39"/>
      <c r="HZ193" s="39"/>
      <c r="IA193" s="39"/>
      <c r="IB193" s="39"/>
      <c r="IC193" s="39"/>
      <c r="ID193" s="39"/>
      <c r="IE193" s="39"/>
      <c r="IF193" s="39"/>
      <c r="IG193" s="39"/>
      <c r="IH193" s="39"/>
      <c r="II193" s="39"/>
      <c r="IJ193" s="39"/>
      <c r="IK193" s="39"/>
      <c r="IL193" s="39"/>
      <c r="IM193" s="39"/>
      <c r="IN193" s="39"/>
      <c r="IO193" s="39"/>
      <c r="IP193" s="39"/>
      <c r="IQ193" s="39"/>
      <c r="IR193" s="39"/>
      <c r="IS193" s="39"/>
      <c r="IT193" s="39"/>
      <c r="IU193" s="39"/>
      <c r="IV193" s="39"/>
      <c r="IW193" s="39"/>
    </row>
    <row r="194" customFormat="false" ht="8.1" hidden="false" customHeight="true" outlineLevel="0" collapsed="false">
      <c r="A194" s="37"/>
      <c r="B194" s="39"/>
      <c r="C194" s="39"/>
      <c r="D194" s="96"/>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0"/>
      <c r="AX194" s="71"/>
      <c r="AY194" s="71"/>
      <c r="AZ194" s="39"/>
      <c r="BA194" s="39"/>
      <c r="BB194" s="39"/>
      <c r="BC194" s="39"/>
      <c r="BD194" s="39"/>
      <c r="BE194" s="39"/>
      <c r="BF194" s="39"/>
      <c r="BG194" s="48"/>
      <c r="BH194" s="39"/>
      <c r="BI194" s="39"/>
      <c r="BJ194" s="39"/>
      <c r="BK194" s="39"/>
      <c r="BL194" s="39"/>
      <c r="BM194" s="39"/>
      <c r="BN194" s="39"/>
      <c r="BO194" s="39"/>
      <c r="BP194" s="39"/>
      <c r="BQ194" s="39"/>
      <c r="BR194" s="39"/>
      <c r="BS194" s="39"/>
      <c r="BT194" s="39"/>
      <c r="BU194" s="39"/>
      <c r="BV194" s="39"/>
      <c r="BW194" s="39"/>
      <c r="BX194" s="39"/>
      <c r="BY194" s="39"/>
      <c r="BZ194" s="39"/>
      <c r="CA194" s="39"/>
      <c r="CB194" s="39"/>
      <c r="CC194" s="39"/>
      <c r="CD194" s="39"/>
      <c r="CE194" s="39"/>
      <c r="CF194" s="39"/>
      <c r="CG194" s="39"/>
      <c r="CH194" s="39"/>
      <c r="CI194" s="39"/>
      <c r="CJ194" s="39"/>
      <c r="CK194" s="39"/>
      <c r="CL194" s="39"/>
      <c r="CM194" s="39"/>
      <c r="CN194" s="39"/>
      <c r="CO194" s="39"/>
      <c r="CP194" s="39"/>
      <c r="CQ194" s="39"/>
      <c r="CR194" s="39"/>
      <c r="CS194" s="39"/>
      <c r="CT194" s="39"/>
      <c r="CU194" s="39"/>
      <c r="CV194" s="39"/>
      <c r="CW194" s="39"/>
      <c r="CX194" s="39"/>
      <c r="CY194" s="39"/>
      <c r="CZ194" s="39"/>
      <c r="DA194" s="39"/>
      <c r="DB194" s="39"/>
      <c r="DC194" s="39"/>
      <c r="DD194" s="39"/>
      <c r="DE194" s="39"/>
      <c r="DF194" s="39"/>
      <c r="DG194" s="39"/>
      <c r="DH194" s="39"/>
      <c r="DI194" s="39"/>
      <c r="DJ194" s="39"/>
      <c r="DK194" s="39"/>
      <c r="DL194" s="39"/>
      <c r="DM194" s="39"/>
      <c r="DN194" s="39"/>
      <c r="DO194" s="39"/>
      <c r="DP194" s="39"/>
      <c r="DQ194" s="39"/>
      <c r="DR194" s="39"/>
      <c r="DS194" s="39"/>
      <c r="DT194" s="39"/>
      <c r="DU194" s="39"/>
      <c r="DV194" s="39"/>
      <c r="DW194" s="39"/>
      <c r="DX194" s="39"/>
      <c r="DY194" s="39"/>
      <c r="DZ194" s="39"/>
      <c r="EA194" s="39"/>
      <c r="EB194" s="39"/>
      <c r="EC194" s="39"/>
      <c r="ED194" s="39"/>
      <c r="EE194" s="39"/>
      <c r="EF194" s="39"/>
      <c r="EG194" s="39"/>
      <c r="EH194" s="39"/>
      <c r="EI194" s="39"/>
      <c r="EJ194" s="39"/>
      <c r="EK194" s="39"/>
      <c r="EL194" s="39"/>
      <c r="EM194" s="39"/>
      <c r="EN194" s="39"/>
      <c r="EO194" s="39"/>
      <c r="EP194" s="39"/>
      <c r="EQ194" s="39"/>
      <c r="ER194" s="39"/>
      <c r="ES194" s="39"/>
      <c r="ET194" s="39"/>
      <c r="EU194" s="39"/>
      <c r="EV194" s="39"/>
      <c r="EW194" s="39"/>
      <c r="EX194" s="39"/>
      <c r="EY194" s="39"/>
      <c r="EZ194" s="39"/>
      <c r="FA194" s="39"/>
      <c r="FB194" s="39"/>
      <c r="FC194" s="39"/>
      <c r="FD194" s="39"/>
      <c r="FE194" s="39"/>
      <c r="FF194" s="39"/>
      <c r="FG194" s="39"/>
      <c r="FH194" s="39"/>
      <c r="FI194" s="39"/>
      <c r="FJ194" s="39"/>
      <c r="FK194" s="39"/>
      <c r="FL194" s="39"/>
      <c r="FM194" s="39"/>
      <c r="FN194" s="39"/>
      <c r="FO194" s="39"/>
      <c r="FP194" s="39"/>
      <c r="FQ194" s="39"/>
      <c r="FR194" s="39"/>
      <c r="FS194" s="39"/>
      <c r="FT194" s="39"/>
      <c r="FU194" s="39"/>
      <c r="FV194" s="39"/>
      <c r="FW194" s="39"/>
      <c r="FX194" s="39"/>
      <c r="FY194" s="39"/>
      <c r="FZ194" s="39"/>
      <c r="GA194" s="39"/>
      <c r="GB194" s="39"/>
      <c r="GC194" s="39"/>
      <c r="GD194" s="39"/>
      <c r="GE194" s="39"/>
      <c r="GF194" s="39"/>
      <c r="GG194" s="39"/>
      <c r="GH194" s="39"/>
      <c r="GI194" s="39"/>
      <c r="GJ194" s="39"/>
      <c r="GK194" s="39"/>
      <c r="GL194" s="39"/>
      <c r="GM194" s="39"/>
      <c r="GN194" s="39"/>
      <c r="GO194" s="39"/>
      <c r="GP194" s="39"/>
      <c r="GQ194" s="39"/>
      <c r="GR194" s="39"/>
      <c r="GS194" s="39"/>
      <c r="GT194" s="39"/>
      <c r="GU194" s="39"/>
      <c r="GV194" s="39"/>
      <c r="GW194" s="39"/>
      <c r="GX194" s="39"/>
      <c r="GY194" s="39"/>
      <c r="GZ194" s="39"/>
      <c r="HA194" s="39"/>
      <c r="HB194" s="39"/>
      <c r="HC194" s="39"/>
      <c r="HD194" s="39"/>
      <c r="HE194" s="39"/>
      <c r="HF194" s="39"/>
      <c r="HG194" s="39"/>
      <c r="HH194" s="39"/>
      <c r="HI194" s="39"/>
      <c r="HJ194" s="39"/>
      <c r="HK194" s="39"/>
      <c r="HL194" s="39"/>
      <c r="HM194" s="39"/>
      <c r="HN194" s="39"/>
      <c r="HO194" s="39"/>
      <c r="HP194" s="39"/>
      <c r="HQ194" s="39"/>
      <c r="HR194" s="39"/>
      <c r="HS194" s="39"/>
      <c r="HT194" s="39"/>
      <c r="HU194" s="39"/>
      <c r="HV194" s="39"/>
      <c r="HW194" s="39"/>
      <c r="HX194" s="39"/>
      <c r="HY194" s="39"/>
      <c r="HZ194" s="39"/>
      <c r="IA194" s="39"/>
      <c r="IB194" s="39"/>
      <c r="IC194" s="39"/>
      <c r="ID194" s="39"/>
      <c r="IE194" s="39"/>
      <c r="IF194" s="39"/>
      <c r="IG194" s="39"/>
      <c r="IH194" s="39"/>
      <c r="II194" s="39"/>
      <c r="IJ194" s="39"/>
      <c r="IK194" s="39"/>
      <c r="IL194" s="39"/>
      <c r="IM194" s="39"/>
      <c r="IN194" s="39"/>
      <c r="IO194" s="39"/>
      <c r="IP194" s="39"/>
      <c r="IQ194" s="39"/>
      <c r="IR194" s="39"/>
      <c r="IS194" s="39"/>
      <c r="IT194" s="39"/>
      <c r="IU194" s="39"/>
      <c r="IV194" s="39"/>
      <c r="IW194" s="39"/>
    </row>
    <row r="195" customFormat="false" ht="12.95" hidden="false" customHeight="true" outlineLevel="0" collapsed="false">
      <c r="A195" s="95" t="s">
        <v>427</v>
      </c>
      <c r="B195" s="39"/>
      <c r="C195" s="39"/>
      <c r="D195" s="96"/>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0"/>
      <c r="AX195" s="71"/>
      <c r="AY195" s="71"/>
      <c r="AZ195" s="39"/>
      <c r="BA195" s="39"/>
      <c r="BB195" s="39"/>
      <c r="BC195" s="39"/>
      <c r="BD195" s="39"/>
      <c r="BE195" s="39"/>
      <c r="BF195" s="39"/>
      <c r="BG195" s="48"/>
      <c r="BH195" s="39"/>
      <c r="BI195" s="39"/>
      <c r="BJ195" s="39"/>
      <c r="BK195" s="39"/>
      <c r="BL195" s="39"/>
      <c r="BM195" s="39"/>
      <c r="BN195" s="39"/>
      <c r="BO195" s="39"/>
      <c r="BP195" s="39"/>
      <c r="BQ195" s="39"/>
      <c r="BR195" s="39"/>
      <c r="BS195" s="39"/>
      <c r="BT195" s="39"/>
      <c r="BU195" s="39"/>
      <c r="BV195" s="39"/>
      <c r="BW195" s="39"/>
      <c r="BX195" s="39"/>
      <c r="BY195" s="39"/>
      <c r="BZ195" s="39"/>
      <c r="CA195" s="39"/>
      <c r="CB195" s="39"/>
      <c r="CC195" s="39"/>
      <c r="CD195" s="39"/>
      <c r="CE195" s="39"/>
      <c r="CF195" s="39"/>
      <c r="CG195" s="39"/>
      <c r="CH195" s="39"/>
      <c r="CI195" s="39"/>
      <c r="CJ195" s="39"/>
      <c r="CK195" s="39"/>
      <c r="CL195" s="39"/>
      <c r="CM195" s="39"/>
      <c r="CN195" s="39"/>
      <c r="CO195" s="39"/>
      <c r="CP195" s="39"/>
      <c r="CQ195" s="39"/>
      <c r="CR195" s="39"/>
      <c r="CS195" s="39"/>
      <c r="CT195" s="39"/>
      <c r="CU195" s="39"/>
      <c r="CV195" s="39"/>
      <c r="CW195" s="39"/>
      <c r="CX195" s="39"/>
      <c r="CY195" s="39"/>
      <c r="CZ195" s="39"/>
      <c r="DA195" s="39"/>
      <c r="DB195" s="39"/>
      <c r="DC195" s="39"/>
      <c r="DD195" s="39"/>
      <c r="DE195" s="39"/>
      <c r="DF195" s="39"/>
      <c r="DG195" s="39"/>
      <c r="DH195" s="39"/>
      <c r="DI195" s="39"/>
      <c r="DJ195" s="39"/>
      <c r="DK195" s="39"/>
      <c r="DL195" s="39"/>
      <c r="DM195" s="39"/>
      <c r="DN195" s="39"/>
      <c r="DO195" s="39"/>
      <c r="DP195" s="39"/>
      <c r="DQ195" s="39"/>
      <c r="DR195" s="39"/>
      <c r="DS195" s="39"/>
      <c r="DT195" s="39"/>
      <c r="DU195" s="39"/>
      <c r="DV195" s="39"/>
      <c r="DW195" s="39"/>
      <c r="DX195" s="39"/>
      <c r="DY195" s="39"/>
      <c r="DZ195" s="39"/>
      <c r="EA195" s="39"/>
      <c r="EB195" s="39"/>
      <c r="EC195" s="39"/>
      <c r="ED195" s="39"/>
      <c r="EE195" s="39"/>
      <c r="EF195" s="39"/>
      <c r="EG195" s="39"/>
      <c r="EH195" s="39"/>
      <c r="EI195" s="39"/>
      <c r="EJ195" s="39"/>
      <c r="EK195" s="39"/>
      <c r="EL195" s="39"/>
      <c r="EM195" s="39"/>
      <c r="EN195" s="39"/>
      <c r="EO195" s="39"/>
      <c r="EP195" s="39"/>
      <c r="EQ195" s="39"/>
      <c r="ER195" s="39"/>
      <c r="ES195" s="39"/>
      <c r="ET195" s="39"/>
      <c r="EU195" s="39"/>
      <c r="EV195" s="39"/>
      <c r="EW195" s="39"/>
      <c r="EX195" s="39"/>
      <c r="EY195" s="39"/>
      <c r="EZ195" s="39"/>
      <c r="FA195" s="39"/>
      <c r="FB195" s="39"/>
      <c r="FC195" s="39"/>
      <c r="FD195" s="39"/>
      <c r="FE195" s="39"/>
      <c r="FF195" s="39"/>
      <c r="FG195" s="39"/>
      <c r="FH195" s="39"/>
      <c r="FI195" s="39"/>
      <c r="FJ195" s="39"/>
      <c r="FK195" s="39"/>
      <c r="FL195" s="39"/>
      <c r="FM195" s="39"/>
      <c r="FN195" s="39"/>
      <c r="FO195" s="39"/>
      <c r="FP195" s="39"/>
      <c r="FQ195" s="39"/>
      <c r="FR195" s="39"/>
      <c r="FS195" s="39"/>
      <c r="FT195" s="39"/>
      <c r="FU195" s="39"/>
      <c r="FV195" s="39"/>
      <c r="FW195" s="39"/>
      <c r="FX195" s="39"/>
      <c r="FY195" s="39"/>
      <c r="FZ195" s="39"/>
      <c r="GA195" s="39"/>
      <c r="GB195" s="39"/>
      <c r="GC195" s="39"/>
      <c r="GD195" s="39"/>
      <c r="GE195" s="39"/>
      <c r="GF195" s="39"/>
      <c r="GG195" s="39"/>
      <c r="GH195" s="39"/>
      <c r="GI195" s="39"/>
      <c r="GJ195" s="39"/>
      <c r="GK195" s="39"/>
      <c r="GL195" s="39"/>
      <c r="GM195" s="39"/>
      <c r="GN195" s="39"/>
      <c r="GO195" s="39"/>
      <c r="GP195" s="39"/>
      <c r="GQ195" s="39"/>
      <c r="GR195" s="39"/>
      <c r="GS195" s="39"/>
      <c r="GT195" s="39"/>
      <c r="GU195" s="39"/>
      <c r="GV195" s="39"/>
      <c r="GW195" s="39"/>
      <c r="GX195" s="39"/>
      <c r="GY195" s="39"/>
      <c r="GZ195" s="39"/>
      <c r="HA195" s="39"/>
      <c r="HB195" s="39"/>
      <c r="HC195" s="39"/>
      <c r="HD195" s="39"/>
      <c r="HE195" s="39"/>
      <c r="HF195" s="39"/>
      <c r="HG195" s="39"/>
      <c r="HH195" s="39"/>
      <c r="HI195" s="39"/>
      <c r="HJ195" s="39"/>
      <c r="HK195" s="39"/>
      <c r="HL195" s="39"/>
      <c r="HM195" s="39"/>
      <c r="HN195" s="39"/>
      <c r="HO195" s="39"/>
      <c r="HP195" s="39"/>
      <c r="HQ195" s="39"/>
      <c r="HR195" s="39"/>
      <c r="HS195" s="39"/>
      <c r="HT195" s="39"/>
      <c r="HU195" s="39"/>
      <c r="HV195" s="39"/>
      <c r="HW195" s="39"/>
      <c r="HX195" s="39"/>
      <c r="HY195" s="39"/>
      <c r="HZ195" s="39"/>
      <c r="IA195" s="39"/>
      <c r="IB195" s="39"/>
      <c r="IC195" s="39"/>
      <c r="ID195" s="39"/>
      <c r="IE195" s="39"/>
      <c r="IF195" s="39"/>
      <c r="IG195" s="39"/>
      <c r="IH195" s="39"/>
      <c r="II195" s="39"/>
      <c r="IJ195" s="39"/>
      <c r="IK195" s="39"/>
      <c r="IL195" s="39"/>
      <c r="IM195" s="39"/>
      <c r="IN195" s="39"/>
      <c r="IO195" s="39"/>
      <c r="IP195" s="39"/>
      <c r="IQ195" s="39"/>
      <c r="IR195" s="39"/>
      <c r="IS195" s="39"/>
      <c r="IT195" s="39"/>
      <c r="IU195" s="39"/>
      <c r="IV195" s="39"/>
      <c r="IW195" s="39"/>
    </row>
    <row r="196" customFormat="false" ht="12.95" hidden="false" customHeight="true" outlineLevel="0" collapsed="false">
      <c r="A196" s="37" t="n">
        <f aca="false">+'CCs # Master'!A12</f>
        <v>1</v>
      </c>
      <c r="B196" s="39" t="str">
        <f aca="false">+'CCs # Master'!B12</f>
        <v>Deferral Plans</v>
      </c>
      <c r="C196" s="39" t="str">
        <f aca="false">+'CCs # Master'!C12</f>
        <v>Jones, Robert</v>
      </c>
      <c r="D196" s="96" t="n">
        <f aca="false">+'CCs # Master'!D12</f>
        <v>100005</v>
      </c>
      <c r="E196" s="39" t="n">
        <f aca="false">+'CCs # Master'!E12</f>
        <v>0</v>
      </c>
      <c r="F196" s="39" t="n">
        <f aca="false">+'CCs # Master'!F12</f>
        <v>0</v>
      </c>
      <c r="G196" s="39" t="n">
        <f aca="false">+'CCs # Master'!G12</f>
        <v>0</v>
      </c>
      <c r="H196" s="39" t="n">
        <f aca="false">+'CCs # Master'!H12</f>
        <v>0</v>
      </c>
      <c r="I196" s="39" t="n">
        <f aca="false">+'CCs # Master'!I12</f>
        <v>0</v>
      </c>
      <c r="J196" s="39" t="n">
        <f aca="false">+'CCs # Master'!J12</f>
        <v>9091</v>
      </c>
      <c r="K196" s="71" t="n">
        <f aca="false">SUM(E196:J196)</f>
        <v>9091</v>
      </c>
      <c r="L196" s="39"/>
      <c r="M196" s="39" t="str">
        <f aca="false">+'CCs # Master'!M12</f>
        <v>Retained At Corp</v>
      </c>
      <c r="N196" s="39" t="n">
        <f aca="false">+'CCs # Master'!AW12</f>
        <v>9091</v>
      </c>
      <c r="O196" s="39" t="n">
        <v>0</v>
      </c>
      <c r="P196" s="39" t="n">
        <f aca="false">+'CCs # Master'!N12</f>
        <v>0</v>
      </c>
      <c r="Q196" s="39" t="n">
        <f aca="false">+'CCs # Master'!O12</f>
        <v>0</v>
      </c>
      <c r="R196" s="39" t="n">
        <f aca="false">+'CCs # Master'!P12</f>
        <v>0</v>
      </c>
      <c r="S196" s="39" t="n">
        <f aca="false">+'CCs # Master'!Q12</f>
        <v>0</v>
      </c>
      <c r="T196" s="39" t="n">
        <f aca="false">+'CCs # Master'!R12</f>
        <v>0</v>
      </c>
      <c r="U196" s="39" t="n">
        <f aca="false">+'CCs # Master'!S12</f>
        <v>0</v>
      </c>
      <c r="V196" s="39" t="n">
        <f aca="false">+'CCs # Master'!T12</f>
        <v>0</v>
      </c>
      <c r="W196" s="39" t="n">
        <f aca="false">+'CCs # Master'!U12</f>
        <v>0</v>
      </c>
      <c r="X196" s="39" t="n">
        <f aca="false">+'CCs # Master'!V12</f>
        <v>0</v>
      </c>
      <c r="Y196" s="39" t="n">
        <f aca="false">+'CCs # Master'!W12</f>
        <v>0</v>
      </c>
      <c r="Z196" s="39" t="n">
        <f aca="false">+'CCs # Master'!X12</f>
        <v>0</v>
      </c>
      <c r="AA196" s="39" t="n">
        <f aca="false">+'CCs # Master'!Y12</f>
        <v>0</v>
      </c>
      <c r="AB196" s="39" t="n">
        <f aca="false">+'CCs # Master'!Z12</f>
        <v>0</v>
      </c>
      <c r="AC196" s="39" t="n">
        <f aca="false">+'CCs # Master'!AA12</f>
        <v>0</v>
      </c>
      <c r="AD196" s="39" t="n">
        <f aca="false">+'CCs # Master'!AB12</f>
        <v>0</v>
      </c>
      <c r="AE196" s="39" t="n">
        <f aca="false">+'CCs # Master'!AC12</f>
        <v>0</v>
      </c>
      <c r="AF196" s="39" t="n">
        <f aca="false">+'CCs # Master'!AD12</f>
        <v>0</v>
      </c>
      <c r="AG196" s="39" t="n">
        <f aca="false">+'CCs # Master'!AE12</f>
        <v>0</v>
      </c>
      <c r="AH196" s="39" t="n">
        <f aca="false">+'CCs # Master'!AF12</f>
        <v>0</v>
      </c>
      <c r="AI196" s="39" t="n">
        <f aca="false">+'CCs # Master'!AG12</f>
        <v>0</v>
      </c>
      <c r="AJ196" s="39" t="n">
        <f aca="false">+'CCs # Master'!AH12</f>
        <v>0</v>
      </c>
      <c r="AK196" s="39" t="n">
        <f aca="false">+'CCs # Master'!AI12</f>
        <v>0</v>
      </c>
      <c r="AL196" s="39" t="n">
        <f aca="false">+'CCs # Master'!AJ12</f>
        <v>0</v>
      </c>
      <c r="AM196" s="39" t="n">
        <f aca="false">+'CCs # Master'!AK12</f>
        <v>0</v>
      </c>
      <c r="AN196" s="39" t="n">
        <f aca="false">+'CCs # Master'!AL12</f>
        <v>0</v>
      </c>
      <c r="AO196" s="39" t="n">
        <f aca="false">+'CCs # Master'!AM12</f>
        <v>0</v>
      </c>
      <c r="AP196" s="39" t="n">
        <f aca="false">+'CCs # Master'!AN12</f>
        <v>0</v>
      </c>
      <c r="AQ196" s="39" t="n">
        <f aca="false">+'CCs # Master'!AO12</f>
        <v>0</v>
      </c>
      <c r="AR196" s="39" t="n">
        <f aca="false">+'CCs # Master'!AP12</f>
        <v>0</v>
      </c>
      <c r="AS196" s="39" t="n">
        <f aca="false">+'CCs # Master'!AQ12</f>
        <v>0</v>
      </c>
      <c r="AT196" s="39" t="n">
        <f aca="false">+'CCs # Master'!AR12</f>
        <v>0</v>
      </c>
      <c r="AU196" s="39" t="n">
        <f aca="false">+'CCs # Master'!AS12</f>
        <v>0</v>
      </c>
      <c r="AV196" s="39" t="n">
        <f aca="false">+'CCs # Master'!AT12</f>
        <v>0</v>
      </c>
      <c r="AW196" s="0"/>
      <c r="AX196" s="71" t="n">
        <f aca="false">SUM(N196:AW196)</f>
        <v>9091</v>
      </c>
      <c r="AY196" s="71" t="n">
        <f aca="false">+K196-AX196</f>
        <v>0</v>
      </c>
      <c r="AZ196" s="39"/>
      <c r="BA196" s="39" t="n">
        <f aca="false">+P196+Q196+T196+U196+V196+W196+X196+Y196</f>
        <v>0</v>
      </c>
      <c r="BB196" s="39" t="n">
        <f aca="false">N196</f>
        <v>9091</v>
      </c>
      <c r="BC196" s="39" t="n">
        <f aca="false">SUM(P196:AW196)</f>
        <v>0</v>
      </c>
      <c r="BD196" s="39"/>
      <c r="BE196" s="39" t="n">
        <f aca="false">SUM(BB196:BC196)</f>
        <v>9091</v>
      </c>
      <c r="BF196" s="39"/>
      <c r="BG196" s="48" t="n">
        <f aca="false">SUM(N196:AW196)</f>
        <v>9091</v>
      </c>
      <c r="BH196" s="39" t="n">
        <f aca="false">BE196-BG196</f>
        <v>0</v>
      </c>
      <c r="BI196" s="39"/>
      <c r="BJ196" s="39"/>
      <c r="BK196" s="39"/>
      <c r="BL196" s="39"/>
      <c r="BM196" s="39"/>
      <c r="BN196" s="39"/>
      <c r="BO196" s="39"/>
      <c r="BP196" s="39"/>
      <c r="BQ196" s="39"/>
      <c r="BR196" s="39"/>
      <c r="BS196" s="39"/>
      <c r="BT196" s="39"/>
      <c r="BU196" s="39"/>
      <c r="BV196" s="39"/>
      <c r="BW196" s="39"/>
      <c r="BX196" s="39"/>
      <c r="BY196" s="39"/>
      <c r="BZ196" s="39"/>
      <c r="CA196" s="39"/>
      <c r="CB196" s="39"/>
      <c r="CC196" s="39"/>
      <c r="CD196" s="39"/>
      <c r="CE196" s="39"/>
      <c r="CF196" s="39"/>
      <c r="CG196" s="39"/>
      <c r="CH196" s="39"/>
      <c r="CI196" s="39"/>
      <c r="CJ196" s="39"/>
      <c r="CK196" s="39"/>
      <c r="CL196" s="39"/>
      <c r="CM196" s="39"/>
      <c r="CN196" s="39"/>
      <c r="CO196" s="39"/>
      <c r="CP196" s="39"/>
      <c r="CQ196" s="39"/>
      <c r="CR196" s="39"/>
      <c r="CS196" s="39"/>
      <c r="CT196" s="39"/>
      <c r="CU196" s="39"/>
      <c r="CV196" s="39"/>
      <c r="CW196" s="39"/>
      <c r="CX196" s="39"/>
      <c r="CY196" s="39"/>
      <c r="CZ196" s="39"/>
      <c r="DA196" s="39"/>
      <c r="DB196" s="39"/>
      <c r="DC196" s="39"/>
      <c r="DD196" s="39"/>
      <c r="DE196" s="39"/>
      <c r="DF196" s="39"/>
      <c r="DG196" s="39"/>
      <c r="DH196" s="39"/>
      <c r="DI196" s="39"/>
      <c r="DJ196" s="39"/>
      <c r="DK196" s="39"/>
      <c r="DL196" s="39"/>
      <c r="DM196" s="39"/>
      <c r="DN196" s="39"/>
      <c r="DO196" s="39"/>
      <c r="DP196" s="39"/>
      <c r="DQ196" s="39"/>
      <c r="DR196" s="39"/>
      <c r="DS196" s="39"/>
      <c r="DT196" s="39"/>
      <c r="DU196" s="39"/>
      <c r="DV196" s="39"/>
      <c r="DW196" s="39"/>
      <c r="DX196" s="39"/>
      <c r="DY196" s="39"/>
      <c r="DZ196" s="39"/>
      <c r="EA196" s="39"/>
      <c r="EB196" s="39"/>
      <c r="EC196" s="39"/>
      <c r="ED196" s="39"/>
      <c r="EE196" s="39"/>
      <c r="EF196" s="39"/>
      <c r="EG196" s="39"/>
      <c r="EH196" s="39"/>
      <c r="EI196" s="39"/>
      <c r="EJ196" s="39"/>
      <c r="EK196" s="39"/>
      <c r="EL196" s="39"/>
      <c r="EM196" s="39"/>
      <c r="EN196" s="39"/>
      <c r="EO196" s="39"/>
      <c r="EP196" s="39"/>
      <c r="EQ196" s="39"/>
      <c r="ER196" s="39"/>
      <c r="ES196" s="39"/>
      <c r="ET196" s="39"/>
      <c r="EU196" s="39"/>
      <c r="EV196" s="39"/>
      <c r="EW196" s="39"/>
      <c r="EX196" s="39"/>
      <c r="EY196" s="39"/>
      <c r="EZ196" s="39"/>
      <c r="FA196" s="39"/>
      <c r="FB196" s="39"/>
      <c r="FC196" s="39"/>
      <c r="FD196" s="39"/>
      <c r="FE196" s="39"/>
      <c r="FF196" s="39"/>
      <c r="FG196" s="39"/>
      <c r="FH196" s="39"/>
      <c r="FI196" s="39"/>
      <c r="FJ196" s="39"/>
      <c r="FK196" s="39"/>
      <c r="FL196" s="39"/>
      <c r="FM196" s="39"/>
      <c r="FN196" s="39"/>
      <c r="FO196" s="39"/>
      <c r="FP196" s="39"/>
      <c r="FQ196" s="39"/>
      <c r="FR196" s="39"/>
      <c r="FS196" s="39"/>
      <c r="FT196" s="39"/>
      <c r="FU196" s="39"/>
      <c r="FV196" s="39"/>
      <c r="FW196" s="39"/>
      <c r="FX196" s="39"/>
      <c r="FY196" s="39"/>
      <c r="FZ196" s="39"/>
      <c r="GA196" s="39"/>
      <c r="GB196" s="39"/>
      <c r="GC196" s="39"/>
      <c r="GD196" s="39"/>
      <c r="GE196" s="39"/>
      <c r="GF196" s="39"/>
      <c r="GG196" s="39"/>
      <c r="GH196" s="39"/>
      <c r="GI196" s="39"/>
      <c r="GJ196" s="39"/>
      <c r="GK196" s="39"/>
      <c r="GL196" s="39"/>
      <c r="GM196" s="39"/>
      <c r="GN196" s="39"/>
      <c r="GO196" s="39"/>
      <c r="GP196" s="39"/>
      <c r="GQ196" s="39"/>
      <c r="GR196" s="39"/>
      <c r="GS196" s="39"/>
      <c r="GT196" s="39"/>
      <c r="GU196" s="39"/>
      <c r="GV196" s="39"/>
      <c r="GW196" s="39"/>
      <c r="GX196" s="39"/>
      <c r="GY196" s="39"/>
      <c r="GZ196" s="39"/>
      <c r="HA196" s="39"/>
      <c r="HB196" s="39"/>
      <c r="HC196" s="39"/>
      <c r="HD196" s="39"/>
      <c r="HE196" s="39"/>
      <c r="HF196" s="39"/>
      <c r="HG196" s="39"/>
      <c r="HH196" s="39"/>
      <c r="HI196" s="39"/>
      <c r="HJ196" s="39"/>
      <c r="HK196" s="39"/>
      <c r="HL196" s="39"/>
      <c r="HM196" s="39"/>
      <c r="HN196" s="39"/>
      <c r="HO196" s="39"/>
      <c r="HP196" s="39"/>
      <c r="HQ196" s="39"/>
      <c r="HR196" s="39"/>
      <c r="HS196" s="39"/>
      <c r="HT196" s="39"/>
      <c r="HU196" s="39"/>
      <c r="HV196" s="39"/>
      <c r="HW196" s="39"/>
      <c r="HX196" s="39"/>
      <c r="HY196" s="39"/>
      <c r="HZ196" s="39"/>
      <c r="IA196" s="39"/>
      <c r="IB196" s="39"/>
      <c r="IC196" s="39"/>
      <c r="ID196" s="39"/>
      <c r="IE196" s="39"/>
      <c r="IF196" s="39"/>
      <c r="IG196" s="39"/>
      <c r="IH196" s="39"/>
      <c r="II196" s="39"/>
      <c r="IJ196" s="39"/>
      <c r="IK196" s="39"/>
      <c r="IL196" s="39"/>
      <c r="IM196" s="39"/>
      <c r="IN196" s="39"/>
      <c r="IO196" s="39"/>
      <c r="IP196" s="39"/>
      <c r="IQ196" s="39"/>
      <c r="IR196" s="39"/>
      <c r="IS196" s="39"/>
      <c r="IT196" s="39"/>
      <c r="IU196" s="39"/>
      <c r="IV196" s="39"/>
      <c r="IW196" s="39"/>
    </row>
    <row r="197" customFormat="false" ht="12.95" hidden="false" customHeight="true" outlineLevel="0" collapsed="false">
      <c r="A197" s="37" t="str">
        <f aca="false">+'CCs # Master'!A13</f>
        <v>0011</v>
      </c>
      <c r="B197" s="39" t="str">
        <f aca="false">+'CCs # Master'!B13</f>
        <v>Long Term Incentive</v>
      </c>
      <c r="C197" s="39" t="str">
        <f aca="false">+'CCs # Master'!C13</f>
        <v>Joyce, Mary</v>
      </c>
      <c r="D197" s="96" t="n">
        <f aca="false">+'CCs # Master'!D13</f>
        <v>100007</v>
      </c>
      <c r="E197" s="39" t="n">
        <f aca="false">+'CCs # Master'!E13</f>
        <v>0</v>
      </c>
      <c r="F197" s="39" t="n">
        <f aca="false">+'CCs # Master'!F13</f>
        <v>0</v>
      </c>
      <c r="G197" s="39" t="n">
        <f aca="false">+'CCs # Master'!G13</f>
        <v>0</v>
      </c>
      <c r="H197" s="39" t="n">
        <f aca="false">+'CCs # Master'!H13</f>
        <v>0</v>
      </c>
      <c r="I197" s="39" t="n">
        <f aca="false">+'CCs # Master'!I13</f>
        <v>0</v>
      </c>
      <c r="J197" s="39" t="n">
        <f aca="false">+'CCs # Master'!J13</f>
        <v>14738</v>
      </c>
      <c r="K197" s="71" t="n">
        <f aca="false">SUM(E197:J197)</f>
        <v>14738</v>
      </c>
      <c r="L197" s="39"/>
      <c r="M197" s="39" t="str">
        <f aca="false">+'CCs # Master'!M13</f>
        <v>Grant Elections</v>
      </c>
      <c r="N197" s="39" t="n">
        <f aca="false">+'CCs # Master'!AW13</f>
        <v>10413</v>
      </c>
      <c r="O197" s="39" t="n">
        <v>0</v>
      </c>
      <c r="P197" s="39" t="n">
        <f aca="false">+'CCs # Master'!N13</f>
        <v>0</v>
      </c>
      <c r="Q197" s="39" t="n">
        <f aca="false">+'CCs # Master'!O13</f>
        <v>200</v>
      </c>
      <c r="R197" s="39" t="n">
        <f aca="false">+'CCs # Master'!P13</f>
        <v>300</v>
      </c>
      <c r="S197" s="39" t="n">
        <f aca="false">+'CCs # Master'!Q13</f>
        <v>0</v>
      </c>
      <c r="T197" s="39" t="n">
        <f aca="false">+'CCs # Master'!R13</f>
        <v>0</v>
      </c>
      <c r="U197" s="39" t="n">
        <f aca="false">+'CCs # Master'!S13</f>
        <v>0</v>
      </c>
      <c r="V197" s="39" t="n">
        <f aca="false">+'CCs # Master'!T13</f>
        <v>75</v>
      </c>
      <c r="W197" s="39" t="n">
        <f aca="false">+'CCs # Master'!U13</f>
        <v>450</v>
      </c>
      <c r="X197" s="39" t="n">
        <f aca="false">+'CCs # Master'!V13</f>
        <v>1125</v>
      </c>
      <c r="Y197" s="39" t="n">
        <f aca="false">+'CCs # Master'!W13</f>
        <v>0</v>
      </c>
      <c r="Z197" s="39" t="n">
        <f aca="false">+'CCs # Master'!X13</f>
        <v>159</v>
      </c>
      <c r="AA197" s="39" t="n">
        <f aca="false">+'CCs # Master'!Y13</f>
        <v>0</v>
      </c>
      <c r="AB197" s="39" t="n">
        <f aca="false">+'CCs # Master'!Z13</f>
        <v>200</v>
      </c>
      <c r="AC197" s="39" t="n">
        <f aca="false">+'CCs # Master'!AA13</f>
        <v>0</v>
      </c>
      <c r="AD197" s="39" t="n">
        <f aca="false">+'CCs # Master'!AB13</f>
        <v>0</v>
      </c>
      <c r="AE197" s="39" t="n">
        <f aca="false">+'CCs # Master'!AC13</f>
        <v>0</v>
      </c>
      <c r="AF197" s="39" t="n">
        <f aca="false">+'CCs # Master'!AD13</f>
        <v>725</v>
      </c>
      <c r="AG197" s="39" t="n">
        <f aca="false">+'CCs # Master'!AE13</f>
        <v>500</v>
      </c>
      <c r="AH197" s="39" t="n">
        <f aca="false">+'CCs # Master'!AF13</f>
        <v>0</v>
      </c>
      <c r="AI197" s="39" t="n">
        <f aca="false">+'CCs # Master'!AG13</f>
        <v>350</v>
      </c>
      <c r="AJ197" s="39" t="n">
        <f aca="false">+'CCs # Master'!AH13</f>
        <v>125</v>
      </c>
      <c r="AK197" s="39" t="n">
        <f aca="false">+'CCs # Master'!AI13</f>
        <v>0</v>
      </c>
      <c r="AL197" s="39" t="n">
        <f aca="false">+'CCs # Master'!AJ13</f>
        <v>0</v>
      </c>
      <c r="AM197" s="39" t="n">
        <f aca="false">+'CCs # Master'!AK13</f>
        <v>0</v>
      </c>
      <c r="AN197" s="39" t="n">
        <f aca="false">+'CCs # Master'!AL13</f>
        <v>34</v>
      </c>
      <c r="AO197" s="39" t="n">
        <f aca="false">+'CCs # Master'!AM13</f>
        <v>0</v>
      </c>
      <c r="AP197" s="39" t="n">
        <f aca="false">+'CCs # Master'!AN13</f>
        <v>0</v>
      </c>
      <c r="AQ197" s="39" t="n">
        <f aca="false">+'CCs # Master'!AO13</f>
        <v>65</v>
      </c>
      <c r="AR197" s="39" t="n">
        <f aca="false">+'CCs # Master'!AP13</f>
        <v>17</v>
      </c>
      <c r="AS197" s="39" t="n">
        <f aca="false">+'CCs # Master'!AQ13</f>
        <v>0</v>
      </c>
      <c r="AT197" s="39" t="n">
        <f aca="false">+'CCs # Master'!AR13</f>
        <v>0</v>
      </c>
      <c r="AU197" s="39" t="n">
        <f aca="false">+'CCs # Master'!AS13</f>
        <v>0</v>
      </c>
      <c r="AV197" s="39" t="n">
        <f aca="false">+'CCs # Master'!AT13</f>
        <v>0</v>
      </c>
      <c r="AW197" s="0"/>
      <c r="AX197" s="71" t="n">
        <f aca="false">SUM(N197:AW197)</f>
        <v>14738</v>
      </c>
      <c r="AY197" s="71" t="n">
        <f aca="false">+K197-AX197</f>
        <v>0</v>
      </c>
      <c r="AZ197" s="39"/>
      <c r="BA197" s="39" t="n">
        <f aca="false">+P197+Q197+T197+U197+V197+W197+X197+Y197</f>
        <v>1850</v>
      </c>
      <c r="BB197" s="39" t="n">
        <f aca="false">N197</f>
        <v>10413</v>
      </c>
      <c r="BC197" s="39" t="n">
        <f aca="false">SUM(P197:AW197)</f>
        <v>4325</v>
      </c>
      <c r="BD197" s="39"/>
      <c r="BE197" s="39" t="n">
        <f aca="false">SUM(BB197:BC197)</f>
        <v>14738</v>
      </c>
      <c r="BF197" s="39"/>
      <c r="BG197" s="48" t="n">
        <f aca="false">SUM(N197:AW197)</f>
        <v>14738</v>
      </c>
      <c r="BH197" s="39" t="n">
        <f aca="false">BE197-BG197</f>
        <v>0</v>
      </c>
      <c r="BI197" s="39"/>
      <c r="BJ197" s="39"/>
      <c r="BK197" s="39"/>
      <c r="BL197" s="39"/>
      <c r="BM197" s="39"/>
      <c r="BN197" s="39"/>
      <c r="BO197" s="39"/>
      <c r="BP197" s="39"/>
      <c r="BQ197" s="39"/>
      <c r="BR197" s="39"/>
      <c r="BS197" s="39"/>
      <c r="BT197" s="39"/>
      <c r="BU197" s="39"/>
      <c r="BV197" s="39"/>
      <c r="BW197" s="39"/>
      <c r="BX197" s="39"/>
      <c r="BY197" s="39"/>
      <c r="BZ197" s="39"/>
      <c r="CA197" s="39"/>
      <c r="CB197" s="39"/>
      <c r="CC197" s="39"/>
      <c r="CD197" s="39"/>
      <c r="CE197" s="39"/>
      <c r="CF197" s="39"/>
      <c r="CG197" s="39"/>
      <c r="CH197" s="39"/>
      <c r="CI197" s="39"/>
      <c r="CJ197" s="39"/>
      <c r="CK197" s="39"/>
      <c r="CL197" s="39"/>
      <c r="CM197" s="39"/>
      <c r="CN197" s="39"/>
      <c r="CO197" s="39"/>
      <c r="CP197" s="39"/>
      <c r="CQ197" s="39"/>
      <c r="CR197" s="39"/>
      <c r="CS197" s="39"/>
      <c r="CT197" s="39"/>
      <c r="CU197" s="39"/>
      <c r="CV197" s="39"/>
      <c r="CW197" s="39"/>
      <c r="CX197" s="39"/>
      <c r="CY197" s="39"/>
      <c r="CZ197" s="39"/>
      <c r="DA197" s="39"/>
      <c r="DB197" s="39"/>
      <c r="DC197" s="39"/>
      <c r="DD197" s="39"/>
      <c r="DE197" s="39"/>
      <c r="DF197" s="39"/>
      <c r="DG197" s="39"/>
      <c r="DH197" s="39"/>
      <c r="DI197" s="39"/>
      <c r="DJ197" s="39"/>
      <c r="DK197" s="39"/>
      <c r="DL197" s="39"/>
      <c r="DM197" s="39"/>
      <c r="DN197" s="39"/>
      <c r="DO197" s="39"/>
      <c r="DP197" s="39"/>
      <c r="DQ197" s="39"/>
      <c r="DR197" s="39"/>
      <c r="DS197" s="39"/>
      <c r="DT197" s="39"/>
      <c r="DU197" s="39"/>
      <c r="DV197" s="39"/>
      <c r="DW197" s="39"/>
      <c r="DX197" s="39"/>
      <c r="DY197" s="39"/>
      <c r="DZ197" s="39"/>
      <c r="EA197" s="39"/>
      <c r="EB197" s="39"/>
      <c r="EC197" s="39"/>
      <c r="ED197" s="39"/>
      <c r="EE197" s="39"/>
      <c r="EF197" s="39"/>
      <c r="EG197" s="39"/>
      <c r="EH197" s="39"/>
      <c r="EI197" s="39"/>
      <c r="EJ197" s="39"/>
      <c r="EK197" s="39"/>
      <c r="EL197" s="39"/>
      <c r="EM197" s="39"/>
      <c r="EN197" s="39"/>
      <c r="EO197" s="39"/>
      <c r="EP197" s="39"/>
      <c r="EQ197" s="39"/>
      <c r="ER197" s="39"/>
      <c r="ES197" s="39"/>
      <c r="ET197" s="39"/>
      <c r="EU197" s="39"/>
      <c r="EV197" s="39"/>
      <c r="EW197" s="39"/>
      <c r="EX197" s="39"/>
      <c r="EY197" s="39"/>
      <c r="EZ197" s="39"/>
      <c r="FA197" s="39"/>
      <c r="FB197" s="39"/>
      <c r="FC197" s="39"/>
      <c r="FD197" s="39"/>
      <c r="FE197" s="39"/>
      <c r="FF197" s="39"/>
      <c r="FG197" s="39"/>
      <c r="FH197" s="39"/>
      <c r="FI197" s="39"/>
      <c r="FJ197" s="39"/>
      <c r="FK197" s="39"/>
      <c r="FL197" s="39"/>
      <c r="FM197" s="39"/>
      <c r="FN197" s="39"/>
      <c r="FO197" s="39"/>
      <c r="FP197" s="39"/>
      <c r="FQ197" s="39"/>
      <c r="FR197" s="39"/>
      <c r="FS197" s="39"/>
      <c r="FT197" s="39"/>
      <c r="FU197" s="39"/>
      <c r="FV197" s="39"/>
      <c r="FW197" s="39"/>
      <c r="FX197" s="39"/>
      <c r="FY197" s="39"/>
      <c r="FZ197" s="39"/>
      <c r="GA197" s="39"/>
      <c r="GB197" s="39"/>
      <c r="GC197" s="39"/>
      <c r="GD197" s="39"/>
      <c r="GE197" s="39"/>
      <c r="GF197" s="39"/>
      <c r="GG197" s="39"/>
      <c r="GH197" s="39"/>
      <c r="GI197" s="39"/>
      <c r="GJ197" s="39"/>
      <c r="GK197" s="39"/>
      <c r="GL197" s="39"/>
      <c r="GM197" s="39"/>
      <c r="GN197" s="39"/>
      <c r="GO197" s="39"/>
      <c r="GP197" s="39"/>
      <c r="GQ197" s="39"/>
      <c r="GR197" s="39"/>
      <c r="GS197" s="39"/>
      <c r="GT197" s="39"/>
      <c r="GU197" s="39"/>
      <c r="GV197" s="39"/>
      <c r="GW197" s="39"/>
      <c r="GX197" s="39"/>
      <c r="GY197" s="39"/>
      <c r="GZ197" s="39"/>
      <c r="HA197" s="39"/>
      <c r="HB197" s="39"/>
      <c r="HC197" s="39"/>
      <c r="HD197" s="39"/>
      <c r="HE197" s="39"/>
      <c r="HF197" s="39"/>
      <c r="HG197" s="39"/>
      <c r="HH197" s="39"/>
      <c r="HI197" s="39"/>
      <c r="HJ197" s="39"/>
      <c r="HK197" s="39"/>
      <c r="HL197" s="39"/>
      <c r="HM197" s="39"/>
      <c r="HN197" s="39"/>
      <c r="HO197" s="39"/>
      <c r="HP197" s="39"/>
      <c r="HQ197" s="39"/>
      <c r="HR197" s="39"/>
      <c r="HS197" s="39"/>
      <c r="HT197" s="39"/>
      <c r="HU197" s="39"/>
      <c r="HV197" s="39"/>
      <c r="HW197" s="39"/>
      <c r="HX197" s="39"/>
      <c r="HY197" s="39"/>
      <c r="HZ197" s="39"/>
      <c r="IA197" s="39"/>
      <c r="IB197" s="39"/>
      <c r="IC197" s="39"/>
      <c r="ID197" s="39"/>
      <c r="IE197" s="39"/>
      <c r="IF197" s="39"/>
      <c r="IG197" s="39"/>
      <c r="IH197" s="39"/>
      <c r="II197" s="39"/>
      <c r="IJ197" s="39"/>
      <c r="IK197" s="39"/>
      <c r="IL197" s="39"/>
      <c r="IM197" s="39"/>
      <c r="IN197" s="39"/>
      <c r="IO197" s="39"/>
      <c r="IP197" s="39"/>
      <c r="IQ197" s="39"/>
      <c r="IR197" s="39"/>
      <c r="IS197" s="39"/>
      <c r="IT197" s="39"/>
      <c r="IU197" s="39"/>
      <c r="IV197" s="39"/>
      <c r="IW197" s="39"/>
    </row>
    <row r="198" customFormat="false" ht="12.95" hidden="false" customHeight="true" outlineLevel="0" collapsed="false">
      <c r="A198" s="37" t="str">
        <f aca="false">+'CCs # Master'!A60</f>
        <v>0011</v>
      </c>
      <c r="B198" s="39" t="str">
        <f aca="false">+'CCs # Master'!B60</f>
        <v>International Benefits</v>
      </c>
      <c r="C198" s="39" t="str">
        <f aca="false">+'CCs # Master'!C60</f>
        <v>Joyce, Mary</v>
      </c>
      <c r="D198" s="96" t="n">
        <f aca="false">+'CCs # Master'!D60</f>
        <v>100075</v>
      </c>
      <c r="E198" s="39" t="n">
        <f aca="false">+'CCs # Master'!E60</f>
        <v>0</v>
      </c>
      <c r="F198" s="39" t="n">
        <f aca="false">+'CCs # Master'!F60</f>
        <v>0</v>
      </c>
      <c r="G198" s="39" t="n">
        <f aca="false">+'CCs # Master'!G60</f>
        <v>0</v>
      </c>
      <c r="H198" s="39" t="n">
        <f aca="false">+'CCs # Master'!H60</f>
        <v>0</v>
      </c>
      <c r="I198" s="39" t="n">
        <f aca="false">+'CCs # Master'!I60</f>
        <v>0</v>
      </c>
      <c r="J198" s="39" t="n">
        <f aca="false">+'CCs # Master'!J60</f>
        <v>0</v>
      </c>
      <c r="K198" s="71" t="n">
        <f aca="false">SUM(E198:J198)</f>
        <v>0</v>
      </c>
      <c r="L198" s="39"/>
      <c r="M198" s="39" t="str">
        <f aca="false">+'CCs # Master'!M60</f>
        <v>% of International Headcount</v>
      </c>
      <c r="N198" s="39" t="n">
        <f aca="false">+'CCs # Master'!AW60</f>
        <v>0</v>
      </c>
      <c r="O198" s="39" t="n">
        <v>0</v>
      </c>
      <c r="P198" s="39" t="n">
        <f aca="false">+'CCs # Master'!N60</f>
        <v>0</v>
      </c>
      <c r="Q198" s="39" t="n">
        <f aca="false">+'CCs # Master'!O60</f>
        <v>0</v>
      </c>
      <c r="R198" s="39" t="n">
        <f aca="false">+'CCs # Master'!P60</f>
        <v>0</v>
      </c>
      <c r="S198" s="39" t="n">
        <f aca="false">+'CCs # Master'!Q60</f>
        <v>0</v>
      </c>
      <c r="T198" s="39" t="n">
        <f aca="false">+'CCs # Master'!R60</f>
        <v>0</v>
      </c>
      <c r="U198" s="39" t="n">
        <f aca="false">+'CCs # Master'!S60</f>
        <v>0</v>
      </c>
      <c r="V198" s="39" t="n">
        <f aca="false">+'CCs # Master'!T60</f>
        <v>0</v>
      </c>
      <c r="W198" s="39" t="n">
        <f aca="false">+'CCs # Master'!U60</f>
        <v>0</v>
      </c>
      <c r="X198" s="39" t="n">
        <f aca="false">+'CCs # Master'!V60</f>
        <v>0</v>
      </c>
      <c r="Y198" s="39" t="n">
        <f aca="false">+'CCs # Master'!W60</f>
        <v>0</v>
      </c>
      <c r="Z198" s="39" t="n">
        <f aca="false">+'CCs # Master'!X60</f>
        <v>0</v>
      </c>
      <c r="AA198" s="39" t="n">
        <f aca="false">+'CCs # Master'!Y60</f>
        <v>0</v>
      </c>
      <c r="AB198" s="39" t="n">
        <f aca="false">+'CCs # Master'!Z60</f>
        <v>0</v>
      </c>
      <c r="AC198" s="39" t="n">
        <f aca="false">+'CCs # Master'!AA60</f>
        <v>0</v>
      </c>
      <c r="AD198" s="39" t="n">
        <f aca="false">+'CCs # Master'!AB60</f>
        <v>0</v>
      </c>
      <c r="AE198" s="39" t="n">
        <f aca="false">+'CCs # Master'!AC60</f>
        <v>0</v>
      </c>
      <c r="AF198" s="39" t="n">
        <f aca="false">+'CCs # Master'!AD60</f>
        <v>0</v>
      </c>
      <c r="AG198" s="39" t="n">
        <f aca="false">+'CCs # Master'!AE60</f>
        <v>0</v>
      </c>
      <c r="AH198" s="39" t="n">
        <f aca="false">+'CCs # Master'!AF60</f>
        <v>0</v>
      </c>
      <c r="AI198" s="39" t="n">
        <f aca="false">+'CCs # Master'!AG60</f>
        <v>0</v>
      </c>
      <c r="AJ198" s="39" t="n">
        <f aca="false">+'CCs # Master'!AH60</f>
        <v>0</v>
      </c>
      <c r="AK198" s="39" t="n">
        <f aca="false">+'CCs # Master'!AI60</f>
        <v>0</v>
      </c>
      <c r="AL198" s="39" t="n">
        <f aca="false">+'CCs # Master'!AJ60</f>
        <v>0</v>
      </c>
      <c r="AM198" s="39" t="n">
        <f aca="false">+'CCs # Master'!AK60</f>
        <v>0</v>
      </c>
      <c r="AN198" s="39" t="n">
        <f aca="false">+'CCs # Master'!AL60</f>
        <v>0</v>
      </c>
      <c r="AO198" s="39" t="n">
        <f aca="false">+'CCs # Master'!AM60</f>
        <v>0</v>
      </c>
      <c r="AP198" s="39" t="n">
        <f aca="false">+'CCs # Master'!AN60</f>
        <v>0</v>
      </c>
      <c r="AQ198" s="39" t="n">
        <f aca="false">+'CCs # Master'!AO60</f>
        <v>0</v>
      </c>
      <c r="AR198" s="39" t="n">
        <f aca="false">+'CCs # Master'!AP60</f>
        <v>0</v>
      </c>
      <c r="AS198" s="39" t="n">
        <f aca="false">+'CCs # Master'!AQ60</f>
        <v>0</v>
      </c>
      <c r="AT198" s="39" t="n">
        <f aca="false">+'CCs # Master'!AR60</f>
        <v>0</v>
      </c>
      <c r="AU198" s="39" t="n">
        <f aca="false">+'CCs # Master'!AS60</f>
        <v>0</v>
      </c>
      <c r="AV198" s="39" t="n">
        <f aca="false">+'CCs # Master'!AT60</f>
        <v>0</v>
      </c>
      <c r="AW198" s="0"/>
      <c r="AX198" s="71" t="n">
        <f aca="false">SUM(N198:AW198)</f>
        <v>0</v>
      </c>
      <c r="AY198" s="71" t="n">
        <f aca="false">+K198-AX198</f>
        <v>0</v>
      </c>
      <c r="AZ198" s="39"/>
      <c r="BA198" s="39" t="n">
        <f aca="false">+P198+Q198+T198+U198+V198+W198+X198+Y198</f>
        <v>0</v>
      </c>
      <c r="BB198" s="39" t="n">
        <f aca="false">N198</f>
        <v>0</v>
      </c>
      <c r="BC198" s="39" t="n">
        <f aca="false">SUM(P198:AW198)</f>
        <v>0</v>
      </c>
      <c r="BD198" s="39"/>
      <c r="BE198" s="39" t="n">
        <f aca="false">SUM(BB198:BC198)</f>
        <v>0</v>
      </c>
      <c r="BF198" s="39"/>
      <c r="BG198" s="48" t="n">
        <f aca="false">SUM(N198:AW198)</f>
        <v>0</v>
      </c>
      <c r="BH198" s="39" t="n">
        <f aca="false">BE198-BG198</f>
        <v>0</v>
      </c>
      <c r="BI198" s="39"/>
      <c r="BJ198" s="39"/>
      <c r="BK198" s="39"/>
      <c r="BL198" s="39"/>
      <c r="BM198" s="39"/>
      <c r="BN198" s="39"/>
      <c r="BO198" s="39"/>
      <c r="BP198" s="39"/>
      <c r="BQ198" s="39"/>
      <c r="BR198" s="39"/>
      <c r="BS198" s="39"/>
      <c r="BT198" s="39"/>
      <c r="BU198" s="39"/>
      <c r="BV198" s="39"/>
      <c r="BW198" s="39"/>
      <c r="BX198" s="39"/>
      <c r="BY198" s="39"/>
      <c r="BZ198" s="39"/>
      <c r="CA198" s="39"/>
      <c r="CB198" s="39"/>
      <c r="CC198" s="39"/>
      <c r="CD198" s="39"/>
      <c r="CE198" s="39"/>
      <c r="CF198" s="39"/>
      <c r="CG198" s="39"/>
      <c r="CH198" s="39"/>
      <c r="CI198" s="39"/>
      <c r="CJ198" s="39"/>
      <c r="CK198" s="39"/>
      <c r="CL198" s="39"/>
      <c r="CM198" s="39"/>
      <c r="CN198" s="39"/>
      <c r="CO198" s="39"/>
      <c r="CP198" s="39"/>
      <c r="CQ198" s="39"/>
      <c r="CR198" s="39"/>
      <c r="CS198" s="39"/>
      <c r="CT198" s="39"/>
      <c r="CU198" s="39"/>
      <c r="CV198" s="39"/>
      <c r="CW198" s="39"/>
      <c r="CX198" s="39"/>
      <c r="CY198" s="39"/>
      <c r="CZ198" s="39"/>
      <c r="DA198" s="39"/>
      <c r="DB198" s="39"/>
      <c r="DC198" s="39"/>
      <c r="DD198" s="39"/>
      <c r="DE198" s="39"/>
      <c r="DF198" s="39"/>
      <c r="DG198" s="39"/>
      <c r="DH198" s="39"/>
      <c r="DI198" s="39"/>
      <c r="DJ198" s="39"/>
      <c r="DK198" s="39"/>
      <c r="DL198" s="39"/>
      <c r="DM198" s="39"/>
      <c r="DN198" s="39"/>
      <c r="DO198" s="39"/>
      <c r="DP198" s="39"/>
      <c r="DQ198" s="39"/>
      <c r="DR198" s="39"/>
      <c r="DS198" s="39"/>
      <c r="DT198" s="39"/>
      <c r="DU198" s="39"/>
      <c r="DV198" s="39"/>
      <c r="DW198" s="39"/>
      <c r="DX198" s="39"/>
      <c r="DY198" s="39"/>
      <c r="DZ198" s="39"/>
      <c r="EA198" s="39"/>
      <c r="EB198" s="39"/>
      <c r="EC198" s="39"/>
      <c r="ED198" s="39"/>
      <c r="EE198" s="39"/>
      <c r="EF198" s="39"/>
      <c r="EG198" s="39"/>
      <c r="EH198" s="39"/>
      <c r="EI198" s="39"/>
      <c r="EJ198" s="39"/>
      <c r="EK198" s="39"/>
      <c r="EL198" s="39"/>
      <c r="EM198" s="39"/>
      <c r="EN198" s="39"/>
      <c r="EO198" s="39"/>
      <c r="EP198" s="39"/>
      <c r="EQ198" s="39"/>
      <c r="ER198" s="39"/>
      <c r="ES198" s="39"/>
      <c r="ET198" s="39"/>
      <c r="EU198" s="39"/>
      <c r="EV198" s="39"/>
      <c r="EW198" s="39"/>
      <c r="EX198" s="39"/>
      <c r="EY198" s="39"/>
      <c r="EZ198" s="39"/>
      <c r="FA198" s="39"/>
      <c r="FB198" s="39"/>
      <c r="FC198" s="39"/>
      <c r="FD198" s="39"/>
      <c r="FE198" s="39"/>
      <c r="FF198" s="39"/>
      <c r="FG198" s="39"/>
      <c r="FH198" s="39"/>
      <c r="FI198" s="39"/>
      <c r="FJ198" s="39"/>
      <c r="FK198" s="39"/>
      <c r="FL198" s="39"/>
      <c r="FM198" s="39"/>
      <c r="FN198" s="39"/>
      <c r="FO198" s="39"/>
      <c r="FP198" s="39"/>
      <c r="FQ198" s="39"/>
      <c r="FR198" s="39"/>
      <c r="FS198" s="39"/>
      <c r="FT198" s="39"/>
      <c r="FU198" s="39"/>
      <c r="FV198" s="39"/>
      <c r="FW198" s="39"/>
      <c r="FX198" s="39"/>
      <c r="FY198" s="39"/>
      <c r="FZ198" s="39"/>
      <c r="GA198" s="39"/>
      <c r="GB198" s="39"/>
      <c r="GC198" s="39"/>
      <c r="GD198" s="39"/>
      <c r="GE198" s="39"/>
      <c r="GF198" s="39"/>
      <c r="GG198" s="39"/>
      <c r="GH198" s="39"/>
      <c r="GI198" s="39"/>
      <c r="GJ198" s="39"/>
      <c r="GK198" s="39"/>
      <c r="GL198" s="39"/>
      <c r="GM198" s="39"/>
      <c r="GN198" s="39"/>
      <c r="GO198" s="39"/>
      <c r="GP198" s="39"/>
      <c r="GQ198" s="39"/>
      <c r="GR198" s="39"/>
      <c r="GS198" s="39"/>
      <c r="GT198" s="39"/>
      <c r="GU198" s="39"/>
      <c r="GV198" s="39"/>
      <c r="GW198" s="39"/>
      <c r="GX198" s="39"/>
      <c r="GY198" s="39"/>
      <c r="GZ198" s="39"/>
      <c r="HA198" s="39"/>
      <c r="HB198" s="39"/>
      <c r="HC198" s="39"/>
      <c r="HD198" s="39"/>
      <c r="HE198" s="39"/>
      <c r="HF198" s="39"/>
      <c r="HG198" s="39"/>
      <c r="HH198" s="39"/>
      <c r="HI198" s="39"/>
      <c r="HJ198" s="39"/>
      <c r="HK198" s="39"/>
      <c r="HL198" s="39"/>
      <c r="HM198" s="39"/>
      <c r="HN198" s="39"/>
      <c r="HO198" s="39"/>
      <c r="HP198" s="39"/>
      <c r="HQ198" s="39"/>
      <c r="HR198" s="39"/>
      <c r="HS198" s="39"/>
      <c r="HT198" s="39"/>
      <c r="HU198" s="39"/>
      <c r="HV198" s="39"/>
      <c r="HW198" s="39"/>
      <c r="HX198" s="39"/>
      <c r="HY198" s="39"/>
      <c r="HZ198" s="39"/>
      <c r="IA198" s="39"/>
      <c r="IB198" s="39"/>
      <c r="IC198" s="39"/>
      <c r="ID198" s="39"/>
      <c r="IE198" s="39"/>
      <c r="IF198" s="39"/>
      <c r="IG198" s="39"/>
      <c r="IH198" s="39"/>
      <c r="II198" s="39"/>
      <c r="IJ198" s="39"/>
      <c r="IK198" s="39"/>
      <c r="IL198" s="39"/>
      <c r="IM198" s="39"/>
      <c r="IN198" s="39"/>
      <c r="IO198" s="39"/>
      <c r="IP198" s="39"/>
      <c r="IQ198" s="39"/>
      <c r="IR198" s="39"/>
      <c r="IS198" s="39"/>
      <c r="IT198" s="39"/>
      <c r="IU198" s="39"/>
      <c r="IV198" s="39"/>
      <c r="IW198" s="39"/>
    </row>
    <row r="199" customFormat="false" ht="12.95" hidden="false" customHeight="true" outlineLevel="0" collapsed="false">
      <c r="A199" s="37" t="n">
        <f aca="false">+'CCs # Master'!A74</f>
        <v>11</v>
      </c>
      <c r="B199" s="39" t="str">
        <f aca="false">+'CCs # Master'!B74</f>
        <v>1992 Deferral Plan</v>
      </c>
      <c r="C199" s="39" t="str">
        <f aca="false">+'CCs # Master'!C74</f>
        <v>Jones, Robert</v>
      </c>
      <c r="D199" s="96" t="n">
        <f aca="false">+'CCs # Master'!D74</f>
        <v>100111</v>
      </c>
      <c r="E199" s="39" t="n">
        <f aca="false">+'CCs # Master'!E74</f>
        <v>0</v>
      </c>
      <c r="F199" s="39" t="n">
        <f aca="false">+'CCs # Master'!F74</f>
        <v>0</v>
      </c>
      <c r="G199" s="39" t="n">
        <f aca="false">+'CCs # Master'!G74</f>
        <v>0</v>
      </c>
      <c r="H199" s="39" t="n">
        <f aca="false">+'CCs # Master'!H74</f>
        <v>0</v>
      </c>
      <c r="I199" s="39" t="n">
        <f aca="false">+'CCs # Master'!I74</f>
        <v>0</v>
      </c>
      <c r="J199" s="39" t="n">
        <f aca="false">+'CCs # Master'!J74</f>
        <v>110</v>
      </c>
      <c r="K199" s="71" t="n">
        <f aca="false">SUM(E199:J199)</f>
        <v>110</v>
      </c>
      <c r="L199" s="39"/>
      <c r="M199" s="39" t="str">
        <f aca="false">+'CCs # Master'!M74</f>
        <v>Retained At Corp</v>
      </c>
      <c r="N199" s="39" t="n">
        <f aca="false">+'CCs # Master'!AW74</f>
        <v>110</v>
      </c>
      <c r="O199" s="39" t="n">
        <v>0</v>
      </c>
      <c r="P199" s="39" t="n">
        <f aca="false">+'CCs # Master'!N74</f>
        <v>0</v>
      </c>
      <c r="Q199" s="39" t="n">
        <f aca="false">+'CCs # Master'!O74</f>
        <v>0</v>
      </c>
      <c r="R199" s="39" t="n">
        <f aca="false">+'CCs # Master'!P74</f>
        <v>0</v>
      </c>
      <c r="S199" s="39" t="n">
        <f aca="false">+'CCs # Master'!Q74</f>
        <v>0</v>
      </c>
      <c r="T199" s="39" t="n">
        <f aca="false">+'CCs # Master'!R74</f>
        <v>0</v>
      </c>
      <c r="U199" s="39" t="n">
        <f aca="false">+'CCs # Master'!S74</f>
        <v>0</v>
      </c>
      <c r="V199" s="39" t="n">
        <f aca="false">+'CCs # Master'!T74</f>
        <v>0</v>
      </c>
      <c r="W199" s="39" t="n">
        <f aca="false">+'CCs # Master'!U74</f>
        <v>0</v>
      </c>
      <c r="X199" s="39" t="n">
        <f aca="false">+'CCs # Master'!V74</f>
        <v>0</v>
      </c>
      <c r="Y199" s="39" t="n">
        <f aca="false">+'CCs # Master'!W74</f>
        <v>0</v>
      </c>
      <c r="Z199" s="39" t="n">
        <f aca="false">+'CCs # Master'!X74</f>
        <v>0</v>
      </c>
      <c r="AA199" s="39" t="n">
        <f aca="false">+'CCs # Master'!Y74</f>
        <v>0</v>
      </c>
      <c r="AB199" s="39" t="n">
        <f aca="false">+'CCs # Master'!Z74</f>
        <v>0</v>
      </c>
      <c r="AC199" s="39" t="n">
        <f aca="false">+'CCs # Master'!AA74</f>
        <v>0</v>
      </c>
      <c r="AD199" s="39" t="n">
        <f aca="false">+'CCs # Master'!AB74</f>
        <v>0</v>
      </c>
      <c r="AE199" s="39" t="n">
        <f aca="false">+'CCs # Master'!AC74</f>
        <v>0</v>
      </c>
      <c r="AF199" s="39" t="n">
        <f aca="false">+'CCs # Master'!AD74</f>
        <v>0</v>
      </c>
      <c r="AG199" s="39" t="n">
        <f aca="false">+'CCs # Master'!AE74</f>
        <v>0</v>
      </c>
      <c r="AH199" s="39" t="n">
        <f aca="false">+'CCs # Master'!AF74</f>
        <v>0</v>
      </c>
      <c r="AI199" s="39" t="n">
        <f aca="false">+'CCs # Master'!AG74</f>
        <v>0</v>
      </c>
      <c r="AJ199" s="39" t="n">
        <f aca="false">+'CCs # Master'!AH74</f>
        <v>0</v>
      </c>
      <c r="AK199" s="39" t="n">
        <f aca="false">+'CCs # Master'!AI74</f>
        <v>0</v>
      </c>
      <c r="AL199" s="39" t="n">
        <f aca="false">+'CCs # Master'!AJ74</f>
        <v>0</v>
      </c>
      <c r="AM199" s="39" t="n">
        <f aca="false">+'CCs # Master'!AK74</f>
        <v>0</v>
      </c>
      <c r="AN199" s="39" t="n">
        <f aca="false">+'CCs # Master'!AL74</f>
        <v>0</v>
      </c>
      <c r="AO199" s="39" t="n">
        <f aca="false">+'CCs # Master'!AM74</f>
        <v>0</v>
      </c>
      <c r="AP199" s="39" t="n">
        <f aca="false">+'CCs # Master'!AN74</f>
        <v>0</v>
      </c>
      <c r="AQ199" s="39" t="n">
        <f aca="false">+'CCs # Master'!AO74</f>
        <v>0</v>
      </c>
      <c r="AR199" s="39" t="n">
        <f aca="false">+'CCs # Master'!AP74</f>
        <v>0</v>
      </c>
      <c r="AS199" s="39" t="n">
        <f aca="false">+'CCs # Master'!AQ74</f>
        <v>0</v>
      </c>
      <c r="AT199" s="39" t="n">
        <f aca="false">+'CCs # Master'!AR74</f>
        <v>0</v>
      </c>
      <c r="AU199" s="39" t="n">
        <f aca="false">+'CCs # Master'!AS74</f>
        <v>0</v>
      </c>
      <c r="AV199" s="39" t="n">
        <f aca="false">+'CCs # Master'!AT74</f>
        <v>0</v>
      </c>
      <c r="AW199" s="0"/>
      <c r="AX199" s="71" t="n">
        <f aca="false">SUM(N199:AW199)</f>
        <v>110</v>
      </c>
      <c r="AY199" s="71" t="n">
        <f aca="false">+K199-AX199</f>
        <v>0</v>
      </c>
      <c r="AZ199" s="39"/>
      <c r="BA199" s="39" t="n">
        <f aca="false">+P199+Q199+T199+U199+V199+W199+X199+Y199</f>
        <v>0</v>
      </c>
      <c r="BB199" s="39" t="n">
        <f aca="false">N199</f>
        <v>110</v>
      </c>
      <c r="BC199" s="39" t="n">
        <f aca="false">SUM(P199:AW199)</f>
        <v>0</v>
      </c>
      <c r="BD199" s="39"/>
      <c r="BE199" s="39" t="n">
        <f aca="false">SUM(BB199:BC199)</f>
        <v>110</v>
      </c>
      <c r="BF199" s="39"/>
      <c r="BG199" s="48" t="n">
        <f aca="false">SUM(N199:AW199)</f>
        <v>110</v>
      </c>
      <c r="BH199" s="39" t="n">
        <f aca="false">BE199-BG199</f>
        <v>0</v>
      </c>
      <c r="BI199" s="39"/>
      <c r="BJ199" s="39"/>
      <c r="BK199" s="39"/>
      <c r="BL199" s="39"/>
      <c r="BM199" s="39"/>
      <c r="BN199" s="39"/>
      <c r="BO199" s="39"/>
      <c r="BP199" s="39"/>
      <c r="BQ199" s="39"/>
      <c r="BR199" s="39"/>
      <c r="BS199" s="39"/>
      <c r="BT199" s="39"/>
      <c r="BU199" s="39"/>
      <c r="BV199" s="39"/>
      <c r="BW199" s="39"/>
      <c r="BX199" s="39"/>
      <c r="BY199" s="39"/>
      <c r="BZ199" s="39"/>
      <c r="CA199" s="39"/>
      <c r="CB199" s="39"/>
      <c r="CC199" s="39"/>
      <c r="CD199" s="39"/>
      <c r="CE199" s="39"/>
      <c r="CF199" s="39"/>
      <c r="CG199" s="39"/>
      <c r="CH199" s="39"/>
      <c r="CI199" s="39"/>
      <c r="CJ199" s="39"/>
      <c r="CK199" s="39"/>
      <c r="CL199" s="39"/>
      <c r="CM199" s="39"/>
      <c r="CN199" s="39"/>
      <c r="CO199" s="39"/>
      <c r="CP199" s="39"/>
      <c r="CQ199" s="39"/>
      <c r="CR199" s="39"/>
      <c r="CS199" s="39"/>
      <c r="CT199" s="39"/>
      <c r="CU199" s="39"/>
      <c r="CV199" s="39"/>
      <c r="CW199" s="39"/>
      <c r="CX199" s="39"/>
      <c r="CY199" s="39"/>
      <c r="CZ199" s="39"/>
      <c r="DA199" s="39"/>
      <c r="DB199" s="39"/>
      <c r="DC199" s="39"/>
      <c r="DD199" s="39"/>
      <c r="DE199" s="39"/>
      <c r="DF199" s="39"/>
      <c r="DG199" s="39"/>
      <c r="DH199" s="39"/>
      <c r="DI199" s="39"/>
      <c r="DJ199" s="39"/>
      <c r="DK199" s="39"/>
      <c r="DL199" s="39"/>
      <c r="DM199" s="39"/>
      <c r="DN199" s="39"/>
      <c r="DO199" s="39"/>
      <c r="DP199" s="39"/>
      <c r="DQ199" s="39"/>
      <c r="DR199" s="39"/>
      <c r="DS199" s="39"/>
      <c r="DT199" s="39"/>
      <c r="DU199" s="39"/>
      <c r="DV199" s="39"/>
      <c r="DW199" s="39"/>
      <c r="DX199" s="39"/>
      <c r="DY199" s="39"/>
      <c r="DZ199" s="39"/>
      <c r="EA199" s="39"/>
      <c r="EB199" s="39"/>
      <c r="EC199" s="39"/>
      <c r="ED199" s="39"/>
      <c r="EE199" s="39"/>
      <c r="EF199" s="39"/>
      <c r="EG199" s="39"/>
      <c r="EH199" s="39"/>
      <c r="EI199" s="39"/>
      <c r="EJ199" s="39"/>
      <c r="EK199" s="39"/>
      <c r="EL199" s="39"/>
      <c r="EM199" s="39"/>
      <c r="EN199" s="39"/>
      <c r="EO199" s="39"/>
      <c r="EP199" s="39"/>
      <c r="EQ199" s="39"/>
      <c r="ER199" s="39"/>
      <c r="ES199" s="39"/>
      <c r="ET199" s="39"/>
      <c r="EU199" s="39"/>
      <c r="EV199" s="39"/>
      <c r="EW199" s="39"/>
      <c r="EX199" s="39"/>
      <c r="EY199" s="39"/>
      <c r="EZ199" s="39"/>
      <c r="FA199" s="39"/>
      <c r="FB199" s="39"/>
      <c r="FC199" s="39"/>
      <c r="FD199" s="39"/>
      <c r="FE199" s="39"/>
      <c r="FF199" s="39"/>
      <c r="FG199" s="39"/>
      <c r="FH199" s="39"/>
      <c r="FI199" s="39"/>
      <c r="FJ199" s="39"/>
      <c r="FK199" s="39"/>
      <c r="FL199" s="39"/>
      <c r="FM199" s="39"/>
      <c r="FN199" s="39"/>
      <c r="FO199" s="39"/>
      <c r="FP199" s="39"/>
      <c r="FQ199" s="39"/>
      <c r="FR199" s="39"/>
      <c r="FS199" s="39"/>
      <c r="FT199" s="39"/>
      <c r="FU199" s="39"/>
      <c r="FV199" s="39"/>
      <c r="FW199" s="39"/>
      <c r="FX199" s="39"/>
      <c r="FY199" s="39"/>
      <c r="FZ199" s="39"/>
      <c r="GA199" s="39"/>
      <c r="GB199" s="39"/>
      <c r="GC199" s="39"/>
      <c r="GD199" s="39"/>
      <c r="GE199" s="39"/>
      <c r="GF199" s="39"/>
      <c r="GG199" s="39"/>
      <c r="GH199" s="39"/>
      <c r="GI199" s="39"/>
      <c r="GJ199" s="39"/>
      <c r="GK199" s="39"/>
      <c r="GL199" s="39"/>
      <c r="GM199" s="39"/>
      <c r="GN199" s="39"/>
      <c r="GO199" s="39"/>
      <c r="GP199" s="39"/>
      <c r="GQ199" s="39"/>
      <c r="GR199" s="39"/>
      <c r="GS199" s="39"/>
      <c r="GT199" s="39"/>
      <c r="GU199" s="39"/>
      <c r="GV199" s="39"/>
      <c r="GW199" s="39"/>
      <c r="GX199" s="39"/>
      <c r="GY199" s="39"/>
      <c r="GZ199" s="39"/>
      <c r="HA199" s="39"/>
      <c r="HB199" s="39"/>
      <c r="HC199" s="39"/>
      <c r="HD199" s="39"/>
      <c r="HE199" s="39"/>
      <c r="HF199" s="39"/>
      <c r="HG199" s="39"/>
      <c r="HH199" s="39"/>
      <c r="HI199" s="39"/>
      <c r="HJ199" s="39"/>
      <c r="HK199" s="39"/>
      <c r="HL199" s="39"/>
      <c r="HM199" s="39"/>
      <c r="HN199" s="39"/>
      <c r="HO199" s="39"/>
      <c r="HP199" s="39"/>
      <c r="HQ199" s="39"/>
      <c r="HR199" s="39"/>
      <c r="HS199" s="39"/>
      <c r="HT199" s="39"/>
      <c r="HU199" s="39"/>
      <c r="HV199" s="39"/>
      <c r="HW199" s="39"/>
      <c r="HX199" s="39"/>
      <c r="HY199" s="39"/>
      <c r="HZ199" s="39"/>
      <c r="IA199" s="39"/>
      <c r="IB199" s="39"/>
      <c r="IC199" s="39"/>
      <c r="ID199" s="39"/>
      <c r="IE199" s="39"/>
      <c r="IF199" s="39"/>
      <c r="IG199" s="39"/>
      <c r="IH199" s="39"/>
      <c r="II199" s="39"/>
      <c r="IJ199" s="39"/>
      <c r="IK199" s="39"/>
      <c r="IL199" s="39"/>
      <c r="IM199" s="39"/>
      <c r="IN199" s="39"/>
      <c r="IO199" s="39"/>
      <c r="IP199" s="39"/>
      <c r="IQ199" s="39"/>
      <c r="IR199" s="39"/>
      <c r="IS199" s="39"/>
      <c r="IT199" s="39"/>
      <c r="IU199" s="39"/>
      <c r="IV199" s="39"/>
      <c r="IW199" s="39"/>
    </row>
    <row r="200" customFormat="false" ht="12.95" hidden="false" customHeight="true" outlineLevel="0" collapsed="false">
      <c r="A200" s="37" t="str">
        <f aca="false">+'CCs # Master'!A75</f>
        <v>0011</v>
      </c>
      <c r="B200" s="39" t="str">
        <f aca="false">+'CCs # Master'!B75</f>
        <v>Restricted Stock</v>
      </c>
      <c r="C200" s="39" t="str">
        <f aca="false">+'CCs # Master'!C75</f>
        <v>Joyce, Mary</v>
      </c>
      <c r="D200" s="96" t="n">
        <f aca="false">+'CCs # Master'!D75</f>
        <v>100112</v>
      </c>
      <c r="E200" s="39" t="n">
        <f aca="false">+'CCs # Master'!E75</f>
        <v>0</v>
      </c>
      <c r="F200" s="39" t="n">
        <f aca="false">+'CCs # Master'!F75</f>
        <v>0</v>
      </c>
      <c r="G200" s="39" t="n">
        <f aca="false">+'CCs # Master'!G75</f>
        <v>0</v>
      </c>
      <c r="H200" s="39" t="n">
        <f aca="false">+'CCs # Master'!H75</f>
        <v>0</v>
      </c>
      <c r="I200" s="39" t="n">
        <f aca="false">+'CCs # Master'!I75</f>
        <v>0</v>
      </c>
      <c r="J200" s="39" t="n">
        <f aca="false">+'CCs # Master'!J75</f>
        <v>78748</v>
      </c>
      <c r="K200" s="71" t="n">
        <f aca="false">SUM(E200:J200)</f>
        <v>78748</v>
      </c>
      <c r="L200" s="39"/>
      <c r="M200" s="39" t="str">
        <f aca="false">+'CCs # Master'!M75</f>
        <v>Grant Elections</v>
      </c>
      <c r="N200" s="39" t="n">
        <f aca="false">+'CCs # Master'!AW75</f>
        <v>17851</v>
      </c>
      <c r="O200" s="39" t="n">
        <v>0</v>
      </c>
      <c r="P200" s="39" t="n">
        <f aca="false">+'CCs # Master'!N75</f>
        <v>65</v>
      </c>
      <c r="Q200" s="39" t="n">
        <f aca="false">+'CCs # Master'!O75</f>
        <v>168</v>
      </c>
      <c r="R200" s="39" t="n">
        <f aca="false">+'CCs # Master'!P75</f>
        <v>955</v>
      </c>
      <c r="S200" s="39" t="n">
        <f aca="false">+'CCs # Master'!Q75</f>
        <v>0</v>
      </c>
      <c r="T200" s="39" t="n">
        <f aca="false">+'CCs # Master'!R75</f>
        <v>110</v>
      </c>
      <c r="U200" s="39" t="n">
        <f aca="false">+'CCs # Master'!S75</f>
        <v>0</v>
      </c>
      <c r="V200" s="39" t="n">
        <f aca="false">+'CCs # Master'!T75</f>
        <v>367</v>
      </c>
      <c r="W200" s="39" t="n">
        <f aca="false">+'CCs # Master'!U75</f>
        <v>472</v>
      </c>
      <c r="X200" s="39" t="n">
        <f aca="false">+'CCs # Master'!V75</f>
        <v>1388</v>
      </c>
      <c r="Y200" s="39" t="n">
        <f aca="false">+'CCs # Master'!W75</f>
        <v>4</v>
      </c>
      <c r="Z200" s="39" t="n">
        <f aca="false">+'CCs # Master'!X75</f>
        <v>10259</v>
      </c>
      <c r="AA200" s="39" t="n">
        <f aca="false">+'CCs # Master'!Y75</f>
        <v>0</v>
      </c>
      <c r="AB200" s="39" t="n">
        <f aca="false">+'CCs # Master'!Z75</f>
        <v>85</v>
      </c>
      <c r="AC200" s="39" t="n">
        <f aca="false">+'CCs # Master'!AA75</f>
        <v>0</v>
      </c>
      <c r="AD200" s="39" t="n">
        <f aca="false">+'CCs # Master'!AB75</f>
        <v>8564</v>
      </c>
      <c r="AE200" s="39" t="n">
        <f aca="false">+'CCs # Master'!AC75</f>
        <v>985</v>
      </c>
      <c r="AF200" s="39" t="n">
        <f aca="false">+'CCs # Master'!AD75</f>
        <v>10441</v>
      </c>
      <c r="AG200" s="39" t="n">
        <f aca="false">+'CCs # Master'!AE75</f>
        <v>16751</v>
      </c>
      <c r="AH200" s="39" t="n">
        <f aca="false">+'CCs # Master'!AF75</f>
        <v>134</v>
      </c>
      <c r="AI200" s="39" t="n">
        <f aca="false">+'CCs # Master'!AG75</f>
        <v>296</v>
      </c>
      <c r="AJ200" s="39" t="n">
        <f aca="false">+'CCs # Master'!AH75</f>
        <v>1111</v>
      </c>
      <c r="AK200" s="39" t="n">
        <f aca="false">+'CCs # Master'!AI75</f>
        <v>2097</v>
      </c>
      <c r="AL200" s="39" t="n">
        <f aca="false">+'CCs # Master'!AJ75</f>
        <v>825</v>
      </c>
      <c r="AM200" s="39" t="n">
        <f aca="false">+'CCs # Master'!AK75</f>
        <v>375</v>
      </c>
      <c r="AN200" s="39" t="n">
        <f aca="false">+'CCs # Master'!AL75</f>
        <v>544</v>
      </c>
      <c r="AO200" s="39" t="n">
        <f aca="false">+'CCs # Master'!AM75</f>
        <v>1573</v>
      </c>
      <c r="AP200" s="39" t="n">
        <f aca="false">+'CCs # Master'!AN75</f>
        <v>0</v>
      </c>
      <c r="AQ200" s="39" t="n">
        <f aca="false">+'CCs # Master'!AO75</f>
        <v>2261</v>
      </c>
      <c r="AR200" s="39" t="n">
        <f aca="false">+'CCs # Master'!AP75</f>
        <v>1067</v>
      </c>
      <c r="AS200" s="39" t="n">
        <f aca="false">+'CCs # Master'!AQ75</f>
        <v>0</v>
      </c>
      <c r="AT200" s="39" t="n">
        <f aca="false">+'CCs # Master'!AR75</f>
        <v>0</v>
      </c>
      <c r="AU200" s="39" t="n">
        <f aca="false">+'CCs # Master'!AS75</f>
        <v>0</v>
      </c>
      <c r="AV200" s="39" t="n">
        <f aca="false">+'CCs # Master'!AT75</f>
        <v>0</v>
      </c>
      <c r="AW200" s="0"/>
      <c r="AX200" s="71" t="n">
        <f aca="false">SUM(N200:AW200)</f>
        <v>78748</v>
      </c>
      <c r="AY200" s="71" t="n">
        <f aca="false">+K200-AX200</f>
        <v>0</v>
      </c>
      <c r="AZ200" s="39"/>
      <c r="BA200" s="39" t="n">
        <f aca="false">+P200+Q200+T200+U200+V200+W200+X200+Y200</f>
        <v>2574</v>
      </c>
      <c r="BB200" s="39" t="n">
        <f aca="false">N200</f>
        <v>17851</v>
      </c>
      <c r="BC200" s="39" t="n">
        <f aca="false">SUM(P200:AW200)</f>
        <v>60897</v>
      </c>
      <c r="BD200" s="39"/>
      <c r="BE200" s="39" t="n">
        <f aca="false">SUM(BB200:BC200)</f>
        <v>78748</v>
      </c>
      <c r="BF200" s="39"/>
      <c r="BG200" s="48" t="n">
        <f aca="false">SUM(N200:AW200)</f>
        <v>78748</v>
      </c>
      <c r="BH200" s="39" t="n">
        <f aca="false">BE200-BG200</f>
        <v>0</v>
      </c>
      <c r="BI200" s="39"/>
      <c r="BJ200" s="39"/>
      <c r="BK200" s="39"/>
      <c r="BL200" s="39"/>
      <c r="BM200" s="39"/>
      <c r="BN200" s="39"/>
      <c r="BO200" s="39"/>
      <c r="BP200" s="39"/>
      <c r="BQ200" s="39"/>
      <c r="BR200" s="39"/>
      <c r="BS200" s="39"/>
      <c r="BT200" s="39"/>
      <c r="BU200" s="39"/>
      <c r="BV200" s="39"/>
      <c r="BW200" s="39"/>
      <c r="BX200" s="39"/>
      <c r="BY200" s="39"/>
      <c r="BZ200" s="39"/>
      <c r="CA200" s="39"/>
      <c r="CB200" s="39"/>
      <c r="CC200" s="39"/>
      <c r="CD200" s="39"/>
      <c r="CE200" s="39"/>
      <c r="CF200" s="39"/>
      <c r="CG200" s="39"/>
      <c r="CH200" s="39"/>
      <c r="CI200" s="39"/>
      <c r="CJ200" s="39"/>
      <c r="CK200" s="39"/>
      <c r="CL200" s="39"/>
      <c r="CM200" s="39"/>
      <c r="CN200" s="39"/>
      <c r="CO200" s="39"/>
      <c r="CP200" s="39"/>
      <c r="CQ200" s="39"/>
      <c r="CR200" s="39"/>
      <c r="CS200" s="39"/>
      <c r="CT200" s="39"/>
      <c r="CU200" s="39"/>
      <c r="CV200" s="39"/>
      <c r="CW200" s="39"/>
      <c r="CX200" s="39"/>
      <c r="CY200" s="39"/>
      <c r="CZ200" s="39"/>
      <c r="DA200" s="39"/>
      <c r="DB200" s="39"/>
      <c r="DC200" s="39"/>
      <c r="DD200" s="39"/>
      <c r="DE200" s="39"/>
      <c r="DF200" s="39"/>
      <c r="DG200" s="39"/>
      <c r="DH200" s="39"/>
      <c r="DI200" s="39"/>
      <c r="DJ200" s="39"/>
      <c r="DK200" s="39"/>
      <c r="DL200" s="39"/>
      <c r="DM200" s="39"/>
      <c r="DN200" s="39"/>
      <c r="DO200" s="39"/>
      <c r="DP200" s="39"/>
      <c r="DQ200" s="39"/>
      <c r="DR200" s="39"/>
      <c r="DS200" s="39"/>
      <c r="DT200" s="39"/>
      <c r="DU200" s="39"/>
      <c r="DV200" s="39"/>
      <c r="DW200" s="39"/>
      <c r="DX200" s="39"/>
      <c r="DY200" s="39"/>
      <c r="DZ200" s="39"/>
      <c r="EA200" s="39"/>
      <c r="EB200" s="39"/>
      <c r="EC200" s="39"/>
      <c r="ED200" s="39"/>
      <c r="EE200" s="39"/>
      <c r="EF200" s="39"/>
      <c r="EG200" s="39"/>
      <c r="EH200" s="39"/>
      <c r="EI200" s="39"/>
      <c r="EJ200" s="39"/>
      <c r="EK200" s="39"/>
      <c r="EL200" s="39"/>
      <c r="EM200" s="39"/>
      <c r="EN200" s="39"/>
      <c r="EO200" s="39"/>
      <c r="EP200" s="39"/>
      <c r="EQ200" s="39"/>
      <c r="ER200" s="39"/>
      <c r="ES200" s="39"/>
      <c r="ET200" s="39"/>
      <c r="EU200" s="39"/>
      <c r="EV200" s="39"/>
      <c r="EW200" s="39"/>
      <c r="EX200" s="39"/>
      <c r="EY200" s="39"/>
      <c r="EZ200" s="39"/>
      <c r="FA200" s="39"/>
      <c r="FB200" s="39"/>
      <c r="FC200" s="39"/>
      <c r="FD200" s="39"/>
      <c r="FE200" s="39"/>
      <c r="FF200" s="39"/>
      <c r="FG200" s="39"/>
      <c r="FH200" s="39"/>
      <c r="FI200" s="39"/>
      <c r="FJ200" s="39"/>
      <c r="FK200" s="39"/>
      <c r="FL200" s="39"/>
      <c r="FM200" s="39"/>
      <c r="FN200" s="39"/>
      <c r="FO200" s="39"/>
      <c r="FP200" s="39"/>
      <c r="FQ200" s="39"/>
      <c r="FR200" s="39"/>
      <c r="FS200" s="39"/>
      <c r="FT200" s="39"/>
      <c r="FU200" s="39"/>
      <c r="FV200" s="39"/>
      <c r="FW200" s="39"/>
      <c r="FX200" s="39"/>
      <c r="FY200" s="39"/>
      <c r="FZ200" s="39"/>
      <c r="GA200" s="39"/>
      <c r="GB200" s="39"/>
      <c r="GC200" s="39"/>
      <c r="GD200" s="39"/>
      <c r="GE200" s="39"/>
      <c r="GF200" s="39"/>
      <c r="GG200" s="39"/>
      <c r="GH200" s="39"/>
      <c r="GI200" s="39"/>
      <c r="GJ200" s="39"/>
      <c r="GK200" s="39"/>
      <c r="GL200" s="39"/>
      <c r="GM200" s="39"/>
      <c r="GN200" s="39"/>
      <c r="GO200" s="39"/>
      <c r="GP200" s="39"/>
      <c r="GQ200" s="39"/>
      <c r="GR200" s="39"/>
      <c r="GS200" s="39"/>
      <c r="GT200" s="39"/>
      <c r="GU200" s="39"/>
      <c r="GV200" s="39"/>
      <c r="GW200" s="39"/>
      <c r="GX200" s="39"/>
      <c r="GY200" s="39"/>
      <c r="GZ200" s="39"/>
      <c r="HA200" s="39"/>
      <c r="HB200" s="39"/>
      <c r="HC200" s="39"/>
      <c r="HD200" s="39"/>
      <c r="HE200" s="39"/>
      <c r="HF200" s="39"/>
      <c r="HG200" s="39"/>
      <c r="HH200" s="39"/>
      <c r="HI200" s="39"/>
      <c r="HJ200" s="39"/>
      <c r="HK200" s="39"/>
      <c r="HL200" s="39"/>
      <c r="HM200" s="39"/>
      <c r="HN200" s="39"/>
      <c r="HO200" s="39"/>
      <c r="HP200" s="39"/>
      <c r="HQ200" s="39"/>
      <c r="HR200" s="39"/>
      <c r="HS200" s="39"/>
      <c r="HT200" s="39"/>
      <c r="HU200" s="39"/>
      <c r="HV200" s="39"/>
      <c r="HW200" s="39"/>
      <c r="HX200" s="39"/>
      <c r="HY200" s="39"/>
      <c r="HZ200" s="39"/>
      <c r="IA200" s="39"/>
      <c r="IB200" s="39"/>
      <c r="IC200" s="39"/>
      <c r="ID200" s="39"/>
      <c r="IE200" s="39"/>
      <c r="IF200" s="39"/>
      <c r="IG200" s="39"/>
      <c r="IH200" s="39"/>
      <c r="II200" s="39"/>
      <c r="IJ200" s="39"/>
      <c r="IK200" s="39"/>
      <c r="IL200" s="39"/>
      <c r="IM200" s="39"/>
      <c r="IN200" s="39"/>
      <c r="IO200" s="39"/>
      <c r="IP200" s="39"/>
      <c r="IQ200" s="39"/>
      <c r="IR200" s="39"/>
      <c r="IS200" s="39"/>
      <c r="IT200" s="39"/>
      <c r="IU200" s="39"/>
      <c r="IV200" s="39"/>
      <c r="IW200" s="39"/>
    </row>
    <row r="201" customFormat="false" ht="12.95" hidden="false" customHeight="true" outlineLevel="0" collapsed="false">
      <c r="A201" s="37" t="n">
        <f aca="false">+'CCs # Master'!A76</f>
        <v>11</v>
      </c>
      <c r="B201" s="39" t="str">
        <f aca="false">+'CCs # Master'!B76</f>
        <v>NQ Stock Plan</v>
      </c>
      <c r="C201" s="39" t="str">
        <f aca="false">+'CCs # Master'!C76</f>
        <v>Joyce, Mary</v>
      </c>
      <c r="D201" s="96" t="n">
        <f aca="false">+'CCs # Master'!D76</f>
        <v>100113</v>
      </c>
      <c r="E201" s="39" t="n">
        <f aca="false">+'CCs # Master'!E76</f>
        <v>0</v>
      </c>
      <c r="F201" s="39" t="n">
        <f aca="false">+'CCs # Master'!F76</f>
        <v>0</v>
      </c>
      <c r="G201" s="39" t="n">
        <f aca="false">+'CCs # Master'!G76</f>
        <v>0</v>
      </c>
      <c r="H201" s="39" t="n">
        <f aca="false">+'CCs # Master'!H76</f>
        <v>0</v>
      </c>
      <c r="I201" s="39" t="n">
        <f aca="false">+'CCs # Master'!I76</f>
        <v>0</v>
      </c>
      <c r="J201" s="39" t="n">
        <f aca="false">+'CCs # Master'!J76</f>
        <v>106857</v>
      </c>
      <c r="K201" s="71" t="n">
        <f aca="false">SUM(E201:J201)</f>
        <v>106857</v>
      </c>
      <c r="L201" s="39"/>
      <c r="M201" s="39" t="str">
        <f aca="false">+'CCs # Master'!M76</f>
        <v>Awards grants</v>
      </c>
      <c r="N201" s="39" t="n">
        <f aca="false">+'CCs # Master'!AW76</f>
        <v>31179</v>
      </c>
      <c r="O201" s="39" t="n">
        <v>0</v>
      </c>
      <c r="P201" s="39" t="n">
        <f aca="false">+'CCs # Master'!N76</f>
        <v>165</v>
      </c>
      <c r="Q201" s="39" t="n">
        <f aca="false">+'CCs # Master'!O76</f>
        <v>427</v>
      </c>
      <c r="R201" s="39" t="n">
        <f aca="false">+'CCs # Master'!P76</f>
        <v>2069</v>
      </c>
      <c r="S201" s="39" t="n">
        <f aca="false">+'CCs # Master'!Q76</f>
        <v>0</v>
      </c>
      <c r="T201" s="39" t="n">
        <f aca="false">+'CCs # Master'!R76</f>
        <v>165</v>
      </c>
      <c r="U201" s="39" t="n">
        <f aca="false">+'CCs # Master'!S76</f>
        <v>99</v>
      </c>
      <c r="V201" s="39" t="n">
        <f aca="false">+'CCs # Master'!T76</f>
        <v>471</v>
      </c>
      <c r="W201" s="39" t="n">
        <f aca="false">+'CCs # Master'!U76</f>
        <v>778</v>
      </c>
      <c r="X201" s="39" t="n">
        <f aca="false">+'CCs # Master'!V76</f>
        <v>1661</v>
      </c>
      <c r="Y201" s="39" t="n">
        <f aca="false">+'CCs # Master'!W76</f>
        <v>78</v>
      </c>
      <c r="Z201" s="39" t="n">
        <f aca="false">+'CCs # Master'!X76</f>
        <v>14586</v>
      </c>
      <c r="AA201" s="39" t="n">
        <f aca="false">+'CCs # Master'!Y76</f>
        <v>0</v>
      </c>
      <c r="AB201" s="39" t="n">
        <f aca="false">+'CCs # Master'!Z76</f>
        <v>136</v>
      </c>
      <c r="AC201" s="39" t="n">
        <f aca="false">+'CCs # Master'!AA76</f>
        <v>0</v>
      </c>
      <c r="AD201" s="39" t="n">
        <f aca="false">+'CCs # Master'!AB76</f>
        <v>6622</v>
      </c>
      <c r="AE201" s="39" t="n">
        <f aca="false">+'CCs # Master'!AC76</f>
        <v>1706</v>
      </c>
      <c r="AF201" s="39" t="n">
        <f aca="false">+'CCs # Master'!AD76</f>
        <v>11615</v>
      </c>
      <c r="AG201" s="39" t="n">
        <f aca="false">+'CCs # Master'!AE76</f>
        <v>17944</v>
      </c>
      <c r="AH201" s="39" t="n">
        <f aca="false">+'CCs # Master'!AF76</f>
        <v>937</v>
      </c>
      <c r="AI201" s="39" t="n">
        <f aca="false">+'CCs # Master'!AG76</f>
        <v>145</v>
      </c>
      <c r="AJ201" s="39" t="n">
        <f aca="false">+'CCs # Master'!AH76</f>
        <v>1634</v>
      </c>
      <c r="AK201" s="39" t="n">
        <f aca="false">+'CCs # Master'!AI76</f>
        <v>4992</v>
      </c>
      <c r="AL201" s="39" t="n">
        <f aca="false">+'CCs # Master'!AJ76</f>
        <v>2280</v>
      </c>
      <c r="AM201" s="39" t="n">
        <f aca="false">+'CCs # Master'!AK76</f>
        <v>1183</v>
      </c>
      <c r="AN201" s="39" t="n">
        <f aca="false">+'CCs # Master'!AL76</f>
        <v>783</v>
      </c>
      <c r="AO201" s="39" t="n">
        <f aca="false">+'CCs # Master'!AM76</f>
        <v>0</v>
      </c>
      <c r="AP201" s="39" t="n">
        <f aca="false">+'CCs # Master'!AN76</f>
        <v>0</v>
      </c>
      <c r="AQ201" s="39" t="n">
        <f aca="false">+'CCs # Master'!AO76</f>
        <v>3685</v>
      </c>
      <c r="AR201" s="39" t="n">
        <f aca="false">+'CCs # Master'!AP76</f>
        <v>1517</v>
      </c>
      <c r="AS201" s="39" t="n">
        <f aca="false">+'CCs # Master'!AQ76</f>
        <v>0</v>
      </c>
      <c r="AT201" s="39" t="n">
        <f aca="false">+'CCs # Master'!AR76</f>
        <v>0</v>
      </c>
      <c r="AU201" s="39" t="n">
        <f aca="false">+'CCs # Master'!AS76</f>
        <v>0</v>
      </c>
      <c r="AV201" s="39" t="n">
        <f aca="false">+'CCs # Master'!AT76</f>
        <v>0</v>
      </c>
      <c r="AW201" s="0"/>
      <c r="AX201" s="71" t="n">
        <f aca="false">SUM(N201:AW201)</f>
        <v>106857</v>
      </c>
      <c r="AY201" s="71" t="n">
        <f aca="false">+K201-AX201</f>
        <v>0</v>
      </c>
      <c r="AZ201" s="39"/>
      <c r="BA201" s="39" t="n">
        <f aca="false">+P201+Q201+T201+U201+V201+W201+X201+Y201</f>
        <v>3844</v>
      </c>
      <c r="BB201" s="39" t="n">
        <f aca="false">N201</f>
        <v>31179</v>
      </c>
      <c r="BC201" s="39" t="n">
        <f aca="false">SUM(P201:AW201)</f>
        <v>75678</v>
      </c>
      <c r="BD201" s="39"/>
      <c r="BE201" s="39" t="n">
        <f aca="false">SUM(BB201:BC201)</f>
        <v>106857</v>
      </c>
      <c r="BF201" s="39"/>
      <c r="BG201" s="48" t="n">
        <f aca="false">SUM(N201:AW201)</f>
        <v>106857</v>
      </c>
      <c r="BH201" s="39" t="n">
        <f aca="false">BE201-BG201</f>
        <v>0</v>
      </c>
      <c r="BI201" s="39"/>
      <c r="BJ201" s="39"/>
      <c r="BK201" s="39"/>
      <c r="BL201" s="39"/>
      <c r="BM201" s="39"/>
      <c r="BN201" s="39"/>
      <c r="BO201" s="39"/>
      <c r="BP201" s="39"/>
      <c r="BQ201" s="39"/>
      <c r="BR201" s="39"/>
      <c r="BS201" s="39"/>
      <c r="BT201" s="39"/>
      <c r="BU201" s="39"/>
      <c r="BV201" s="39"/>
      <c r="BW201" s="39"/>
      <c r="BX201" s="39"/>
      <c r="BY201" s="39"/>
      <c r="BZ201" s="39"/>
      <c r="CA201" s="39"/>
      <c r="CB201" s="39"/>
      <c r="CC201" s="39"/>
      <c r="CD201" s="39"/>
      <c r="CE201" s="39"/>
      <c r="CF201" s="39"/>
      <c r="CG201" s="39"/>
      <c r="CH201" s="39"/>
      <c r="CI201" s="39"/>
      <c r="CJ201" s="39"/>
      <c r="CK201" s="39"/>
      <c r="CL201" s="39"/>
      <c r="CM201" s="39"/>
      <c r="CN201" s="39"/>
      <c r="CO201" s="39"/>
      <c r="CP201" s="39"/>
      <c r="CQ201" s="39"/>
      <c r="CR201" s="39"/>
      <c r="CS201" s="39"/>
      <c r="CT201" s="39"/>
      <c r="CU201" s="39"/>
      <c r="CV201" s="39"/>
      <c r="CW201" s="39"/>
      <c r="CX201" s="39"/>
      <c r="CY201" s="39"/>
      <c r="CZ201" s="39"/>
      <c r="DA201" s="39"/>
      <c r="DB201" s="39"/>
      <c r="DC201" s="39"/>
      <c r="DD201" s="39"/>
      <c r="DE201" s="39"/>
      <c r="DF201" s="39"/>
      <c r="DG201" s="39"/>
      <c r="DH201" s="39"/>
      <c r="DI201" s="39"/>
      <c r="DJ201" s="39"/>
      <c r="DK201" s="39"/>
      <c r="DL201" s="39"/>
      <c r="DM201" s="39"/>
      <c r="DN201" s="39"/>
      <c r="DO201" s="39"/>
      <c r="DP201" s="39"/>
      <c r="DQ201" s="39"/>
      <c r="DR201" s="39"/>
      <c r="DS201" s="39"/>
      <c r="DT201" s="39"/>
      <c r="DU201" s="39"/>
      <c r="DV201" s="39"/>
      <c r="DW201" s="39"/>
      <c r="DX201" s="39"/>
      <c r="DY201" s="39"/>
      <c r="DZ201" s="39"/>
      <c r="EA201" s="39"/>
      <c r="EB201" s="39"/>
      <c r="EC201" s="39"/>
      <c r="ED201" s="39"/>
      <c r="EE201" s="39"/>
      <c r="EF201" s="39"/>
      <c r="EG201" s="39"/>
      <c r="EH201" s="39"/>
      <c r="EI201" s="39"/>
      <c r="EJ201" s="39"/>
      <c r="EK201" s="39"/>
      <c r="EL201" s="39"/>
      <c r="EM201" s="39"/>
      <c r="EN201" s="39"/>
      <c r="EO201" s="39"/>
      <c r="EP201" s="39"/>
      <c r="EQ201" s="39"/>
      <c r="ER201" s="39"/>
      <c r="ES201" s="39"/>
      <c r="ET201" s="39"/>
      <c r="EU201" s="39"/>
      <c r="EV201" s="39"/>
      <c r="EW201" s="39"/>
      <c r="EX201" s="39"/>
      <c r="EY201" s="39"/>
      <c r="EZ201" s="39"/>
      <c r="FA201" s="39"/>
      <c r="FB201" s="39"/>
      <c r="FC201" s="39"/>
      <c r="FD201" s="39"/>
      <c r="FE201" s="39"/>
      <c r="FF201" s="39"/>
      <c r="FG201" s="39"/>
      <c r="FH201" s="39"/>
      <c r="FI201" s="39"/>
      <c r="FJ201" s="39"/>
      <c r="FK201" s="39"/>
      <c r="FL201" s="39"/>
      <c r="FM201" s="39"/>
      <c r="FN201" s="39"/>
      <c r="FO201" s="39"/>
      <c r="FP201" s="39"/>
      <c r="FQ201" s="39"/>
      <c r="FR201" s="39"/>
      <c r="FS201" s="39"/>
      <c r="FT201" s="39"/>
      <c r="FU201" s="39"/>
      <c r="FV201" s="39"/>
      <c r="FW201" s="39"/>
      <c r="FX201" s="39"/>
      <c r="FY201" s="39"/>
      <c r="FZ201" s="39"/>
      <c r="GA201" s="39"/>
      <c r="GB201" s="39"/>
      <c r="GC201" s="39"/>
      <c r="GD201" s="39"/>
      <c r="GE201" s="39"/>
      <c r="GF201" s="39"/>
      <c r="GG201" s="39"/>
      <c r="GH201" s="39"/>
      <c r="GI201" s="39"/>
      <c r="GJ201" s="39"/>
      <c r="GK201" s="39"/>
      <c r="GL201" s="39"/>
      <c r="GM201" s="39"/>
      <c r="GN201" s="39"/>
      <c r="GO201" s="39"/>
      <c r="GP201" s="39"/>
      <c r="GQ201" s="39"/>
      <c r="GR201" s="39"/>
      <c r="GS201" s="39"/>
      <c r="GT201" s="39"/>
      <c r="GU201" s="39"/>
      <c r="GV201" s="39"/>
      <c r="GW201" s="39"/>
      <c r="GX201" s="39"/>
      <c r="GY201" s="39"/>
      <c r="GZ201" s="39"/>
      <c r="HA201" s="39"/>
      <c r="HB201" s="39"/>
      <c r="HC201" s="39"/>
      <c r="HD201" s="39"/>
      <c r="HE201" s="39"/>
      <c r="HF201" s="39"/>
      <c r="HG201" s="39"/>
      <c r="HH201" s="39"/>
      <c r="HI201" s="39"/>
      <c r="HJ201" s="39"/>
      <c r="HK201" s="39"/>
      <c r="HL201" s="39"/>
      <c r="HM201" s="39"/>
      <c r="HN201" s="39"/>
      <c r="HO201" s="39"/>
      <c r="HP201" s="39"/>
      <c r="HQ201" s="39"/>
      <c r="HR201" s="39"/>
      <c r="HS201" s="39"/>
      <c r="HT201" s="39"/>
      <c r="HU201" s="39"/>
      <c r="HV201" s="39"/>
      <c r="HW201" s="39"/>
      <c r="HX201" s="39"/>
      <c r="HY201" s="39"/>
      <c r="HZ201" s="39"/>
      <c r="IA201" s="39"/>
      <c r="IB201" s="39"/>
      <c r="IC201" s="39"/>
      <c r="ID201" s="39"/>
      <c r="IE201" s="39"/>
      <c r="IF201" s="39"/>
      <c r="IG201" s="39"/>
      <c r="IH201" s="39"/>
      <c r="II201" s="39"/>
      <c r="IJ201" s="39"/>
      <c r="IK201" s="39"/>
      <c r="IL201" s="39"/>
      <c r="IM201" s="39"/>
      <c r="IN201" s="39"/>
      <c r="IO201" s="39"/>
      <c r="IP201" s="39"/>
      <c r="IQ201" s="39"/>
      <c r="IR201" s="39"/>
      <c r="IS201" s="39"/>
      <c r="IT201" s="39"/>
      <c r="IU201" s="39"/>
      <c r="IV201" s="39"/>
      <c r="IW201" s="39"/>
    </row>
    <row r="202" customFormat="false" ht="12.95" hidden="false" customHeight="true" outlineLevel="0" collapsed="false">
      <c r="A202" s="37" t="str">
        <f aca="false">+'CCs # Master'!A129</f>
        <v>0011</v>
      </c>
      <c r="B202" s="39" t="str">
        <f aca="false">+'CCs # Master'!B129</f>
        <v>Annual Incentive</v>
      </c>
      <c r="C202" s="39" t="str">
        <f aca="false">+'CCs # Master'!C129</f>
        <v>Joyce, Mary</v>
      </c>
      <c r="D202" s="96" t="n">
        <f aca="false">+'CCs # Master'!D129</f>
        <v>100114</v>
      </c>
      <c r="E202" s="39" t="n">
        <f aca="false">+'CCs # Master'!E129</f>
        <v>0</v>
      </c>
      <c r="F202" s="39" t="n">
        <f aca="false">+'CCs # Master'!F129</f>
        <v>0</v>
      </c>
      <c r="G202" s="39" t="n">
        <f aca="false">+'CCs # Master'!G129</f>
        <v>0</v>
      </c>
      <c r="H202" s="39" t="n">
        <f aca="false">+'CCs # Master'!H129</f>
        <v>0</v>
      </c>
      <c r="I202" s="39" t="n">
        <f aca="false">+'CCs # Master'!I129</f>
        <v>0</v>
      </c>
      <c r="J202" s="39" t="n">
        <f aca="false">+'CCs # Master'!J129</f>
        <v>48198</v>
      </c>
      <c r="K202" s="71" t="n">
        <f aca="false">SUM(E202:J202)</f>
        <v>48198</v>
      </c>
      <c r="L202" s="39"/>
      <c r="M202" s="39" t="str">
        <f aca="false">+'CCs # Master'!M129</f>
        <v>Estimated Payments/MMF (Corp Only)</v>
      </c>
      <c r="N202" s="39" t="n">
        <f aca="false">+'CCs # Master'!AW129</f>
        <v>48198</v>
      </c>
      <c r="O202" s="39" t="n">
        <v>0</v>
      </c>
      <c r="P202" s="39" t="n">
        <f aca="false">+'CCs # Master'!N129</f>
        <v>0</v>
      </c>
      <c r="Q202" s="39" t="n">
        <f aca="false">+'CCs # Master'!O129</f>
        <v>0</v>
      </c>
      <c r="R202" s="39" t="n">
        <f aca="false">+'CCs # Master'!P129</f>
        <v>0</v>
      </c>
      <c r="S202" s="39" t="n">
        <f aca="false">+'CCs # Master'!Q129</f>
        <v>0</v>
      </c>
      <c r="T202" s="39" t="n">
        <f aca="false">+'CCs # Master'!R129</f>
        <v>0</v>
      </c>
      <c r="U202" s="39" t="n">
        <f aca="false">+'CCs # Master'!S129</f>
        <v>0</v>
      </c>
      <c r="V202" s="39" t="n">
        <f aca="false">+'CCs # Master'!T129</f>
        <v>0</v>
      </c>
      <c r="W202" s="39" t="n">
        <f aca="false">+'CCs # Master'!U129</f>
        <v>0</v>
      </c>
      <c r="X202" s="39" t="n">
        <f aca="false">+'CCs # Master'!V129</f>
        <v>0</v>
      </c>
      <c r="Y202" s="39" t="n">
        <f aca="false">+'CCs # Master'!W129</f>
        <v>0</v>
      </c>
      <c r="Z202" s="39" t="n">
        <f aca="false">+'CCs # Master'!X129</f>
        <v>0</v>
      </c>
      <c r="AA202" s="39" t="n">
        <f aca="false">+'CCs # Master'!Y129</f>
        <v>0</v>
      </c>
      <c r="AB202" s="39" t="n">
        <f aca="false">+'CCs # Master'!Z129</f>
        <v>0</v>
      </c>
      <c r="AC202" s="39" t="n">
        <f aca="false">+'CCs # Master'!AA129</f>
        <v>0</v>
      </c>
      <c r="AD202" s="39" t="n">
        <f aca="false">+'CCs # Master'!AB129</f>
        <v>0</v>
      </c>
      <c r="AE202" s="39" t="n">
        <f aca="false">+'CCs # Master'!AC129</f>
        <v>0</v>
      </c>
      <c r="AF202" s="39" t="n">
        <f aca="false">+'CCs # Master'!AD129</f>
        <v>0</v>
      </c>
      <c r="AG202" s="39" t="n">
        <f aca="false">+'CCs # Master'!AE129</f>
        <v>0</v>
      </c>
      <c r="AH202" s="39" t="n">
        <f aca="false">+'CCs # Master'!AF129</f>
        <v>0</v>
      </c>
      <c r="AI202" s="39" t="n">
        <f aca="false">+'CCs # Master'!AG129</f>
        <v>0</v>
      </c>
      <c r="AJ202" s="39" t="n">
        <f aca="false">+'CCs # Master'!AH129</f>
        <v>0</v>
      </c>
      <c r="AK202" s="39" t="n">
        <f aca="false">+'CCs # Master'!AI129</f>
        <v>0</v>
      </c>
      <c r="AL202" s="39" t="n">
        <f aca="false">+'CCs # Master'!AJ129</f>
        <v>0</v>
      </c>
      <c r="AM202" s="39" t="n">
        <f aca="false">+'CCs # Master'!AK129</f>
        <v>0</v>
      </c>
      <c r="AN202" s="39" t="n">
        <f aca="false">+'CCs # Master'!AL129</f>
        <v>0</v>
      </c>
      <c r="AO202" s="39" t="n">
        <f aca="false">+'CCs # Master'!AM129</f>
        <v>0</v>
      </c>
      <c r="AP202" s="39" t="n">
        <f aca="false">+'CCs # Master'!AN129</f>
        <v>0</v>
      </c>
      <c r="AQ202" s="39" t="n">
        <f aca="false">+'CCs # Master'!AO129</f>
        <v>0</v>
      </c>
      <c r="AR202" s="39" t="n">
        <f aca="false">+'CCs # Master'!AP129</f>
        <v>0</v>
      </c>
      <c r="AS202" s="39" t="n">
        <f aca="false">+'CCs # Master'!AQ129</f>
        <v>0</v>
      </c>
      <c r="AT202" s="39" t="n">
        <f aca="false">+'CCs # Master'!AR129</f>
        <v>0</v>
      </c>
      <c r="AU202" s="39" t="n">
        <f aca="false">+'CCs # Master'!AS129</f>
        <v>0</v>
      </c>
      <c r="AV202" s="39" t="n">
        <f aca="false">+'CCs # Master'!AT129</f>
        <v>0</v>
      </c>
      <c r="AW202" s="0"/>
      <c r="AX202" s="71" t="n">
        <f aca="false">SUM(N202:AW202)</f>
        <v>48198</v>
      </c>
      <c r="AY202" s="71" t="n">
        <f aca="false">+K202-AX202</f>
        <v>0</v>
      </c>
      <c r="AZ202" s="39"/>
      <c r="BA202" s="39" t="n">
        <f aca="false">+P202+Q202+T202+U202+V202+W202+X202+Y202</f>
        <v>0</v>
      </c>
      <c r="BB202" s="39" t="n">
        <f aca="false">N202</f>
        <v>48198</v>
      </c>
      <c r="BC202" s="39" t="n">
        <f aca="false">SUM(P202:AW202)</f>
        <v>0</v>
      </c>
      <c r="BD202" s="39"/>
      <c r="BE202" s="39" t="n">
        <f aca="false">SUM(BB202:BC202)</f>
        <v>48198</v>
      </c>
      <c r="BF202" s="39"/>
      <c r="BG202" s="48" t="n">
        <f aca="false">SUM(N202:AW202)</f>
        <v>48198</v>
      </c>
      <c r="BH202" s="39" t="n">
        <f aca="false">BE202-BG202</f>
        <v>0</v>
      </c>
      <c r="BI202" s="39"/>
      <c r="BJ202" s="39"/>
      <c r="BK202" s="39"/>
      <c r="BL202" s="39"/>
      <c r="BM202" s="39"/>
      <c r="BN202" s="39"/>
      <c r="BO202" s="39"/>
      <c r="BP202" s="39"/>
      <c r="BQ202" s="39"/>
      <c r="BR202" s="39"/>
      <c r="BS202" s="39"/>
      <c r="BT202" s="39"/>
      <c r="BU202" s="39"/>
      <c r="BV202" s="39"/>
      <c r="BW202" s="39"/>
      <c r="BX202" s="39"/>
      <c r="BY202" s="39"/>
      <c r="BZ202" s="39"/>
      <c r="CA202" s="39"/>
      <c r="CB202" s="39"/>
      <c r="CC202" s="39"/>
      <c r="CD202" s="39"/>
      <c r="CE202" s="39"/>
      <c r="CF202" s="39"/>
      <c r="CG202" s="39"/>
      <c r="CH202" s="39"/>
      <c r="CI202" s="39"/>
      <c r="CJ202" s="39"/>
      <c r="CK202" s="39"/>
      <c r="CL202" s="39"/>
      <c r="CM202" s="39"/>
      <c r="CN202" s="39"/>
      <c r="CO202" s="39"/>
      <c r="CP202" s="39"/>
      <c r="CQ202" s="39"/>
      <c r="CR202" s="39"/>
      <c r="CS202" s="39"/>
      <c r="CT202" s="39"/>
      <c r="CU202" s="39"/>
      <c r="CV202" s="39"/>
      <c r="CW202" s="39"/>
      <c r="CX202" s="39"/>
      <c r="CY202" s="39"/>
      <c r="CZ202" s="39"/>
      <c r="DA202" s="39"/>
      <c r="DB202" s="39"/>
      <c r="DC202" s="39"/>
      <c r="DD202" s="39"/>
      <c r="DE202" s="39"/>
      <c r="DF202" s="39"/>
      <c r="DG202" s="39"/>
      <c r="DH202" s="39"/>
      <c r="DI202" s="39"/>
      <c r="DJ202" s="39"/>
      <c r="DK202" s="39"/>
      <c r="DL202" s="39"/>
      <c r="DM202" s="39"/>
      <c r="DN202" s="39"/>
      <c r="DO202" s="39"/>
      <c r="DP202" s="39"/>
      <c r="DQ202" s="39"/>
      <c r="DR202" s="39"/>
      <c r="DS202" s="39"/>
      <c r="DT202" s="39"/>
      <c r="DU202" s="39"/>
      <c r="DV202" s="39"/>
      <c r="DW202" s="39"/>
      <c r="DX202" s="39"/>
      <c r="DY202" s="39"/>
      <c r="DZ202" s="39"/>
      <c r="EA202" s="39"/>
      <c r="EB202" s="39"/>
      <c r="EC202" s="39"/>
      <c r="ED202" s="39"/>
      <c r="EE202" s="39"/>
      <c r="EF202" s="39"/>
      <c r="EG202" s="39"/>
      <c r="EH202" s="39"/>
      <c r="EI202" s="39"/>
      <c r="EJ202" s="39"/>
      <c r="EK202" s="39"/>
      <c r="EL202" s="39"/>
      <c r="EM202" s="39"/>
      <c r="EN202" s="39"/>
      <c r="EO202" s="39"/>
      <c r="EP202" s="39"/>
      <c r="EQ202" s="39"/>
      <c r="ER202" s="39"/>
      <c r="ES202" s="39"/>
      <c r="ET202" s="39"/>
      <c r="EU202" s="39"/>
      <c r="EV202" s="39"/>
      <c r="EW202" s="39"/>
      <c r="EX202" s="39"/>
      <c r="EY202" s="39"/>
      <c r="EZ202" s="39"/>
      <c r="FA202" s="39"/>
      <c r="FB202" s="39"/>
      <c r="FC202" s="39"/>
      <c r="FD202" s="39"/>
      <c r="FE202" s="39"/>
      <c r="FF202" s="39"/>
      <c r="FG202" s="39"/>
      <c r="FH202" s="39"/>
      <c r="FI202" s="39"/>
      <c r="FJ202" s="39"/>
      <c r="FK202" s="39"/>
      <c r="FL202" s="39"/>
      <c r="FM202" s="39"/>
      <c r="FN202" s="39"/>
      <c r="FO202" s="39"/>
      <c r="FP202" s="39"/>
      <c r="FQ202" s="39"/>
      <c r="FR202" s="39"/>
      <c r="FS202" s="39"/>
      <c r="FT202" s="39"/>
      <c r="FU202" s="39"/>
      <c r="FV202" s="39"/>
      <c r="FW202" s="39"/>
      <c r="FX202" s="39"/>
      <c r="FY202" s="39"/>
      <c r="FZ202" s="39"/>
      <c r="GA202" s="39"/>
      <c r="GB202" s="39"/>
      <c r="GC202" s="39"/>
      <c r="GD202" s="39"/>
      <c r="GE202" s="39"/>
      <c r="GF202" s="39"/>
      <c r="GG202" s="39"/>
      <c r="GH202" s="39"/>
      <c r="GI202" s="39"/>
      <c r="GJ202" s="39"/>
      <c r="GK202" s="39"/>
      <c r="GL202" s="39"/>
      <c r="GM202" s="39"/>
      <c r="GN202" s="39"/>
      <c r="GO202" s="39"/>
      <c r="GP202" s="39"/>
      <c r="GQ202" s="39"/>
      <c r="GR202" s="39"/>
      <c r="GS202" s="39"/>
      <c r="GT202" s="39"/>
      <c r="GU202" s="39"/>
      <c r="GV202" s="39"/>
      <c r="GW202" s="39"/>
      <c r="GX202" s="39"/>
      <c r="GY202" s="39"/>
      <c r="GZ202" s="39"/>
      <c r="HA202" s="39"/>
      <c r="HB202" s="39"/>
      <c r="HC202" s="39"/>
      <c r="HD202" s="39"/>
      <c r="HE202" s="39"/>
      <c r="HF202" s="39"/>
      <c r="HG202" s="39"/>
      <c r="HH202" s="39"/>
      <c r="HI202" s="39"/>
      <c r="HJ202" s="39"/>
      <c r="HK202" s="39"/>
      <c r="HL202" s="39"/>
      <c r="HM202" s="39"/>
      <c r="HN202" s="39"/>
      <c r="HO202" s="39"/>
      <c r="HP202" s="39"/>
      <c r="HQ202" s="39"/>
      <c r="HR202" s="39"/>
      <c r="HS202" s="39"/>
      <c r="HT202" s="39"/>
      <c r="HU202" s="39"/>
      <c r="HV202" s="39"/>
      <c r="HW202" s="39"/>
      <c r="HX202" s="39"/>
      <c r="HY202" s="39"/>
      <c r="HZ202" s="39"/>
      <c r="IA202" s="39"/>
      <c r="IB202" s="39"/>
      <c r="IC202" s="39"/>
      <c r="ID202" s="39"/>
      <c r="IE202" s="39"/>
      <c r="IF202" s="39"/>
      <c r="IG202" s="39"/>
      <c r="IH202" s="39"/>
      <c r="II202" s="39"/>
      <c r="IJ202" s="39"/>
      <c r="IK202" s="39"/>
      <c r="IL202" s="39"/>
      <c r="IM202" s="39"/>
      <c r="IN202" s="39"/>
      <c r="IO202" s="39"/>
      <c r="IP202" s="39"/>
      <c r="IQ202" s="39"/>
      <c r="IR202" s="39"/>
      <c r="IS202" s="39"/>
      <c r="IT202" s="39"/>
      <c r="IU202" s="39"/>
      <c r="IV202" s="39"/>
      <c r="IW202" s="39"/>
    </row>
    <row r="203" customFormat="false" ht="12.95" hidden="false" customHeight="true" outlineLevel="0" collapsed="false">
      <c r="A203" s="37" t="n">
        <f aca="false">+'CCs # Master'!A77</f>
        <v>11</v>
      </c>
      <c r="B203" s="39" t="str">
        <f aca="false">+'CCs # Master'!B77</f>
        <v>Executive Perqs</v>
      </c>
      <c r="C203" s="39" t="str">
        <f aca="false">+'CCs # Master'!C77</f>
        <v>Joyce, Mary</v>
      </c>
      <c r="D203" s="96" t="n">
        <f aca="false">+'CCs # Master'!D77</f>
        <v>100115</v>
      </c>
      <c r="E203" s="39" t="n">
        <f aca="false">+'CCs # Master'!E77</f>
        <v>0</v>
      </c>
      <c r="F203" s="39" t="n">
        <f aca="false">+'CCs # Master'!F77</f>
        <v>0</v>
      </c>
      <c r="G203" s="39" t="n">
        <f aca="false">+'CCs # Master'!G77</f>
        <v>0</v>
      </c>
      <c r="H203" s="39" t="n">
        <f aca="false">+'CCs # Master'!H77</f>
        <v>0</v>
      </c>
      <c r="I203" s="39" t="n">
        <f aca="false">+'CCs # Master'!I77</f>
        <v>0</v>
      </c>
      <c r="J203" s="39" t="n">
        <f aca="false">+'CCs # Master'!J77</f>
        <v>210</v>
      </c>
      <c r="K203" s="71" t="n">
        <f aca="false">SUM(E203:J203)</f>
        <v>210</v>
      </c>
      <c r="L203" s="39"/>
      <c r="M203" s="39" t="str">
        <f aca="false">+'CCs # Master'!M77</f>
        <v>MMF</v>
      </c>
      <c r="N203" s="39" t="n">
        <f aca="false">+'CCs # Master'!AW77</f>
        <v>210</v>
      </c>
      <c r="O203" s="39" t="n">
        <v>0</v>
      </c>
      <c r="P203" s="39" t="n">
        <f aca="false">+'CCs # Master'!N77</f>
        <v>0</v>
      </c>
      <c r="Q203" s="39" t="n">
        <f aca="false">+'CCs # Master'!O77</f>
        <v>0</v>
      </c>
      <c r="R203" s="39" t="n">
        <f aca="false">+'CCs # Master'!P77</f>
        <v>0</v>
      </c>
      <c r="S203" s="39" t="n">
        <f aca="false">+'CCs # Master'!Q77</f>
        <v>0</v>
      </c>
      <c r="T203" s="39" t="n">
        <f aca="false">+'CCs # Master'!R77</f>
        <v>0</v>
      </c>
      <c r="U203" s="39" t="n">
        <f aca="false">+'CCs # Master'!S77</f>
        <v>0</v>
      </c>
      <c r="V203" s="39" t="n">
        <f aca="false">+'CCs # Master'!T77</f>
        <v>0</v>
      </c>
      <c r="W203" s="39" t="n">
        <f aca="false">+'CCs # Master'!U77</f>
        <v>0</v>
      </c>
      <c r="X203" s="39" t="n">
        <f aca="false">+'CCs # Master'!V77</f>
        <v>0</v>
      </c>
      <c r="Y203" s="39" t="n">
        <f aca="false">+'CCs # Master'!W77</f>
        <v>0</v>
      </c>
      <c r="Z203" s="39" t="n">
        <f aca="false">+'CCs # Master'!X77</f>
        <v>0</v>
      </c>
      <c r="AA203" s="39" t="n">
        <f aca="false">+'CCs # Master'!Y77</f>
        <v>0</v>
      </c>
      <c r="AB203" s="39" t="n">
        <f aca="false">+'CCs # Master'!Z77</f>
        <v>0</v>
      </c>
      <c r="AC203" s="39" t="n">
        <f aca="false">+'CCs # Master'!AA77</f>
        <v>0</v>
      </c>
      <c r="AD203" s="39" t="n">
        <f aca="false">+'CCs # Master'!AB77</f>
        <v>0</v>
      </c>
      <c r="AE203" s="39" t="n">
        <f aca="false">+'CCs # Master'!AC77</f>
        <v>0</v>
      </c>
      <c r="AF203" s="39" t="n">
        <f aca="false">+'CCs # Master'!AD77</f>
        <v>0</v>
      </c>
      <c r="AG203" s="39" t="n">
        <f aca="false">+'CCs # Master'!AE77</f>
        <v>0</v>
      </c>
      <c r="AH203" s="39" t="n">
        <f aca="false">+'CCs # Master'!AF77</f>
        <v>0</v>
      </c>
      <c r="AI203" s="39" t="n">
        <f aca="false">+'CCs # Master'!AG77</f>
        <v>0</v>
      </c>
      <c r="AJ203" s="39" t="n">
        <f aca="false">+'CCs # Master'!AH77</f>
        <v>0</v>
      </c>
      <c r="AK203" s="39" t="n">
        <f aca="false">+'CCs # Master'!AI77</f>
        <v>0</v>
      </c>
      <c r="AL203" s="39" t="n">
        <f aca="false">+'CCs # Master'!AJ77</f>
        <v>0</v>
      </c>
      <c r="AM203" s="39" t="n">
        <f aca="false">+'CCs # Master'!AK77</f>
        <v>0</v>
      </c>
      <c r="AN203" s="39" t="n">
        <f aca="false">+'CCs # Master'!AL77</f>
        <v>0</v>
      </c>
      <c r="AO203" s="39" t="n">
        <f aca="false">+'CCs # Master'!AM77</f>
        <v>0</v>
      </c>
      <c r="AP203" s="39" t="n">
        <f aca="false">+'CCs # Master'!AN77</f>
        <v>0</v>
      </c>
      <c r="AQ203" s="39" t="n">
        <f aca="false">+'CCs # Master'!AO77</f>
        <v>0</v>
      </c>
      <c r="AR203" s="39" t="n">
        <f aca="false">+'CCs # Master'!AP77</f>
        <v>0</v>
      </c>
      <c r="AS203" s="39" t="n">
        <f aca="false">+'CCs # Master'!AQ77</f>
        <v>0</v>
      </c>
      <c r="AT203" s="39" t="n">
        <f aca="false">+'CCs # Master'!AR77</f>
        <v>0</v>
      </c>
      <c r="AU203" s="39" t="n">
        <f aca="false">+'CCs # Master'!AS77</f>
        <v>0</v>
      </c>
      <c r="AV203" s="39" t="n">
        <f aca="false">+'CCs # Master'!AT77</f>
        <v>0</v>
      </c>
      <c r="AW203" s="0"/>
      <c r="AX203" s="71" t="n">
        <f aca="false">SUM(N203:AW203)</f>
        <v>210</v>
      </c>
      <c r="AY203" s="71" t="n">
        <f aca="false">+K203-AX203</f>
        <v>0</v>
      </c>
      <c r="AZ203" s="39"/>
      <c r="BA203" s="39" t="n">
        <f aca="false">+P203+Q203+T203+U203+V203+W203+X203+Y203</f>
        <v>0</v>
      </c>
      <c r="BB203" s="39" t="n">
        <f aca="false">N203</f>
        <v>210</v>
      </c>
      <c r="BC203" s="39" t="n">
        <f aca="false">SUM(P203:AW203)</f>
        <v>0</v>
      </c>
      <c r="BD203" s="39"/>
      <c r="BE203" s="39" t="n">
        <f aca="false">SUM(BB203:BC203)</f>
        <v>210</v>
      </c>
      <c r="BF203" s="39"/>
      <c r="BG203" s="48" t="n">
        <f aca="false">SUM(N203:AW203)</f>
        <v>210</v>
      </c>
      <c r="BH203" s="39" t="n">
        <f aca="false">BE203-BG203</f>
        <v>0</v>
      </c>
      <c r="BI203" s="39"/>
      <c r="BJ203" s="39"/>
      <c r="BK203" s="39"/>
      <c r="BL203" s="39"/>
      <c r="BM203" s="39"/>
      <c r="BN203" s="39"/>
      <c r="BO203" s="39"/>
      <c r="BP203" s="39"/>
      <c r="BQ203" s="39"/>
      <c r="BR203" s="39"/>
      <c r="BS203" s="39"/>
      <c r="BT203" s="39"/>
      <c r="BU203" s="39"/>
      <c r="BV203" s="39"/>
      <c r="BW203" s="39"/>
      <c r="BX203" s="39"/>
      <c r="BY203" s="39"/>
      <c r="BZ203" s="39"/>
      <c r="CA203" s="39"/>
      <c r="CB203" s="39"/>
      <c r="CC203" s="39"/>
      <c r="CD203" s="39"/>
      <c r="CE203" s="39"/>
      <c r="CF203" s="39"/>
      <c r="CG203" s="39"/>
      <c r="CH203" s="39"/>
      <c r="CI203" s="39"/>
      <c r="CJ203" s="39"/>
      <c r="CK203" s="39"/>
      <c r="CL203" s="39"/>
      <c r="CM203" s="39"/>
      <c r="CN203" s="39"/>
      <c r="CO203" s="39"/>
      <c r="CP203" s="39"/>
      <c r="CQ203" s="39"/>
      <c r="CR203" s="39"/>
      <c r="CS203" s="39"/>
      <c r="CT203" s="39"/>
      <c r="CU203" s="39"/>
      <c r="CV203" s="39"/>
      <c r="CW203" s="39"/>
      <c r="CX203" s="39"/>
      <c r="CY203" s="39"/>
      <c r="CZ203" s="39"/>
      <c r="DA203" s="39"/>
      <c r="DB203" s="39"/>
      <c r="DC203" s="39"/>
      <c r="DD203" s="39"/>
      <c r="DE203" s="39"/>
      <c r="DF203" s="39"/>
      <c r="DG203" s="39"/>
      <c r="DH203" s="39"/>
      <c r="DI203" s="39"/>
      <c r="DJ203" s="39"/>
      <c r="DK203" s="39"/>
      <c r="DL203" s="39"/>
      <c r="DM203" s="39"/>
      <c r="DN203" s="39"/>
      <c r="DO203" s="39"/>
      <c r="DP203" s="39"/>
      <c r="DQ203" s="39"/>
      <c r="DR203" s="39"/>
      <c r="DS203" s="39"/>
      <c r="DT203" s="39"/>
      <c r="DU203" s="39"/>
      <c r="DV203" s="39"/>
      <c r="DW203" s="39"/>
      <c r="DX203" s="39"/>
      <c r="DY203" s="39"/>
      <c r="DZ203" s="39"/>
      <c r="EA203" s="39"/>
      <c r="EB203" s="39"/>
      <c r="EC203" s="39"/>
      <c r="ED203" s="39"/>
      <c r="EE203" s="39"/>
      <c r="EF203" s="39"/>
      <c r="EG203" s="39"/>
      <c r="EH203" s="39"/>
      <c r="EI203" s="39"/>
      <c r="EJ203" s="39"/>
      <c r="EK203" s="39"/>
      <c r="EL203" s="39"/>
      <c r="EM203" s="39"/>
      <c r="EN203" s="39"/>
      <c r="EO203" s="39"/>
      <c r="EP203" s="39"/>
      <c r="EQ203" s="39"/>
      <c r="ER203" s="39"/>
      <c r="ES203" s="39"/>
      <c r="ET203" s="39"/>
      <c r="EU203" s="39"/>
      <c r="EV203" s="39"/>
      <c r="EW203" s="39"/>
      <c r="EX203" s="39"/>
      <c r="EY203" s="39"/>
      <c r="EZ203" s="39"/>
      <c r="FA203" s="39"/>
      <c r="FB203" s="39"/>
      <c r="FC203" s="39"/>
      <c r="FD203" s="39"/>
      <c r="FE203" s="39"/>
      <c r="FF203" s="39"/>
      <c r="FG203" s="39"/>
      <c r="FH203" s="39"/>
      <c r="FI203" s="39"/>
      <c r="FJ203" s="39"/>
      <c r="FK203" s="39"/>
      <c r="FL203" s="39"/>
      <c r="FM203" s="39"/>
      <c r="FN203" s="39"/>
      <c r="FO203" s="39"/>
      <c r="FP203" s="39"/>
      <c r="FQ203" s="39"/>
      <c r="FR203" s="39"/>
      <c r="FS203" s="39"/>
      <c r="FT203" s="39"/>
      <c r="FU203" s="39"/>
      <c r="FV203" s="39"/>
      <c r="FW203" s="39"/>
      <c r="FX203" s="39"/>
      <c r="FY203" s="39"/>
      <c r="FZ203" s="39"/>
      <c r="GA203" s="39"/>
      <c r="GB203" s="39"/>
      <c r="GC203" s="39"/>
      <c r="GD203" s="39"/>
      <c r="GE203" s="39"/>
      <c r="GF203" s="39"/>
      <c r="GG203" s="39"/>
      <c r="GH203" s="39"/>
      <c r="GI203" s="39"/>
      <c r="GJ203" s="39"/>
      <c r="GK203" s="39"/>
      <c r="GL203" s="39"/>
      <c r="GM203" s="39"/>
      <c r="GN203" s="39"/>
      <c r="GO203" s="39"/>
      <c r="GP203" s="39"/>
      <c r="GQ203" s="39"/>
      <c r="GR203" s="39"/>
      <c r="GS203" s="39"/>
      <c r="GT203" s="39"/>
      <c r="GU203" s="39"/>
      <c r="GV203" s="39"/>
      <c r="GW203" s="39"/>
      <c r="GX203" s="39"/>
      <c r="GY203" s="39"/>
      <c r="GZ203" s="39"/>
      <c r="HA203" s="39"/>
      <c r="HB203" s="39"/>
      <c r="HC203" s="39"/>
      <c r="HD203" s="39"/>
      <c r="HE203" s="39"/>
      <c r="HF203" s="39"/>
      <c r="HG203" s="39"/>
      <c r="HH203" s="39"/>
      <c r="HI203" s="39"/>
      <c r="HJ203" s="39"/>
      <c r="HK203" s="39"/>
      <c r="HL203" s="39"/>
      <c r="HM203" s="39"/>
      <c r="HN203" s="39"/>
      <c r="HO203" s="39"/>
      <c r="HP203" s="39"/>
      <c r="HQ203" s="39"/>
      <c r="HR203" s="39"/>
      <c r="HS203" s="39"/>
      <c r="HT203" s="39"/>
      <c r="HU203" s="39"/>
      <c r="HV203" s="39"/>
      <c r="HW203" s="39"/>
      <c r="HX203" s="39"/>
      <c r="HY203" s="39"/>
      <c r="HZ203" s="39"/>
      <c r="IA203" s="39"/>
      <c r="IB203" s="39"/>
      <c r="IC203" s="39"/>
      <c r="ID203" s="39"/>
      <c r="IE203" s="39"/>
      <c r="IF203" s="39"/>
      <c r="IG203" s="39"/>
      <c r="IH203" s="39"/>
      <c r="II203" s="39"/>
      <c r="IJ203" s="39"/>
      <c r="IK203" s="39"/>
      <c r="IL203" s="39"/>
      <c r="IM203" s="39"/>
      <c r="IN203" s="39"/>
      <c r="IO203" s="39"/>
      <c r="IP203" s="39"/>
      <c r="IQ203" s="39"/>
      <c r="IR203" s="39"/>
      <c r="IS203" s="39"/>
      <c r="IT203" s="39"/>
      <c r="IU203" s="39"/>
      <c r="IV203" s="39"/>
      <c r="IW203" s="39"/>
    </row>
    <row r="204" customFormat="false" ht="12.95" hidden="false" customHeight="true" outlineLevel="0" collapsed="false">
      <c r="A204" s="37" t="n">
        <f aca="false">+'CCs # Master'!A78</f>
        <v>11</v>
      </c>
      <c r="B204" s="39" t="str">
        <f aca="false">+'CCs # Master'!B78</f>
        <v>Employee Performance Award</v>
      </c>
      <c r="C204" s="39" t="str">
        <f aca="false">+'CCs # Master'!C78</f>
        <v>Joyce, Mary</v>
      </c>
      <c r="D204" s="96" t="n">
        <f aca="false">+'CCs # Master'!D78</f>
        <v>100116</v>
      </c>
      <c r="E204" s="39" t="n">
        <f aca="false">+'CCs # Master'!E78</f>
        <v>0</v>
      </c>
      <c r="F204" s="39" t="n">
        <f aca="false">+'CCs # Master'!F78</f>
        <v>0</v>
      </c>
      <c r="G204" s="39" t="n">
        <f aca="false">+'CCs # Master'!G78</f>
        <v>0</v>
      </c>
      <c r="H204" s="39" t="n">
        <f aca="false">+'CCs # Master'!H78</f>
        <v>0</v>
      </c>
      <c r="I204" s="39" t="n">
        <f aca="false">+'CCs # Master'!I78</f>
        <v>0</v>
      </c>
      <c r="J204" s="39" t="n">
        <f aca="false">+'CCs # Master'!J78</f>
        <v>215</v>
      </c>
      <c r="K204" s="71" t="n">
        <f aca="false">SUM(E204:J204)</f>
        <v>215</v>
      </c>
      <c r="L204" s="39"/>
      <c r="M204" s="39" t="str">
        <f aca="false">+'CCs # Master'!M78</f>
        <v>MMF</v>
      </c>
      <c r="N204" s="39" t="n">
        <f aca="false">+'CCs # Master'!AW78</f>
        <v>215</v>
      </c>
      <c r="O204" s="39" t="n">
        <v>0</v>
      </c>
      <c r="P204" s="39" t="n">
        <f aca="false">+'CCs # Master'!N78</f>
        <v>0</v>
      </c>
      <c r="Q204" s="39" t="n">
        <f aca="false">+'CCs # Master'!O78</f>
        <v>0</v>
      </c>
      <c r="R204" s="39" t="n">
        <f aca="false">+'CCs # Master'!P78</f>
        <v>0</v>
      </c>
      <c r="S204" s="39" t="n">
        <f aca="false">+'CCs # Master'!Q78</f>
        <v>0</v>
      </c>
      <c r="T204" s="39" t="n">
        <f aca="false">+'CCs # Master'!R78</f>
        <v>0</v>
      </c>
      <c r="U204" s="39" t="n">
        <f aca="false">+'CCs # Master'!S78</f>
        <v>0</v>
      </c>
      <c r="V204" s="39" t="n">
        <f aca="false">+'CCs # Master'!T78</f>
        <v>0</v>
      </c>
      <c r="W204" s="39" t="n">
        <f aca="false">+'CCs # Master'!U78</f>
        <v>0</v>
      </c>
      <c r="X204" s="39" t="n">
        <f aca="false">+'CCs # Master'!V78</f>
        <v>0</v>
      </c>
      <c r="Y204" s="39" t="n">
        <f aca="false">+'CCs # Master'!W78</f>
        <v>0</v>
      </c>
      <c r="Z204" s="39" t="n">
        <f aca="false">+'CCs # Master'!X78</f>
        <v>0</v>
      </c>
      <c r="AA204" s="39" t="n">
        <f aca="false">+'CCs # Master'!Y78</f>
        <v>0</v>
      </c>
      <c r="AB204" s="39" t="n">
        <f aca="false">+'CCs # Master'!Z78</f>
        <v>0</v>
      </c>
      <c r="AC204" s="39" t="n">
        <f aca="false">+'CCs # Master'!AA78</f>
        <v>0</v>
      </c>
      <c r="AD204" s="39" t="n">
        <f aca="false">+'CCs # Master'!AB78</f>
        <v>0</v>
      </c>
      <c r="AE204" s="39" t="n">
        <f aca="false">+'CCs # Master'!AC78</f>
        <v>0</v>
      </c>
      <c r="AF204" s="39" t="n">
        <f aca="false">+'CCs # Master'!AD78</f>
        <v>0</v>
      </c>
      <c r="AG204" s="39" t="n">
        <f aca="false">+'CCs # Master'!AE78</f>
        <v>0</v>
      </c>
      <c r="AH204" s="39" t="n">
        <f aca="false">+'CCs # Master'!AF78</f>
        <v>0</v>
      </c>
      <c r="AI204" s="39" t="n">
        <f aca="false">+'CCs # Master'!AG78</f>
        <v>0</v>
      </c>
      <c r="AJ204" s="39" t="n">
        <f aca="false">+'CCs # Master'!AH78</f>
        <v>0</v>
      </c>
      <c r="AK204" s="39" t="n">
        <f aca="false">+'CCs # Master'!AI78</f>
        <v>0</v>
      </c>
      <c r="AL204" s="39" t="n">
        <f aca="false">+'CCs # Master'!AJ78</f>
        <v>0</v>
      </c>
      <c r="AM204" s="39" t="n">
        <f aca="false">+'CCs # Master'!AK78</f>
        <v>0</v>
      </c>
      <c r="AN204" s="39" t="n">
        <f aca="false">+'CCs # Master'!AL78</f>
        <v>0</v>
      </c>
      <c r="AO204" s="39" t="n">
        <f aca="false">+'CCs # Master'!AM78</f>
        <v>0</v>
      </c>
      <c r="AP204" s="39" t="n">
        <f aca="false">+'CCs # Master'!AN78</f>
        <v>0</v>
      </c>
      <c r="AQ204" s="39" t="n">
        <f aca="false">+'CCs # Master'!AO78</f>
        <v>0</v>
      </c>
      <c r="AR204" s="39" t="n">
        <f aca="false">+'CCs # Master'!AP78</f>
        <v>0</v>
      </c>
      <c r="AS204" s="39" t="n">
        <f aca="false">+'CCs # Master'!AQ78</f>
        <v>0</v>
      </c>
      <c r="AT204" s="39" t="n">
        <f aca="false">+'CCs # Master'!AR78</f>
        <v>0</v>
      </c>
      <c r="AU204" s="39" t="n">
        <f aca="false">+'CCs # Master'!AS78</f>
        <v>0</v>
      </c>
      <c r="AV204" s="39" t="n">
        <f aca="false">+'CCs # Master'!AT78</f>
        <v>0</v>
      </c>
      <c r="AW204" s="0"/>
      <c r="AX204" s="71" t="n">
        <f aca="false">SUM(N204:AW204)</f>
        <v>215</v>
      </c>
      <c r="AY204" s="71" t="n">
        <f aca="false">+K204-AX204</f>
        <v>0</v>
      </c>
      <c r="AZ204" s="39"/>
      <c r="BA204" s="39" t="n">
        <f aca="false">+P204+Q204+T204+U204+V204+W204+X204+Y204</f>
        <v>0</v>
      </c>
      <c r="BB204" s="39" t="n">
        <f aca="false">N204</f>
        <v>215</v>
      </c>
      <c r="BC204" s="39" t="n">
        <f aca="false">SUM(P204:AW204)</f>
        <v>0</v>
      </c>
      <c r="BD204" s="39"/>
      <c r="BE204" s="39" t="n">
        <f aca="false">SUM(BB204:BC204)</f>
        <v>215</v>
      </c>
      <c r="BF204" s="39"/>
      <c r="BG204" s="48" t="n">
        <f aca="false">SUM(N204:AW204)</f>
        <v>215</v>
      </c>
      <c r="BH204" s="39" t="n">
        <f aca="false">BE204-BG204</f>
        <v>0</v>
      </c>
      <c r="BI204" s="39"/>
      <c r="BJ204" s="39"/>
      <c r="BK204" s="39"/>
      <c r="BL204" s="39"/>
      <c r="BM204" s="39"/>
      <c r="BN204" s="39"/>
      <c r="BO204" s="39"/>
      <c r="BP204" s="39"/>
      <c r="BQ204" s="39"/>
      <c r="BR204" s="39"/>
      <c r="BS204" s="39"/>
      <c r="BT204" s="39"/>
      <c r="BU204" s="39"/>
      <c r="BV204" s="39"/>
      <c r="BW204" s="39"/>
      <c r="BX204" s="39"/>
      <c r="BY204" s="39"/>
      <c r="BZ204" s="39"/>
      <c r="CA204" s="39"/>
      <c r="CB204" s="39"/>
      <c r="CC204" s="39"/>
      <c r="CD204" s="39"/>
      <c r="CE204" s="39"/>
      <c r="CF204" s="39"/>
      <c r="CG204" s="39"/>
      <c r="CH204" s="39"/>
      <c r="CI204" s="39"/>
      <c r="CJ204" s="39"/>
      <c r="CK204" s="39"/>
      <c r="CL204" s="39"/>
      <c r="CM204" s="39"/>
      <c r="CN204" s="39"/>
      <c r="CO204" s="39"/>
      <c r="CP204" s="39"/>
      <c r="CQ204" s="39"/>
      <c r="CR204" s="39"/>
      <c r="CS204" s="39"/>
      <c r="CT204" s="39"/>
      <c r="CU204" s="39"/>
      <c r="CV204" s="39"/>
      <c r="CW204" s="39"/>
      <c r="CX204" s="39"/>
      <c r="CY204" s="39"/>
      <c r="CZ204" s="39"/>
      <c r="DA204" s="39"/>
      <c r="DB204" s="39"/>
      <c r="DC204" s="39"/>
      <c r="DD204" s="39"/>
      <c r="DE204" s="39"/>
      <c r="DF204" s="39"/>
      <c r="DG204" s="39"/>
      <c r="DH204" s="39"/>
      <c r="DI204" s="39"/>
      <c r="DJ204" s="39"/>
      <c r="DK204" s="39"/>
      <c r="DL204" s="39"/>
      <c r="DM204" s="39"/>
      <c r="DN204" s="39"/>
      <c r="DO204" s="39"/>
      <c r="DP204" s="39"/>
      <c r="DQ204" s="39"/>
      <c r="DR204" s="39"/>
      <c r="DS204" s="39"/>
      <c r="DT204" s="39"/>
      <c r="DU204" s="39"/>
      <c r="DV204" s="39"/>
      <c r="DW204" s="39"/>
      <c r="DX204" s="39"/>
      <c r="DY204" s="39"/>
      <c r="DZ204" s="39"/>
      <c r="EA204" s="39"/>
      <c r="EB204" s="39"/>
      <c r="EC204" s="39"/>
      <c r="ED204" s="39"/>
      <c r="EE204" s="39"/>
      <c r="EF204" s="39"/>
      <c r="EG204" s="39"/>
      <c r="EH204" s="39"/>
      <c r="EI204" s="39"/>
      <c r="EJ204" s="39"/>
      <c r="EK204" s="39"/>
      <c r="EL204" s="39"/>
      <c r="EM204" s="39"/>
      <c r="EN204" s="39"/>
      <c r="EO204" s="39"/>
      <c r="EP204" s="39"/>
      <c r="EQ204" s="39"/>
      <c r="ER204" s="39"/>
      <c r="ES204" s="39"/>
      <c r="ET204" s="39"/>
      <c r="EU204" s="39"/>
      <c r="EV204" s="39"/>
      <c r="EW204" s="39"/>
      <c r="EX204" s="39"/>
      <c r="EY204" s="39"/>
      <c r="EZ204" s="39"/>
      <c r="FA204" s="39"/>
      <c r="FB204" s="39"/>
      <c r="FC204" s="39"/>
      <c r="FD204" s="39"/>
      <c r="FE204" s="39"/>
      <c r="FF204" s="39"/>
      <c r="FG204" s="39"/>
      <c r="FH204" s="39"/>
      <c r="FI204" s="39"/>
      <c r="FJ204" s="39"/>
      <c r="FK204" s="39"/>
      <c r="FL204" s="39"/>
      <c r="FM204" s="39"/>
      <c r="FN204" s="39"/>
      <c r="FO204" s="39"/>
      <c r="FP204" s="39"/>
      <c r="FQ204" s="39"/>
      <c r="FR204" s="39"/>
      <c r="FS204" s="39"/>
      <c r="FT204" s="39"/>
      <c r="FU204" s="39"/>
      <c r="FV204" s="39"/>
      <c r="FW204" s="39"/>
      <c r="FX204" s="39"/>
      <c r="FY204" s="39"/>
      <c r="FZ204" s="39"/>
      <c r="GA204" s="39"/>
      <c r="GB204" s="39"/>
      <c r="GC204" s="39"/>
      <c r="GD204" s="39"/>
      <c r="GE204" s="39"/>
      <c r="GF204" s="39"/>
      <c r="GG204" s="39"/>
      <c r="GH204" s="39"/>
      <c r="GI204" s="39"/>
      <c r="GJ204" s="39"/>
      <c r="GK204" s="39"/>
      <c r="GL204" s="39"/>
      <c r="GM204" s="39"/>
      <c r="GN204" s="39"/>
      <c r="GO204" s="39"/>
      <c r="GP204" s="39"/>
      <c r="GQ204" s="39"/>
      <c r="GR204" s="39"/>
      <c r="GS204" s="39"/>
      <c r="GT204" s="39"/>
      <c r="GU204" s="39"/>
      <c r="GV204" s="39"/>
      <c r="GW204" s="39"/>
      <c r="GX204" s="39"/>
      <c r="GY204" s="39"/>
      <c r="GZ204" s="39"/>
      <c r="HA204" s="39"/>
      <c r="HB204" s="39"/>
      <c r="HC204" s="39"/>
      <c r="HD204" s="39"/>
      <c r="HE204" s="39"/>
      <c r="HF204" s="39"/>
      <c r="HG204" s="39"/>
      <c r="HH204" s="39"/>
      <c r="HI204" s="39"/>
      <c r="HJ204" s="39"/>
      <c r="HK204" s="39"/>
      <c r="HL204" s="39"/>
      <c r="HM204" s="39"/>
      <c r="HN204" s="39"/>
      <c r="HO204" s="39"/>
      <c r="HP204" s="39"/>
      <c r="HQ204" s="39"/>
      <c r="HR204" s="39"/>
      <c r="HS204" s="39"/>
      <c r="HT204" s="39"/>
      <c r="HU204" s="39"/>
      <c r="HV204" s="39"/>
      <c r="HW204" s="39"/>
      <c r="HX204" s="39"/>
      <c r="HY204" s="39"/>
      <c r="HZ204" s="39"/>
      <c r="IA204" s="39"/>
      <c r="IB204" s="39"/>
      <c r="IC204" s="39"/>
      <c r="ID204" s="39"/>
      <c r="IE204" s="39"/>
      <c r="IF204" s="39"/>
      <c r="IG204" s="39"/>
      <c r="IH204" s="39"/>
      <c r="II204" s="39"/>
      <c r="IJ204" s="39"/>
      <c r="IK204" s="39"/>
      <c r="IL204" s="39"/>
      <c r="IM204" s="39"/>
      <c r="IN204" s="39"/>
      <c r="IO204" s="39"/>
      <c r="IP204" s="39"/>
      <c r="IQ204" s="39"/>
      <c r="IR204" s="39"/>
      <c r="IS204" s="39"/>
      <c r="IT204" s="39"/>
      <c r="IU204" s="39"/>
      <c r="IV204" s="39"/>
      <c r="IW204" s="39"/>
    </row>
    <row r="205" customFormat="false" ht="12.95" hidden="false" customHeight="true" outlineLevel="0" collapsed="false">
      <c r="A205" s="37" t="n">
        <f aca="false">+'CCs # Master'!A79</f>
        <v>11</v>
      </c>
      <c r="B205" s="39" t="str">
        <f aca="false">+'CCs # Master'!B79</f>
        <v>1994 Deferral Plan</v>
      </c>
      <c r="C205" s="39" t="str">
        <f aca="false">+'CCs # Master'!C79</f>
        <v>Joyce, Mary</v>
      </c>
      <c r="D205" s="96" t="n">
        <f aca="false">+'CCs # Master'!D79</f>
        <v>100117</v>
      </c>
      <c r="E205" s="39" t="n">
        <f aca="false">+'CCs # Master'!E79</f>
        <v>0</v>
      </c>
      <c r="F205" s="39" t="n">
        <f aca="false">+'CCs # Master'!F79</f>
        <v>0</v>
      </c>
      <c r="G205" s="39" t="n">
        <f aca="false">+'CCs # Master'!G79</f>
        <v>0</v>
      </c>
      <c r="H205" s="39" t="n">
        <f aca="false">+'CCs # Master'!H79</f>
        <v>0</v>
      </c>
      <c r="I205" s="39" t="n">
        <f aca="false">+'CCs # Master'!I79</f>
        <v>0</v>
      </c>
      <c r="J205" s="39" t="n">
        <f aca="false">+'CCs # Master'!J79</f>
        <v>5000</v>
      </c>
      <c r="K205" s="71" t="n">
        <f aca="false">SUM(E205:J205)</f>
        <v>5000</v>
      </c>
      <c r="L205" s="39"/>
      <c r="M205" s="39" t="str">
        <f aca="false">+'CCs # Master'!M79</f>
        <v>Retained At Corp</v>
      </c>
      <c r="N205" s="39" t="n">
        <f aca="false">+'CCs # Master'!AW79</f>
        <v>5000</v>
      </c>
      <c r="O205" s="39" t="n">
        <v>0</v>
      </c>
      <c r="P205" s="39" t="n">
        <f aca="false">+'CCs # Master'!N79</f>
        <v>0</v>
      </c>
      <c r="Q205" s="39" t="n">
        <f aca="false">+'CCs # Master'!O79</f>
        <v>0</v>
      </c>
      <c r="R205" s="39" t="n">
        <f aca="false">+'CCs # Master'!P79</f>
        <v>0</v>
      </c>
      <c r="S205" s="39" t="n">
        <f aca="false">+'CCs # Master'!Q79</f>
        <v>0</v>
      </c>
      <c r="T205" s="39" t="n">
        <f aca="false">+'CCs # Master'!R79</f>
        <v>0</v>
      </c>
      <c r="U205" s="39" t="n">
        <f aca="false">+'CCs # Master'!S79</f>
        <v>0</v>
      </c>
      <c r="V205" s="39" t="n">
        <f aca="false">+'CCs # Master'!T79</f>
        <v>0</v>
      </c>
      <c r="W205" s="39" t="n">
        <f aca="false">+'CCs # Master'!U79</f>
        <v>0</v>
      </c>
      <c r="X205" s="39" t="n">
        <f aca="false">+'CCs # Master'!V79</f>
        <v>0</v>
      </c>
      <c r="Y205" s="39" t="n">
        <f aca="false">+'CCs # Master'!W79</f>
        <v>0</v>
      </c>
      <c r="Z205" s="39" t="n">
        <f aca="false">+'CCs # Master'!X79</f>
        <v>0</v>
      </c>
      <c r="AA205" s="39" t="n">
        <f aca="false">+'CCs # Master'!Y79</f>
        <v>0</v>
      </c>
      <c r="AB205" s="39" t="n">
        <f aca="false">+'CCs # Master'!Z79</f>
        <v>0</v>
      </c>
      <c r="AC205" s="39" t="n">
        <f aca="false">+'CCs # Master'!AA79</f>
        <v>0</v>
      </c>
      <c r="AD205" s="39" t="n">
        <f aca="false">+'CCs # Master'!AB79</f>
        <v>0</v>
      </c>
      <c r="AE205" s="39" t="n">
        <f aca="false">+'CCs # Master'!AC79</f>
        <v>0</v>
      </c>
      <c r="AF205" s="39" t="n">
        <f aca="false">+'CCs # Master'!AD79</f>
        <v>0</v>
      </c>
      <c r="AG205" s="39" t="n">
        <f aca="false">+'CCs # Master'!AE79</f>
        <v>0</v>
      </c>
      <c r="AH205" s="39" t="n">
        <f aca="false">+'CCs # Master'!AF79</f>
        <v>0</v>
      </c>
      <c r="AI205" s="39" t="n">
        <f aca="false">+'CCs # Master'!AG79</f>
        <v>0</v>
      </c>
      <c r="AJ205" s="39" t="n">
        <f aca="false">+'CCs # Master'!AH79</f>
        <v>0</v>
      </c>
      <c r="AK205" s="39" t="n">
        <f aca="false">+'CCs # Master'!AI79</f>
        <v>0</v>
      </c>
      <c r="AL205" s="39" t="n">
        <f aca="false">+'CCs # Master'!AJ79</f>
        <v>0</v>
      </c>
      <c r="AM205" s="39" t="n">
        <f aca="false">+'CCs # Master'!AK79</f>
        <v>0</v>
      </c>
      <c r="AN205" s="39" t="n">
        <f aca="false">+'CCs # Master'!AL79</f>
        <v>0</v>
      </c>
      <c r="AO205" s="39" t="n">
        <f aca="false">+'CCs # Master'!AM79</f>
        <v>0</v>
      </c>
      <c r="AP205" s="39" t="n">
        <f aca="false">+'CCs # Master'!AN79</f>
        <v>0</v>
      </c>
      <c r="AQ205" s="39" t="n">
        <f aca="false">+'CCs # Master'!AO79</f>
        <v>0</v>
      </c>
      <c r="AR205" s="39" t="n">
        <f aca="false">+'CCs # Master'!AP79</f>
        <v>0</v>
      </c>
      <c r="AS205" s="39" t="n">
        <f aca="false">+'CCs # Master'!AQ79</f>
        <v>0</v>
      </c>
      <c r="AT205" s="39" t="n">
        <f aca="false">+'CCs # Master'!AR79</f>
        <v>0</v>
      </c>
      <c r="AU205" s="39" t="n">
        <f aca="false">+'CCs # Master'!AS79</f>
        <v>0</v>
      </c>
      <c r="AV205" s="39" t="n">
        <f aca="false">+'CCs # Master'!AT79</f>
        <v>0</v>
      </c>
      <c r="AW205" s="0"/>
      <c r="AX205" s="71" t="n">
        <f aca="false">SUM(N205:AW205)</f>
        <v>5000</v>
      </c>
      <c r="AY205" s="71" t="n">
        <f aca="false">+K205-AX205</f>
        <v>0</v>
      </c>
      <c r="AZ205" s="39"/>
      <c r="BA205" s="39" t="n">
        <f aca="false">+P205+Q205+T205+U205+V205+W205+X205+Y205</f>
        <v>0</v>
      </c>
      <c r="BB205" s="39" t="n">
        <f aca="false">N205</f>
        <v>5000</v>
      </c>
      <c r="BC205" s="39" t="n">
        <f aca="false">SUM(P205:AW205)</f>
        <v>0</v>
      </c>
      <c r="BD205" s="39"/>
      <c r="BE205" s="39" t="n">
        <f aca="false">SUM(BB205:BC205)</f>
        <v>5000</v>
      </c>
      <c r="BF205" s="39"/>
      <c r="BG205" s="48" t="n">
        <f aca="false">SUM(N205:AW205)</f>
        <v>5000</v>
      </c>
      <c r="BH205" s="39" t="n">
        <f aca="false">BE205-BG205</f>
        <v>0</v>
      </c>
      <c r="BI205" s="39"/>
      <c r="BJ205" s="39"/>
      <c r="BK205" s="39"/>
      <c r="BL205" s="39"/>
      <c r="BM205" s="39"/>
      <c r="BN205" s="39"/>
      <c r="BO205" s="39"/>
      <c r="BP205" s="39"/>
      <c r="BQ205" s="39"/>
      <c r="BR205" s="39"/>
      <c r="BS205" s="39"/>
      <c r="BT205" s="39"/>
      <c r="BU205" s="39"/>
      <c r="BV205" s="39"/>
      <c r="BW205" s="39"/>
      <c r="BX205" s="39"/>
      <c r="BY205" s="39"/>
      <c r="BZ205" s="39"/>
      <c r="CA205" s="39"/>
      <c r="CB205" s="39"/>
      <c r="CC205" s="39"/>
      <c r="CD205" s="39"/>
      <c r="CE205" s="39"/>
      <c r="CF205" s="39"/>
      <c r="CG205" s="39"/>
      <c r="CH205" s="39"/>
      <c r="CI205" s="39"/>
      <c r="CJ205" s="39"/>
      <c r="CK205" s="39"/>
      <c r="CL205" s="39"/>
      <c r="CM205" s="39"/>
      <c r="CN205" s="39"/>
      <c r="CO205" s="39"/>
      <c r="CP205" s="39"/>
      <c r="CQ205" s="39"/>
      <c r="CR205" s="39"/>
      <c r="CS205" s="39"/>
      <c r="CT205" s="39"/>
      <c r="CU205" s="39"/>
      <c r="CV205" s="39"/>
      <c r="CW205" s="39"/>
      <c r="CX205" s="39"/>
      <c r="CY205" s="39"/>
      <c r="CZ205" s="39"/>
      <c r="DA205" s="39"/>
      <c r="DB205" s="39"/>
      <c r="DC205" s="39"/>
      <c r="DD205" s="39"/>
      <c r="DE205" s="39"/>
      <c r="DF205" s="39"/>
      <c r="DG205" s="39"/>
      <c r="DH205" s="39"/>
      <c r="DI205" s="39"/>
      <c r="DJ205" s="39"/>
      <c r="DK205" s="39"/>
      <c r="DL205" s="39"/>
      <c r="DM205" s="39"/>
      <c r="DN205" s="39"/>
      <c r="DO205" s="39"/>
      <c r="DP205" s="39"/>
      <c r="DQ205" s="39"/>
      <c r="DR205" s="39"/>
      <c r="DS205" s="39"/>
      <c r="DT205" s="39"/>
      <c r="DU205" s="39"/>
      <c r="DV205" s="39"/>
      <c r="DW205" s="39"/>
      <c r="DX205" s="39"/>
      <c r="DY205" s="39"/>
      <c r="DZ205" s="39"/>
      <c r="EA205" s="39"/>
      <c r="EB205" s="39"/>
      <c r="EC205" s="39"/>
      <c r="ED205" s="39"/>
      <c r="EE205" s="39"/>
      <c r="EF205" s="39"/>
      <c r="EG205" s="39"/>
      <c r="EH205" s="39"/>
      <c r="EI205" s="39"/>
      <c r="EJ205" s="39"/>
      <c r="EK205" s="39"/>
      <c r="EL205" s="39"/>
      <c r="EM205" s="39"/>
      <c r="EN205" s="39"/>
      <c r="EO205" s="39"/>
      <c r="EP205" s="39"/>
      <c r="EQ205" s="39"/>
      <c r="ER205" s="39"/>
      <c r="ES205" s="39"/>
      <c r="ET205" s="39"/>
      <c r="EU205" s="39"/>
      <c r="EV205" s="39"/>
      <c r="EW205" s="39"/>
      <c r="EX205" s="39"/>
      <c r="EY205" s="39"/>
      <c r="EZ205" s="39"/>
      <c r="FA205" s="39"/>
      <c r="FB205" s="39"/>
      <c r="FC205" s="39"/>
      <c r="FD205" s="39"/>
      <c r="FE205" s="39"/>
      <c r="FF205" s="39"/>
      <c r="FG205" s="39"/>
      <c r="FH205" s="39"/>
      <c r="FI205" s="39"/>
      <c r="FJ205" s="39"/>
      <c r="FK205" s="39"/>
      <c r="FL205" s="39"/>
      <c r="FM205" s="39"/>
      <c r="FN205" s="39"/>
      <c r="FO205" s="39"/>
      <c r="FP205" s="39"/>
      <c r="FQ205" s="39"/>
      <c r="FR205" s="39"/>
      <c r="FS205" s="39"/>
      <c r="FT205" s="39"/>
      <c r="FU205" s="39"/>
      <c r="FV205" s="39"/>
      <c r="FW205" s="39"/>
      <c r="FX205" s="39"/>
      <c r="FY205" s="39"/>
      <c r="FZ205" s="39"/>
      <c r="GA205" s="39"/>
      <c r="GB205" s="39"/>
      <c r="GC205" s="39"/>
      <c r="GD205" s="39"/>
      <c r="GE205" s="39"/>
      <c r="GF205" s="39"/>
      <c r="GG205" s="39"/>
      <c r="GH205" s="39"/>
      <c r="GI205" s="39"/>
      <c r="GJ205" s="39"/>
      <c r="GK205" s="39"/>
      <c r="GL205" s="39"/>
      <c r="GM205" s="39"/>
      <c r="GN205" s="39"/>
      <c r="GO205" s="39"/>
      <c r="GP205" s="39"/>
      <c r="GQ205" s="39"/>
      <c r="GR205" s="39"/>
      <c r="GS205" s="39"/>
      <c r="GT205" s="39"/>
      <c r="GU205" s="39"/>
      <c r="GV205" s="39"/>
      <c r="GW205" s="39"/>
      <c r="GX205" s="39"/>
      <c r="GY205" s="39"/>
      <c r="GZ205" s="39"/>
      <c r="HA205" s="39"/>
      <c r="HB205" s="39"/>
      <c r="HC205" s="39"/>
      <c r="HD205" s="39"/>
      <c r="HE205" s="39"/>
      <c r="HF205" s="39"/>
      <c r="HG205" s="39"/>
      <c r="HH205" s="39"/>
      <c r="HI205" s="39"/>
      <c r="HJ205" s="39"/>
      <c r="HK205" s="39"/>
      <c r="HL205" s="39"/>
      <c r="HM205" s="39"/>
      <c r="HN205" s="39"/>
      <c r="HO205" s="39"/>
      <c r="HP205" s="39"/>
      <c r="HQ205" s="39"/>
      <c r="HR205" s="39"/>
      <c r="HS205" s="39"/>
      <c r="HT205" s="39"/>
      <c r="HU205" s="39"/>
      <c r="HV205" s="39"/>
      <c r="HW205" s="39"/>
      <c r="HX205" s="39"/>
      <c r="HY205" s="39"/>
      <c r="HZ205" s="39"/>
      <c r="IA205" s="39"/>
      <c r="IB205" s="39"/>
      <c r="IC205" s="39"/>
      <c r="ID205" s="39"/>
      <c r="IE205" s="39"/>
      <c r="IF205" s="39"/>
      <c r="IG205" s="39"/>
      <c r="IH205" s="39"/>
      <c r="II205" s="39"/>
      <c r="IJ205" s="39"/>
      <c r="IK205" s="39"/>
      <c r="IL205" s="39"/>
      <c r="IM205" s="39"/>
      <c r="IN205" s="39"/>
      <c r="IO205" s="39"/>
      <c r="IP205" s="39"/>
      <c r="IQ205" s="39"/>
      <c r="IR205" s="39"/>
      <c r="IS205" s="39"/>
      <c r="IT205" s="39"/>
      <c r="IU205" s="39"/>
      <c r="IV205" s="39"/>
      <c r="IW205" s="39"/>
    </row>
    <row r="206" customFormat="false" ht="12.95" hidden="false" customHeight="true" outlineLevel="0" collapsed="false">
      <c r="A206" s="37" t="str">
        <f aca="false">+'CCs # Master'!A80</f>
        <v>0011</v>
      </c>
      <c r="B206" s="39" t="str">
        <f aca="false">+'CCs # Master'!B80</f>
        <v>All Employee Stock Option Plan</v>
      </c>
      <c r="C206" s="39" t="str">
        <f aca="false">+'CCs # Master'!C80</f>
        <v>Joyce, Mary</v>
      </c>
      <c r="D206" s="96" t="n">
        <f aca="false">+'CCs # Master'!D80</f>
        <v>100118</v>
      </c>
      <c r="E206" s="39" t="n">
        <f aca="false">+'CCs # Master'!E80</f>
        <v>36258</v>
      </c>
      <c r="F206" s="39" t="n">
        <f aca="false">+'CCs # Master'!F80</f>
        <v>0</v>
      </c>
      <c r="G206" s="39" t="n">
        <f aca="false">+'CCs # Master'!G80</f>
        <v>0</v>
      </c>
      <c r="H206" s="39" t="n">
        <f aca="false">+'CCs # Master'!H80</f>
        <v>0</v>
      </c>
      <c r="I206" s="39" t="n">
        <f aca="false">+'CCs # Master'!I80</f>
        <v>0</v>
      </c>
      <c r="J206" s="39" t="n">
        <f aca="false">+'CCs # Master'!J80</f>
        <v>0</v>
      </c>
      <c r="K206" s="71" t="n">
        <f aca="false">SUM(E206:J206)</f>
        <v>36258</v>
      </c>
      <c r="L206" s="39"/>
      <c r="M206" s="39" t="str">
        <f aca="false">+'CCs # Master'!M80</f>
        <v>5% of est. payroll</v>
      </c>
      <c r="N206" s="39" t="n">
        <f aca="false">+'CCs # Master'!AW80</f>
        <v>3106</v>
      </c>
      <c r="O206" s="39" t="n">
        <v>0</v>
      </c>
      <c r="P206" s="39" t="n">
        <f aca="false">+'CCs # Master'!N80</f>
        <v>583</v>
      </c>
      <c r="Q206" s="39" t="n">
        <f aca="false">+'CCs # Master'!O80</f>
        <v>992</v>
      </c>
      <c r="R206" s="39" t="n">
        <f aca="false">+'CCs # Master'!P80</f>
        <v>2714</v>
      </c>
      <c r="S206" s="39" t="n">
        <f aca="false">+'CCs # Master'!Q80</f>
        <v>0</v>
      </c>
      <c r="T206" s="39" t="n">
        <f aca="false">+'CCs # Master'!R80</f>
        <v>133</v>
      </c>
      <c r="U206" s="39" t="n">
        <f aca="false">+'CCs # Master'!S80</f>
        <v>0</v>
      </c>
      <c r="V206" s="39" t="n">
        <f aca="false">+'CCs # Master'!T80</f>
        <v>668</v>
      </c>
      <c r="W206" s="39" t="n">
        <f aca="false">+'CCs # Master'!U80</f>
        <v>2744</v>
      </c>
      <c r="X206" s="39" t="n">
        <f aca="false">+'CCs # Master'!V80</f>
        <v>760</v>
      </c>
      <c r="Y206" s="39" t="n">
        <f aca="false">+'CCs # Master'!W80</f>
        <v>485</v>
      </c>
      <c r="Z206" s="39" t="n">
        <f aca="false">+'CCs # Master'!X80</f>
        <v>5747</v>
      </c>
      <c r="AA206" s="39" t="n">
        <f aca="false">+'CCs # Master'!Y80</f>
        <v>85</v>
      </c>
      <c r="AB206" s="39" t="n">
        <f aca="false">+'CCs # Master'!Z80</f>
        <v>596</v>
      </c>
      <c r="AC206" s="39" t="n">
        <f aca="false">+'CCs # Master'!AA80</f>
        <v>156</v>
      </c>
      <c r="AD206" s="39" t="n">
        <f aca="false">+'CCs # Master'!AB80</f>
        <v>1094</v>
      </c>
      <c r="AE206" s="39" t="n">
        <f aca="false">+'CCs # Master'!AC80</f>
        <v>229</v>
      </c>
      <c r="AF206" s="39" t="n">
        <f aca="false">+'CCs # Master'!AD80</f>
        <v>4089</v>
      </c>
      <c r="AG206" s="39" t="n">
        <f aca="false">+'CCs # Master'!AE80</f>
        <v>5186</v>
      </c>
      <c r="AH206" s="39" t="n">
        <f aca="false">+'CCs # Master'!AF80</f>
        <v>0</v>
      </c>
      <c r="AI206" s="39" t="n">
        <f aca="false">+'CCs # Master'!AG80</f>
        <v>0</v>
      </c>
      <c r="AJ206" s="39" t="n">
        <f aca="false">+'CCs # Master'!AH80</f>
        <v>524</v>
      </c>
      <c r="AK206" s="39" t="n">
        <f aca="false">+'CCs # Master'!AI80</f>
        <v>374</v>
      </c>
      <c r="AL206" s="39" t="n">
        <f aca="false">+'CCs # Master'!AJ80</f>
        <v>298</v>
      </c>
      <c r="AM206" s="39" t="n">
        <f aca="false">+'CCs # Master'!AK80</f>
        <v>502</v>
      </c>
      <c r="AN206" s="39" t="n">
        <f aca="false">+'CCs # Master'!AL80</f>
        <v>969</v>
      </c>
      <c r="AO206" s="39" t="n">
        <f aca="false">+'CCs # Master'!AM80</f>
        <v>3177</v>
      </c>
      <c r="AP206" s="39" t="n">
        <f aca="false">+'CCs # Master'!AN80</f>
        <v>0</v>
      </c>
      <c r="AQ206" s="39" t="n">
        <f aca="false">+'CCs # Master'!AO80</f>
        <v>680</v>
      </c>
      <c r="AR206" s="39" t="n">
        <f aca="false">+'CCs # Master'!AP80</f>
        <v>367</v>
      </c>
      <c r="AS206" s="39" t="n">
        <f aca="false">+'CCs # Master'!AQ80</f>
        <v>0</v>
      </c>
      <c r="AT206" s="39" t="n">
        <f aca="false">+'CCs # Master'!AR80</f>
        <v>0</v>
      </c>
      <c r="AU206" s="39" t="n">
        <f aca="false">+'CCs # Master'!AS80</f>
        <v>0</v>
      </c>
      <c r="AV206" s="39" t="n">
        <f aca="false">+'CCs # Master'!AT80</f>
        <v>0</v>
      </c>
      <c r="AW206" s="0"/>
      <c r="AX206" s="71" t="n">
        <f aca="false">SUM(N206:AW206)</f>
        <v>36258</v>
      </c>
      <c r="AY206" s="71" t="n">
        <f aca="false">+K206-AX206</f>
        <v>0</v>
      </c>
      <c r="AZ206" s="39"/>
      <c r="BA206" s="39" t="n">
        <f aca="false">+P206+Q206+T206+U206+V206+W206+X206+Y206</f>
        <v>6365</v>
      </c>
      <c r="BB206" s="39" t="n">
        <f aca="false">N206</f>
        <v>3106</v>
      </c>
      <c r="BC206" s="39" t="n">
        <f aca="false">SUM(P206:AW206)</f>
        <v>33152</v>
      </c>
      <c r="BD206" s="39"/>
      <c r="BE206" s="39" t="n">
        <f aca="false">SUM(BB206:BC206)</f>
        <v>36258</v>
      </c>
      <c r="BF206" s="39"/>
      <c r="BG206" s="48" t="n">
        <f aca="false">SUM(N206:AW206)</f>
        <v>36258</v>
      </c>
      <c r="BH206" s="39" t="n">
        <f aca="false">BE206-BG206</f>
        <v>0</v>
      </c>
      <c r="BI206" s="39"/>
      <c r="BJ206" s="39"/>
      <c r="BK206" s="39"/>
      <c r="BL206" s="39"/>
      <c r="BM206" s="39"/>
      <c r="BN206" s="39"/>
      <c r="BO206" s="39"/>
      <c r="BP206" s="39"/>
      <c r="BQ206" s="39"/>
      <c r="BR206" s="39"/>
      <c r="BS206" s="39"/>
      <c r="BT206" s="39"/>
      <c r="BU206" s="39"/>
      <c r="BV206" s="39"/>
      <c r="BW206" s="39"/>
      <c r="BX206" s="39"/>
      <c r="BY206" s="39"/>
      <c r="BZ206" s="39"/>
      <c r="CA206" s="39"/>
      <c r="CB206" s="39"/>
      <c r="CC206" s="39"/>
      <c r="CD206" s="39"/>
      <c r="CE206" s="39"/>
      <c r="CF206" s="39"/>
      <c r="CG206" s="39"/>
      <c r="CH206" s="39"/>
      <c r="CI206" s="39"/>
      <c r="CJ206" s="39"/>
      <c r="CK206" s="39"/>
      <c r="CL206" s="39"/>
      <c r="CM206" s="39"/>
      <c r="CN206" s="39"/>
      <c r="CO206" s="39"/>
      <c r="CP206" s="39"/>
      <c r="CQ206" s="39"/>
      <c r="CR206" s="39"/>
      <c r="CS206" s="39"/>
      <c r="CT206" s="39"/>
      <c r="CU206" s="39"/>
      <c r="CV206" s="39"/>
      <c r="CW206" s="39"/>
      <c r="CX206" s="39"/>
      <c r="CY206" s="39"/>
      <c r="CZ206" s="39"/>
      <c r="DA206" s="39"/>
      <c r="DB206" s="39"/>
      <c r="DC206" s="39"/>
      <c r="DD206" s="39"/>
      <c r="DE206" s="39"/>
      <c r="DF206" s="39"/>
      <c r="DG206" s="39"/>
      <c r="DH206" s="39"/>
      <c r="DI206" s="39"/>
      <c r="DJ206" s="39"/>
      <c r="DK206" s="39"/>
      <c r="DL206" s="39"/>
      <c r="DM206" s="39"/>
      <c r="DN206" s="39"/>
      <c r="DO206" s="39"/>
      <c r="DP206" s="39"/>
      <c r="DQ206" s="39"/>
      <c r="DR206" s="39"/>
      <c r="DS206" s="39"/>
      <c r="DT206" s="39"/>
      <c r="DU206" s="39"/>
      <c r="DV206" s="39"/>
      <c r="DW206" s="39"/>
      <c r="DX206" s="39"/>
      <c r="DY206" s="39"/>
      <c r="DZ206" s="39"/>
      <c r="EA206" s="39"/>
      <c r="EB206" s="39"/>
      <c r="EC206" s="39"/>
      <c r="ED206" s="39"/>
      <c r="EE206" s="39"/>
      <c r="EF206" s="39"/>
      <c r="EG206" s="39"/>
      <c r="EH206" s="39"/>
      <c r="EI206" s="39"/>
      <c r="EJ206" s="39"/>
      <c r="EK206" s="39"/>
      <c r="EL206" s="39"/>
      <c r="EM206" s="39"/>
      <c r="EN206" s="39"/>
      <c r="EO206" s="39"/>
      <c r="EP206" s="39"/>
      <c r="EQ206" s="39"/>
      <c r="ER206" s="39"/>
      <c r="ES206" s="39"/>
      <c r="ET206" s="39"/>
      <c r="EU206" s="39"/>
      <c r="EV206" s="39"/>
      <c r="EW206" s="39"/>
      <c r="EX206" s="39"/>
      <c r="EY206" s="39"/>
      <c r="EZ206" s="39"/>
      <c r="FA206" s="39"/>
      <c r="FB206" s="39"/>
      <c r="FC206" s="39"/>
      <c r="FD206" s="39"/>
      <c r="FE206" s="39"/>
      <c r="FF206" s="39"/>
      <c r="FG206" s="39"/>
      <c r="FH206" s="39"/>
      <c r="FI206" s="39"/>
      <c r="FJ206" s="39"/>
      <c r="FK206" s="39"/>
      <c r="FL206" s="39"/>
      <c r="FM206" s="39"/>
      <c r="FN206" s="39"/>
      <c r="FO206" s="39"/>
      <c r="FP206" s="39"/>
      <c r="FQ206" s="39"/>
      <c r="FR206" s="39"/>
      <c r="FS206" s="39"/>
      <c r="FT206" s="39"/>
      <c r="FU206" s="39"/>
      <c r="FV206" s="39"/>
      <c r="FW206" s="39"/>
      <c r="FX206" s="39"/>
      <c r="FY206" s="39"/>
      <c r="FZ206" s="39"/>
      <c r="GA206" s="39"/>
      <c r="GB206" s="39"/>
      <c r="GC206" s="39"/>
      <c r="GD206" s="39"/>
      <c r="GE206" s="39"/>
      <c r="GF206" s="39"/>
      <c r="GG206" s="39"/>
      <c r="GH206" s="39"/>
      <c r="GI206" s="39"/>
      <c r="GJ206" s="39"/>
      <c r="GK206" s="39"/>
      <c r="GL206" s="39"/>
      <c r="GM206" s="39"/>
      <c r="GN206" s="39"/>
      <c r="GO206" s="39"/>
      <c r="GP206" s="39"/>
      <c r="GQ206" s="39"/>
      <c r="GR206" s="39"/>
      <c r="GS206" s="39"/>
      <c r="GT206" s="39"/>
      <c r="GU206" s="39"/>
      <c r="GV206" s="39"/>
      <c r="GW206" s="39"/>
      <c r="GX206" s="39"/>
      <c r="GY206" s="39"/>
      <c r="GZ206" s="39"/>
      <c r="HA206" s="39"/>
      <c r="HB206" s="39"/>
      <c r="HC206" s="39"/>
      <c r="HD206" s="39"/>
      <c r="HE206" s="39"/>
      <c r="HF206" s="39"/>
      <c r="HG206" s="39"/>
      <c r="HH206" s="39"/>
      <c r="HI206" s="39"/>
      <c r="HJ206" s="39"/>
      <c r="HK206" s="39"/>
      <c r="HL206" s="39"/>
      <c r="HM206" s="39"/>
      <c r="HN206" s="39"/>
      <c r="HO206" s="39"/>
      <c r="HP206" s="39"/>
      <c r="HQ206" s="39"/>
      <c r="HR206" s="39"/>
      <c r="HS206" s="39"/>
      <c r="HT206" s="39"/>
      <c r="HU206" s="39"/>
      <c r="HV206" s="39"/>
      <c r="HW206" s="39"/>
      <c r="HX206" s="39"/>
      <c r="HY206" s="39"/>
      <c r="HZ206" s="39"/>
      <c r="IA206" s="39"/>
      <c r="IB206" s="39"/>
      <c r="IC206" s="39"/>
      <c r="ID206" s="39"/>
      <c r="IE206" s="39"/>
      <c r="IF206" s="39"/>
      <c r="IG206" s="39"/>
      <c r="IH206" s="39"/>
      <c r="II206" s="39"/>
      <c r="IJ206" s="39"/>
      <c r="IK206" s="39"/>
      <c r="IL206" s="39"/>
      <c r="IM206" s="39"/>
      <c r="IN206" s="39"/>
      <c r="IO206" s="39"/>
      <c r="IP206" s="39"/>
      <c r="IQ206" s="39"/>
      <c r="IR206" s="39"/>
      <c r="IS206" s="39"/>
      <c r="IT206" s="39"/>
      <c r="IU206" s="39"/>
      <c r="IV206" s="39"/>
      <c r="IW206" s="39"/>
    </row>
    <row r="207" customFormat="false" ht="12.95" hidden="false" customHeight="true" outlineLevel="0" collapsed="false">
      <c r="A207" s="37" t="n">
        <f aca="false">+'CCs # Master'!A88</f>
        <v>11</v>
      </c>
      <c r="B207" s="39" t="str">
        <f aca="false">+'CCs # Master'!B88</f>
        <v>Executive Supplemental/COLI</v>
      </c>
      <c r="C207" s="39" t="str">
        <f aca="false">+'CCs # Master'!C88</f>
        <v>Joyce, Mary</v>
      </c>
      <c r="D207" s="96" t="n">
        <f aca="false">+'CCs # Master'!D88</f>
        <v>100126</v>
      </c>
      <c r="E207" s="39" t="n">
        <f aca="false">+'CCs # Master'!E88</f>
        <v>0</v>
      </c>
      <c r="F207" s="39" t="n">
        <f aca="false">+'CCs # Master'!F88</f>
        <v>0</v>
      </c>
      <c r="G207" s="39" t="n">
        <f aca="false">+'CCs # Master'!G88</f>
        <v>0</v>
      </c>
      <c r="H207" s="39" t="n">
        <f aca="false">+'CCs # Master'!H88</f>
        <v>0</v>
      </c>
      <c r="I207" s="39" t="n">
        <f aca="false">+'CCs # Master'!I88</f>
        <v>0</v>
      </c>
      <c r="J207" s="39" t="n">
        <f aca="false">+'CCs # Master'!J88</f>
        <v>0</v>
      </c>
      <c r="K207" s="71" t="n">
        <f aca="false">SUM(E207:J207)</f>
        <v>0</v>
      </c>
      <c r="L207" s="39"/>
      <c r="M207" s="39" t="str">
        <f aca="false">+'CCs # Master'!M88</f>
        <v>Retained At Corp</v>
      </c>
      <c r="N207" s="39" t="n">
        <f aca="false">+'CCs # Master'!AW88</f>
        <v>0</v>
      </c>
      <c r="O207" s="39" t="n">
        <v>0</v>
      </c>
      <c r="P207" s="39" t="n">
        <f aca="false">+'CCs # Master'!N88</f>
        <v>0</v>
      </c>
      <c r="Q207" s="39" t="n">
        <f aca="false">+'CCs # Master'!O88</f>
        <v>0</v>
      </c>
      <c r="R207" s="39" t="n">
        <f aca="false">+'CCs # Master'!P88</f>
        <v>0</v>
      </c>
      <c r="S207" s="39" t="n">
        <f aca="false">+'CCs # Master'!Q88</f>
        <v>0</v>
      </c>
      <c r="T207" s="39" t="n">
        <f aca="false">+'CCs # Master'!R88</f>
        <v>0</v>
      </c>
      <c r="U207" s="39" t="n">
        <f aca="false">+'CCs # Master'!S88</f>
        <v>0</v>
      </c>
      <c r="V207" s="39" t="n">
        <f aca="false">+'CCs # Master'!T88</f>
        <v>0</v>
      </c>
      <c r="W207" s="39" t="n">
        <f aca="false">+'CCs # Master'!U88</f>
        <v>0</v>
      </c>
      <c r="X207" s="39" t="n">
        <f aca="false">+'CCs # Master'!V88</f>
        <v>0</v>
      </c>
      <c r="Y207" s="39" t="n">
        <f aca="false">+'CCs # Master'!W88</f>
        <v>0</v>
      </c>
      <c r="Z207" s="39" t="n">
        <f aca="false">+'CCs # Master'!X88</f>
        <v>0</v>
      </c>
      <c r="AA207" s="39" t="n">
        <f aca="false">+'CCs # Master'!Y88</f>
        <v>0</v>
      </c>
      <c r="AB207" s="39" t="n">
        <f aca="false">+'CCs # Master'!Z88</f>
        <v>0</v>
      </c>
      <c r="AC207" s="39" t="n">
        <f aca="false">+'CCs # Master'!AA88</f>
        <v>0</v>
      </c>
      <c r="AD207" s="39" t="n">
        <f aca="false">+'CCs # Master'!AB88</f>
        <v>0</v>
      </c>
      <c r="AE207" s="39" t="n">
        <f aca="false">+'CCs # Master'!AC88</f>
        <v>0</v>
      </c>
      <c r="AF207" s="39" t="n">
        <f aca="false">+'CCs # Master'!AD88</f>
        <v>0</v>
      </c>
      <c r="AG207" s="39" t="n">
        <f aca="false">+'CCs # Master'!AE88</f>
        <v>0</v>
      </c>
      <c r="AH207" s="39" t="n">
        <f aca="false">+'CCs # Master'!AF88</f>
        <v>0</v>
      </c>
      <c r="AI207" s="39" t="n">
        <f aca="false">+'CCs # Master'!AG88</f>
        <v>0</v>
      </c>
      <c r="AJ207" s="39" t="n">
        <f aca="false">+'CCs # Master'!AH88</f>
        <v>0</v>
      </c>
      <c r="AK207" s="39" t="n">
        <f aca="false">+'CCs # Master'!AI88</f>
        <v>0</v>
      </c>
      <c r="AL207" s="39" t="n">
        <f aca="false">+'CCs # Master'!AJ88</f>
        <v>0</v>
      </c>
      <c r="AM207" s="39" t="n">
        <f aca="false">+'CCs # Master'!AK88</f>
        <v>0</v>
      </c>
      <c r="AN207" s="39" t="n">
        <f aca="false">+'CCs # Master'!AL88</f>
        <v>0</v>
      </c>
      <c r="AO207" s="39" t="n">
        <f aca="false">+'CCs # Master'!AM88</f>
        <v>0</v>
      </c>
      <c r="AP207" s="39" t="n">
        <f aca="false">+'CCs # Master'!AN88</f>
        <v>0</v>
      </c>
      <c r="AQ207" s="39" t="n">
        <f aca="false">+'CCs # Master'!AO88</f>
        <v>0</v>
      </c>
      <c r="AR207" s="39" t="n">
        <f aca="false">+'CCs # Master'!AP88</f>
        <v>0</v>
      </c>
      <c r="AS207" s="39" t="n">
        <f aca="false">+'CCs # Master'!AQ88</f>
        <v>0</v>
      </c>
      <c r="AT207" s="39" t="n">
        <f aca="false">+'CCs # Master'!AR88</f>
        <v>0</v>
      </c>
      <c r="AU207" s="39" t="n">
        <f aca="false">+'CCs # Master'!AS88</f>
        <v>0</v>
      </c>
      <c r="AV207" s="39" t="n">
        <f aca="false">+'CCs # Master'!AT88</f>
        <v>0</v>
      </c>
      <c r="AW207" s="0"/>
      <c r="AX207" s="71" t="n">
        <f aca="false">SUM(N207:AW207)</f>
        <v>0</v>
      </c>
      <c r="AY207" s="71" t="n">
        <f aca="false">+K207-AX207</f>
        <v>0</v>
      </c>
      <c r="AZ207" s="39"/>
      <c r="BA207" s="39" t="n">
        <f aca="false">+P207+Q207+T207+U207+V207+W207+X207+Y207</f>
        <v>0</v>
      </c>
      <c r="BB207" s="39" t="n">
        <f aca="false">N207</f>
        <v>0</v>
      </c>
      <c r="BC207" s="97" t="n">
        <f aca="false">SUM(P207:AW207)</f>
        <v>0</v>
      </c>
      <c r="BD207" s="39"/>
      <c r="BE207" s="97" t="n">
        <f aca="false">SUM(BB207:BC207)</f>
        <v>0</v>
      </c>
      <c r="BF207" s="39"/>
      <c r="BG207" s="98" t="n">
        <f aca="false">SUM(N207:AW207)</f>
        <v>0</v>
      </c>
      <c r="BH207" s="39" t="n">
        <f aca="false">BE207-BG207</f>
        <v>0</v>
      </c>
      <c r="BI207" s="39"/>
      <c r="BJ207" s="39"/>
      <c r="BK207" s="39"/>
      <c r="BL207" s="39"/>
      <c r="BM207" s="39"/>
      <c r="BN207" s="39"/>
      <c r="BO207" s="39"/>
      <c r="BP207" s="39"/>
      <c r="BQ207" s="39"/>
      <c r="BR207" s="39"/>
      <c r="BS207" s="39"/>
      <c r="BT207" s="39"/>
      <c r="BU207" s="39"/>
      <c r="BV207" s="39"/>
      <c r="BW207" s="39"/>
      <c r="BX207" s="39"/>
      <c r="BY207" s="39"/>
      <c r="BZ207" s="39"/>
      <c r="CA207" s="39"/>
      <c r="CB207" s="39"/>
      <c r="CC207" s="39"/>
      <c r="CD207" s="39"/>
      <c r="CE207" s="39"/>
      <c r="CF207" s="39"/>
      <c r="CG207" s="39"/>
      <c r="CH207" s="39"/>
      <c r="CI207" s="39"/>
      <c r="CJ207" s="39"/>
      <c r="CK207" s="39"/>
      <c r="CL207" s="39"/>
      <c r="CM207" s="39"/>
      <c r="CN207" s="39"/>
      <c r="CO207" s="39"/>
      <c r="CP207" s="39"/>
      <c r="CQ207" s="39"/>
      <c r="CR207" s="39"/>
      <c r="CS207" s="39"/>
      <c r="CT207" s="39"/>
      <c r="CU207" s="39"/>
      <c r="CV207" s="39"/>
      <c r="CW207" s="39"/>
      <c r="CX207" s="39"/>
      <c r="CY207" s="39"/>
      <c r="CZ207" s="39"/>
      <c r="DA207" s="39"/>
      <c r="DB207" s="39"/>
      <c r="DC207" s="39"/>
      <c r="DD207" s="39"/>
      <c r="DE207" s="39"/>
      <c r="DF207" s="39"/>
      <c r="DG207" s="39"/>
      <c r="DH207" s="39"/>
      <c r="DI207" s="39"/>
      <c r="DJ207" s="39"/>
      <c r="DK207" s="39"/>
      <c r="DL207" s="39"/>
      <c r="DM207" s="39"/>
      <c r="DN207" s="39"/>
      <c r="DO207" s="39"/>
      <c r="DP207" s="39"/>
      <c r="DQ207" s="39"/>
      <c r="DR207" s="39"/>
      <c r="DS207" s="39"/>
      <c r="DT207" s="39"/>
      <c r="DU207" s="39"/>
      <c r="DV207" s="39"/>
      <c r="DW207" s="39"/>
      <c r="DX207" s="39"/>
      <c r="DY207" s="39"/>
      <c r="DZ207" s="39"/>
      <c r="EA207" s="39"/>
      <c r="EB207" s="39"/>
      <c r="EC207" s="39"/>
      <c r="ED207" s="39"/>
      <c r="EE207" s="39"/>
      <c r="EF207" s="39"/>
      <c r="EG207" s="39"/>
      <c r="EH207" s="39"/>
      <c r="EI207" s="39"/>
      <c r="EJ207" s="39"/>
      <c r="EK207" s="39"/>
      <c r="EL207" s="39"/>
      <c r="EM207" s="39"/>
      <c r="EN207" s="39"/>
      <c r="EO207" s="39"/>
      <c r="EP207" s="39"/>
      <c r="EQ207" s="39"/>
      <c r="ER207" s="39"/>
      <c r="ES207" s="39"/>
      <c r="ET207" s="39"/>
      <c r="EU207" s="39"/>
      <c r="EV207" s="39"/>
      <c r="EW207" s="39"/>
      <c r="EX207" s="39"/>
      <c r="EY207" s="39"/>
      <c r="EZ207" s="39"/>
      <c r="FA207" s="39"/>
      <c r="FB207" s="39"/>
      <c r="FC207" s="39"/>
      <c r="FD207" s="39"/>
      <c r="FE207" s="39"/>
      <c r="FF207" s="39"/>
      <c r="FG207" s="39"/>
      <c r="FH207" s="39"/>
      <c r="FI207" s="39"/>
      <c r="FJ207" s="39"/>
      <c r="FK207" s="39"/>
      <c r="FL207" s="39"/>
      <c r="FM207" s="39"/>
      <c r="FN207" s="39"/>
      <c r="FO207" s="39"/>
      <c r="FP207" s="39"/>
      <c r="FQ207" s="39"/>
      <c r="FR207" s="39"/>
      <c r="FS207" s="39"/>
      <c r="FT207" s="39"/>
      <c r="FU207" s="39"/>
      <c r="FV207" s="39"/>
      <c r="FW207" s="39"/>
      <c r="FX207" s="39"/>
      <c r="FY207" s="39"/>
      <c r="FZ207" s="39"/>
      <c r="GA207" s="39"/>
      <c r="GB207" s="39"/>
      <c r="GC207" s="39"/>
      <c r="GD207" s="39"/>
      <c r="GE207" s="39"/>
      <c r="GF207" s="39"/>
      <c r="GG207" s="39"/>
      <c r="GH207" s="39"/>
      <c r="GI207" s="39"/>
      <c r="GJ207" s="39"/>
      <c r="GK207" s="39"/>
      <c r="GL207" s="39"/>
      <c r="GM207" s="39"/>
      <c r="GN207" s="39"/>
      <c r="GO207" s="39"/>
      <c r="GP207" s="39"/>
      <c r="GQ207" s="39"/>
      <c r="GR207" s="39"/>
      <c r="GS207" s="39"/>
      <c r="GT207" s="39"/>
      <c r="GU207" s="39"/>
      <c r="GV207" s="39"/>
      <c r="GW207" s="39"/>
      <c r="GX207" s="39"/>
      <c r="GY207" s="39"/>
      <c r="GZ207" s="39"/>
      <c r="HA207" s="39"/>
      <c r="HB207" s="39"/>
      <c r="HC207" s="39"/>
      <c r="HD207" s="39"/>
      <c r="HE207" s="39"/>
      <c r="HF207" s="39"/>
      <c r="HG207" s="39"/>
      <c r="HH207" s="39"/>
      <c r="HI207" s="39"/>
      <c r="HJ207" s="39"/>
      <c r="HK207" s="39"/>
      <c r="HL207" s="39"/>
      <c r="HM207" s="39"/>
      <c r="HN207" s="39"/>
      <c r="HO207" s="39"/>
      <c r="HP207" s="39"/>
      <c r="HQ207" s="39"/>
      <c r="HR207" s="39"/>
      <c r="HS207" s="39"/>
      <c r="HT207" s="39"/>
      <c r="HU207" s="39"/>
      <c r="HV207" s="39"/>
      <c r="HW207" s="39"/>
      <c r="HX207" s="39"/>
      <c r="HY207" s="39"/>
      <c r="HZ207" s="39"/>
      <c r="IA207" s="39"/>
      <c r="IB207" s="39"/>
      <c r="IC207" s="39"/>
      <c r="ID207" s="39"/>
      <c r="IE207" s="39"/>
      <c r="IF207" s="39"/>
      <c r="IG207" s="39"/>
      <c r="IH207" s="39"/>
      <c r="II207" s="39"/>
      <c r="IJ207" s="39"/>
      <c r="IK207" s="39"/>
      <c r="IL207" s="39"/>
      <c r="IM207" s="39"/>
      <c r="IN207" s="39"/>
      <c r="IO207" s="39"/>
      <c r="IP207" s="39"/>
      <c r="IQ207" s="39"/>
      <c r="IR207" s="39"/>
      <c r="IS207" s="39"/>
      <c r="IT207" s="39"/>
      <c r="IU207" s="39"/>
      <c r="IV207" s="39"/>
      <c r="IW207" s="39"/>
    </row>
    <row r="208" customFormat="false" ht="8.1" hidden="false" customHeight="true" outlineLevel="0" collapsed="false">
      <c r="A208" s="37"/>
      <c r="B208" s="39"/>
      <c r="C208" s="39"/>
      <c r="D208" s="96"/>
      <c r="E208" s="91"/>
      <c r="F208" s="91"/>
      <c r="G208" s="91"/>
      <c r="H208" s="91"/>
      <c r="I208" s="91"/>
      <c r="J208" s="91"/>
      <c r="K208" s="91"/>
      <c r="L208" s="39"/>
      <c r="M208" s="39"/>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91"/>
      <c r="AN208" s="91"/>
      <c r="AO208" s="91"/>
      <c r="AP208" s="91"/>
      <c r="AQ208" s="91"/>
      <c r="AR208" s="91"/>
      <c r="AS208" s="91"/>
      <c r="AT208" s="91"/>
      <c r="AU208" s="91"/>
      <c r="AV208" s="91"/>
      <c r="AW208" s="0"/>
      <c r="AX208" s="91"/>
      <c r="AY208" s="91"/>
      <c r="AZ208" s="39"/>
      <c r="BA208" s="91"/>
      <c r="BB208" s="91"/>
      <c r="BC208" s="39"/>
      <c r="BD208" s="39"/>
      <c r="BE208" s="39"/>
      <c r="BF208" s="39"/>
      <c r="BG208" s="48"/>
      <c r="BH208" s="39"/>
      <c r="BI208" s="39"/>
      <c r="BJ208" s="39"/>
      <c r="BK208" s="39"/>
      <c r="BL208" s="39"/>
      <c r="BM208" s="39"/>
      <c r="BN208" s="39"/>
      <c r="BO208" s="39"/>
      <c r="BP208" s="39"/>
      <c r="BQ208" s="39"/>
      <c r="BR208" s="39"/>
      <c r="BS208" s="39"/>
      <c r="BT208" s="39"/>
      <c r="BU208" s="39"/>
      <c r="BV208" s="39"/>
      <c r="BW208" s="39"/>
      <c r="BX208" s="39"/>
      <c r="BY208" s="39"/>
      <c r="BZ208" s="39"/>
      <c r="CA208" s="39"/>
      <c r="CB208" s="39"/>
      <c r="CC208" s="39"/>
      <c r="CD208" s="39"/>
      <c r="CE208" s="39"/>
      <c r="CF208" s="39"/>
      <c r="CG208" s="39"/>
      <c r="CH208" s="39"/>
      <c r="CI208" s="39"/>
      <c r="CJ208" s="39"/>
      <c r="CK208" s="39"/>
      <c r="CL208" s="39"/>
      <c r="CM208" s="39"/>
      <c r="CN208" s="39"/>
      <c r="CO208" s="39"/>
      <c r="CP208" s="39"/>
      <c r="CQ208" s="39"/>
      <c r="CR208" s="39"/>
      <c r="CS208" s="39"/>
      <c r="CT208" s="39"/>
      <c r="CU208" s="39"/>
      <c r="CV208" s="39"/>
      <c r="CW208" s="39"/>
      <c r="CX208" s="39"/>
      <c r="CY208" s="39"/>
      <c r="CZ208" s="39"/>
      <c r="DA208" s="39"/>
      <c r="DB208" s="39"/>
      <c r="DC208" s="39"/>
      <c r="DD208" s="39"/>
      <c r="DE208" s="39"/>
      <c r="DF208" s="39"/>
      <c r="DG208" s="39"/>
      <c r="DH208" s="39"/>
      <c r="DI208" s="39"/>
      <c r="DJ208" s="39"/>
      <c r="DK208" s="39"/>
      <c r="DL208" s="39"/>
      <c r="DM208" s="39"/>
      <c r="DN208" s="39"/>
      <c r="DO208" s="39"/>
      <c r="DP208" s="39"/>
      <c r="DQ208" s="39"/>
      <c r="DR208" s="39"/>
      <c r="DS208" s="39"/>
      <c r="DT208" s="39"/>
      <c r="DU208" s="39"/>
      <c r="DV208" s="39"/>
      <c r="DW208" s="39"/>
      <c r="DX208" s="39"/>
      <c r="DY208" s="39"/>
      <c r="DZ208" s="39"/>
      <c r="EA208" s="39"/>
      <c r="EB208" s="39"/>
      <c r="EC208" s="39"/>
      <c r="ED208" s="39"/>
      <c r="EE208" s="39"/>
      <c r="EF208" s="39"/>
      <c r="EG208" s="39"/>
      <c r="EH208" s="39"/>
      <c r="EI208" s="39"/>
      <c r="EJ208" s="39"/>
      <c r="EK208" s="39"/>
      <c r="EL208" s="39"/>
      <c r="EM208" s="39"/>
      <c r="EN208" s="39"/>
      <c r="EO208" s="39"/>
      <c r="EP208" s="39"/>
      <c r="EQ208" s="39"/>
      <c r="ER208" s="39"/>
      <c r="ES208" s="39"/>
      <c r="ET208" s="39"/>
      <c r="EU208" s="39"/>
      <c r="EV208" s="39"/>
      <c r="EW208" s="39"/>
      <c r="EX208" s="39"/>
      <c r="EY208" s="39"/>
      <c r="EZ208" s="39"/>
      <c r="FA208" s="39"/>
      <c r="FB208" s="39"/>
      <c r="FC208" s="39"/>
      <c r="FD208" s="39"/>
      <c r="FE208" s="39"/>
      <c r="FF208" s="39"/>
      <c r="FG208" s="39"/>
      <c r="FH208" s="39"/>
      <c r="FI208" s="39"/>
      <c r="FJ208" s="39"/>
      <c r="FK208" s="39"/>
      <c r="FL208" s="39"/>
      <c r="FM208" s="39"/>
      <c r="FN208" s="39"/>
      <c r="FO208" s="39"/>
      <c r="FP208" s="39"/>
      <c r="FQ208" s="39"/>
      <c r="FR208" s="39"/>
      <c r="FS208" s="39"/>
      <c r="FT208" s="39"/>
      <c r="FU208" s="39"/>
      <c r="FV208" s="39"/>
      <c r="FW208" s="39"/>
      <c r="FX208" s="39"/>
      <c r="FY208" s="39"/>
      <c r="FZ208" s="39"/>
      <c r="GA208" s="39"/>
      <c r="GB208" s="39"/>
      <c r="GC208" s="39"/>
      <c r="GD208" s="39"/>
      <c r="GE208" s="39"/>
      <c r="GF208" s="39"/>
      <c r="GG208" s="39"/>
      <c r="GH208" s="39"/>
      <c r="GI208" s="39"/>
      <c r="GJ208" s="39"/>
      <c r="GK208" s="39"/>
      <c r="GL208" s="39"/>
      <c r="GM208" s="39"/>
      <c r="GN208" s="39"/>
      <c r="GO208" s="39"/>
      <c r="GP208" s="39"/>
      <c r="GQ208" s="39"/>
      <c r="GR208" s="39"/>
      <c r="GS208" s="39"/>
      <c r="GT208" s="39"/>
      <c r="GU208" s="39"/>
      <c r="GV208" s="39"/>
      <c r="GW208" s="39"/>
      <c r="GX208" s="39"/>
      <c r="GY208" s="39"/>
      <c r="GZ208" s="39"/>
      <c r="HA208" s="39"/>
      <c r="HB208" s="39"/>
      <c r="HC208" s="39"/>
      <c r="HD208" s="39"/>
      <c r="HE208" s="39"/>
      <c r="HF208" s="39"/>
      <c r="HG208" s="39"/>
      <c r="HH208" s="39"/>
      <c r="HI208" s="39"/>
      <c r="HJ208" s="39"/>
      <c r="HK208" s="39"/>
      <c r="HL208" s="39"/>
      <c r="HM208" s="39"/>
      <c r="HN208" s="39"/>
      <c r="HO208" s="39"/>
      <c r="HP208" s="39"/>
      <c r="HQ208" s="39"/>
      <c r="HR208" s="39"/>
      <c r="HS208" s="39"/>
      <c r="HT208" s="39"/>
      <c r="HU208" s="39"/>
      <c r="HV208" s="39"/>
      <c r="HW208" s="39"/>
      <c r="HX208" s="39"/>
      <c r="HY208" s="39"/>
      <c r="HZ208" s="39"/>
      <c r="IA208" s="39"/>
      <c r="IB208" s="39"/>
      <c r="IC208" s="39"/>
      <c r="ID208" s="39"/>
      <c r="IE208" s="39"/>
      <c r="IF208" s="39"/>
      <c r="IG208" s="39"/>
      <c r="IH208" s="39"/>
      <c r="II208" s="39"/>
      <c r="IJ208" s="39"/>
      <c r="IK208" s="39"/>
      <c r="IL208" s="39"/>
      <c r="IM208" s="39"/>
      <c r="IN208" s="39"/>
      <c r="IO208" s="39"/>
      <c r="IP208" s="39"/>
      <c r="IQ208" s="39"/>
      <c r="IR208" s="39"/>
      <c r="IS208" s="39"/>
      <c r="IT208" s="39"/>
      <c r="IU208" s="39"/>
      <c r="IV208" s="39"/>
      <c r="IW208" s="39"/>
    </row>
    <row r="209" customFormat="false" ht="12.95" hidden="false" customHeight="true" outlineLevel="0" collapsed="false">
      <c r="A209" s="37"/>
      <c r="B209" s="39"/>
      <c r="C209" s="39"/>
      <c r="D209" s="101"/>
      <c r="E209" s="97" t="n">
        <f aca="false">SUM(E196:E208)</f>
        <v>36258</v>
      </c>
      <c r="F209" s="97" t="n">
        <f aca="false">SUM(F196:F208)</f>
        <v>0</v>
      </c>
      <c r="G209" s="97" t="n">
        <f aca="false">SUM(G196:G208)</f>
        <v>0</v>
      </c>
      <c r="H209" s="97" t="n">
        <f aca="false">SUM(H196:H208)</f>
        <v>0</v>
      </c>
      <c r="I209" s="97" t="n">
        <f aca="false">SUM(I196:I208)</f>
        <v>0</v>
      </c>
      <c r="J209" s="97" t="n">
        <f aca="false">SUM(J196:J208)</f>
        <v>263167</v>
      </c>
      <c r="K209" s="97" t="n">
        <f aca="false">SUM(K196:K208)</f>
        <v>299425</v>
      </c>
      <c r="L209" s="39"/>
      <c r="M209" s="39"/>
      <c r="N209" s="97" t="n">
        <f aca="false">SUM(N196:N208)</f>
        <v>125373</v>
      </c>
      <c r="O209" s="97" t="n">
        <f aca="false">SUM(O196:O208)</f>
        <v>0</v>
      </c>
      <c r="P209" s="97" t="n">
        <f aca="false">SUM(P196:P208)</f>
        <v>813</v>
      </c>
      <c r="Q209" s="97" t="n">
        <f aca="false">SUM(Q196:Q208)</f>
        <v>1787</v>
      </c>
      <c r="R209" s="97" t="n">
        <f aca="false">SUM(R196:R208)</f>
        <v>6038</v>
      </c>
      <c r="S209" s="97" t="n">
        <f aca="false">SUM(S196:S208)</f>
        <v>0</v>
      </c>
      <c r="T209" s="97" t="n">
        <f aca="false">SUM(T196:T208)</f>
        <v>408</v>
      </c>
      <c r="U209" s="97" t="n">
        <f aca="false">SUM(U196:U208)</f>
        <v>99</v>
      </c>
      <c r="V209" s="97" t="n">
        <f aca="false">SUM(V196:V208)</f>
        <v>1581</v>
      </c>
      <c r="W209" s="97" t="n">
        <f aca="false">SUM(W196:W208)</f>
        <v>4444</v>
      </c>
      <c r="X209" s="97" t="n">
        <f aca="false">SUM(X196:X208)</f>
        <v>4934</v>
      </c>
      <c r="Y209" s="97" t="n">
        <f aca="false">SUM(Y196:Y208)</f>
        <v>567</v>
      </c>
      <c r="Z209" s="97" t="n">
        <f aca="false">SUM(Z196:Z208)</f>
        <v>30751</v>
      </c>
      <c r="AA209" s="97" t="n">
        <f aca="false">SUM(AA196:AA208)</f>
        <v>85</v>
      </c>
      <c r="AB209" s="97" t="n">
        <f aca="false">SUM(AB196:AB208)</f>
        <v>1017</v>
      </c>
      <c r="AC209" s="97" t="n">
        <f aca="false">SUM(AC196:AC208)</f>
        <v>156</v>
      </c>
      <c r="AD209" s="97" t="n">
        <f aca="false">SUM(AD196:AD208)</f>
        <v>16280</v>
      </c>
      <c r="AE209" s="97" t="n">
        <f aca="false">SUM(AE196:AE208)</f>
        <v>2920</v>
      </c>
      <c r="AF209" s="97" t="n">
        <f aca="false">SUM(AF196:AF208)</f>
        <v>26870</v>
      </c>
      <c r="AG209" s="97" t="n">
        <f aca="false">SUM(AG196:AG208)</f>
        <v>40381</v>
      </c>
      <c r="AH209" s="97" t="n">
        <f aca="false">SUM(AH196:AH208)</f>
        <v>1071</v>
      </c>
      <c r="AI209" s="97" t="n">
        <f aca="false">SUM(AI196:AI208)</f>
        <v>791</v>
      </c>
      <c r="AJ209" s="97" t="n">
        <f aca="false">SUM(AJ196:AJ208)</f>
        <v>3394</v>
      </c>
      <c r="AK209" s="97" t="n">
        <f aca="false">SUM(AK196:AK208)</f>
        <v>7463</v>
      </c>
      <c r="AL209" s="97" t="n">
        <f aca="false">SUM(AL196:AL208)</f>
        <v>3403</v>
      </c>
      <c r="AM209" s="97" t="n">
        <f aca="false">SUM(AM196:AM208)</f>
        <v>2060</v>
      </c>
      <c r="AN209" s="97" t="n">
        <f aca="false">SUM(AN196:AN208)</f>
        <v>2330</v>
      </c>
      <c r="AO209" s="97" t="n">
        <f aca="false">SUM(AO196:AO208)</f>
        <v>4750</v>
      </c>
      <c r="AP209" s="97" t="n">
        <f aca="false">SUM(AP196:AP208)</f>
        <v>0</v>
      </c>
      <c r="AQ209" s="97" t="n">
        <f aca="false">SUM(AQ196:AQ208)</f>
        <v>6691</v>
      </c>
      <c r="AR209" s="97" t="n">
        <f aca="false">SUM(AR196:AR208)</f>
        <v>2968</v>
      </c>
      <c r="AS209" s="97" t="n">
        <f aca="false">SUM(AS196:AS208)</f>
        <v>0</v>
      </c>
      <c r="AT209" s="97" t="n">
        <f aca="false">SUM(AT196:AT208)</f>
        <v>0</v>
      </c>
      <c r="AU209" s="97" t="n">
        <f aca="false">SUM(AU196:AU208)</f>
        <v>0</v>
      </c>
      <c r="AV209" s="97" t="n">
        <f aca="false">SUM(AV196:AV208)</f>
        <v>0</v>
      </c>
      <c r="AW209" s="39"/>
      <c r="AX209" s="97" t="n">
        <f aca="false">SUM(AX196:AX208)</f>
        <v>299425</v>
      </c>
      <c r="AY209" s="97" t="n">
        <f aca="false">SUM(AY196:AY208)</f>
        <v>0</v>
      </c>
      <c r="AZ209" s="39"/>
      <c r="BA209" s="97" t="n">
        <f aca="false">SUM(BA196:BA208)</f>
        <v>14633</v>
      </c>
      <c r="BB209" s="97" t="n">
        <f aca="false">SUM(BB196:BB208)</f>
        <v>125373</v>
      </c>
      <c r="BC209" s="97" t="n">
        <f aca="false">SUM(BC196:BC208)</f>
        <v>174052</v>
      </c>
      <c r="BD209" s="39"/>
      <c r="BE209" s="97" t="n">
        <f aca="false">SUM(BE196:BE208)</f>
        <v>299425</v>
      </c>
      <c r="BF209" s="39"/>
      <c r="BG209" s="97" t="n">
        <f aca="false">SUM(BG151:BG208)</f>
        <v>424939</v>
      </c>
      <c r="BH209" s="39" t="n">
        <f aca="false">SUM(BH196:BH208)</f>
        <v>0</v>
      </c>
      <c r="BI209" s="39"/>
      <c r="BJ209" s="39"/>
      <c r="BK209" s="39"/>
      <c r="BL209" s="39"/>
      <c r="BM209" s="39"/>
      <c r="BN209" s="39"/>
      <c r="BO209" s="39"/>
      <c r="BP209" s="39"/>
      <c r="BQ209" s="39"/>
      <c r="BR209" s="39"/>
      <c r="BS209" s="39"/>
      <c r="BT209" s="39"/>
      <c r="BU209" s="39"/>
      <c r="BV209" s="39"/>
      <c r="BW209" s="39"/>
      <c r="BX209" s="39"/>
      <c r="BY209" s="39"/>
      <c r="BZ209" s="39"/>
      <c r="CA209" s="39"/>
      <c r="CB209" s="39"/>
      <c r="CC209" s="39"/>
      <c r="CD209" s="39"/>
      <c r="CE209" s="39"/>
      <c r="CF209" s="39"/>
      <c r="CG209" s="39"/>
      <c r="CH209" s="39"/>
      <c r="CI209" s="39"/>
      <c r="CJ209" s="39"/>
      <c r="CK209" s="39"/>
      <c r="CL209" s="39"/>
      <c r="CM209" s="39"/>
      <c r="CN209" s="39"/>
      <c r="CO209" s="39"/>
      <c r="CP209" s="39"/>
      <c r="CQ209" s="39"/>
      <c r="CR209" s="39"/>
      <c r="CS209" s="39"/>
      <c r="CT209" s="39"/>
      <c r="CU209" s="39"/>
      <c r="CV209" s="39"/>
      <c r="CW209" s="39"/>
      <c r="CX209" s="39"/>
      <c r="CY209" s="39"/>
      <c r="CZ209" s="39"/>
      <c r="DA209" s="39"/>
      <c r="DB209" s="39"/>
      <c r="DC209" s="39"/>
      <c r="DD209" s="39"/>
      <c r="DE209" s="39"/>
      <c r="DF209" s="39"/>
      <c r="DG209" s="39"/>
      <c r="DH209" s="39"/>
      <c r="DI209" s="39"/>
      <c r="DJ209" s="39"/>
      <c r="DK209" s="39"/>
      <c r="DL209" s="39"/>
      <c r="DM209" s="39"/>
      <c r="DN209" s="39"/>
      <c r="DO209" s="39"/>
      <c r="DP209" s="39"/>
      <c r="DQ209" s="39"/>
      <c r="DR209" s="39"/>
      <c r="DS209" s="39"/>
      <c r="DT209" s="39"/>
      <c r="DU209" s="39"/>
      <c r="DV209" s="39"/>
      <c r="DW209" s="39"/>
      <c r="DX209" s="39"/>
      <c r="DY209" s="39"/>
      <c r="DZ209" s="39"/>
      <c r="EA209" s="39"/>
      <c r="EB209" s="39"/>
      <c r="EC209" s="39"/>
      <c r="ED209" s="39"/>
      <c r="EE209" s="39"/>
      <c r="EF209" s="39"/>
      <c r="EG209" s="39"/>
      <c r="EH209" s="39"/>
      <c r="EI209" s="39"/>
      <c r="EJ209" s="39"/>
      <c r="EK209" s="39"/>
      <c r="EL209" s="39"/>
      <c r="EM209" s="39"/>
      <c r="EN209" s="39"/>
      <c r="EO209" s="39"/>
      <c r="EP209" s="39"/>
      <c r="EQ209" s="39"/>
      <c r="ER209" s="39"/>
      <c r="ES209" s="39"/>
      <c r="ET209" s="39"/>
      <c r="EU209" s="39"/>
      <c r="EV209" s="39"/>
      <c r="EW209" s="39"/>
      <c r="EX209" s="39"/>
      <c r="EY209" s="39"/>
      <c r="EZ209" s="39"/>
      <c r="FA209" s="39"/>
      <c r="FB209" s="39"/>
      <c r="FC209" s="39"/>
      <c r="FD209" s="39"/>
      <c r="FE209" s="39"/>
      <c r="FF209" s="39"/>
      <c r="FG209" s="39"/>
      <c r="FH209" s="39"/>
      <c r="FI209" s="39"/>
      <c r="FJ209" s="39"/>
      <c r="FK209" s="39"/>
      <c r="FL209" s="39"/>
      <c r="FM209" s="39"/>
      <c r="FN209" s="39"/>
      <c r="FO209" s="39"/>
      <c r="FP209" s="39"/>
      <c r="FQ209" s="39"/>
      <c r="FR209" s="39"/>
      <c r="FS209" s="39"/>
      <c r="FT209" s="39"/>
      <c r="FU209" s="39"/>
      <c r="FV209" s="39"/>
      <c r="FW209" s="39"/>
      <c r="FX209" s="39"/>
      <c r="FY209" s="39"/>
      <c r="FZ209" s="39"/>
      <c r="GA209" s="39"/>
      <c r="GB209" s="39"/>
      <c r="GC209" s="39"/>
      <c r="GD209" s="39"/>
      <c r="GE209" s="39"/>
      <c r="GF209" s="39"/>
      <c r="GG209" s="39"/>
      <c r="GH209" s="39"/>
      <c r="GI209" s="39"/>
      <c r="GJ209" s="39"/>
      <c r="GK209" s="39"/>
      <c r="GL209" s="39"/>
      <c r="GM209" s="39"/>
      <c r="GN209" s="39"/>
      <c r="GO209" s="39"/>
      <c r="GP209" s="39"/>
      <c r="GQ209" s="39"/>
      <c r="GR209" s="39"/>
      <c r="GS209" s="39"/>
      <c r="GT209" s="39"/>
      <c r="GU209" s="39"/>
      <c r="GV209" s="39"/>
      <c r="GW209" s="39"/>
      <c r="GX209" s="39"/>
      <c r="GY209" s="39"/>
      <c r="GZ209" s="39"/>
      <c r="HA209" s="39"/>
      <c r="HB209" s="39"/>
      <c r="HC209" s="39"/>
      <c r="HD209" s="39"/>
      <c r="HE209" s="39"/>
      <c r="HF209" s="39"/>
      <c r="HG209" s="39"/>
      <c r="HH209" s="39"/>
      <c r="HI209" s="39"/>
      <c r="HJ209" s="39"/>
      <c r="HK209" s="39"/>
      <c r="HL209" s="39"/>
      <c r="HM209" s="39"/>
      <c r="HN209" s="39"/>
      <c r="HO209" s="39"/>
      <c r="HP209" s="39"/>
      <c r="HQ209" s="39"/>
      <c r="HR209" s="39"/>
      <c r="HS209" s="39"/>
      <c r="HT209" s="39"/>
      <c r="HU209" s="39"/>
      <c r="HV209" s="39"/>
      <c r="HW209" s="39"/>
      <c r="HX209" s="39"/>
      <c r="HY209" s="39"/>
      <c r="HZ209" s="39"/>
      <c r="IA209" s="39"/>
      <c r="IB209" s="39"/>
      <c r="IC209" s="39"/>
      <c r="ID209" s="39"/>
      <c r="IE209" s="39"/>
      <c r="IF209" s="39"/>
      <c r="IG209" s="39"/>
      <c r="IH209" s="39"/>
      <c r="II209" s="39"/>
      <c r="IJ209" s="39"/>
      <c r="IK209" s="39"/>
      <c r="IL209" s="39"/>
      <c r="IM209" s="39"/>
      <c r="IN209" s="39"/>
      <c r="IO209" s="39"/>
      <c r="IP209" s="39"/>
      <c r="IQ209" s="39"/>
      <c r="IR209" s="39"/>
      <c r="IS209" s="39"/>
      <c r="IT209" s="39"/>
      <c r="IU209" s="39"/>
      <c r="IV209" s="39"/>
      <c r="IW209" s="39"/>
    </row>
    <row r="210" customFormat="false" ht="8.1" hidden="false" customHeight="true" outlineLevel="0" collapsed="false">
      <c r="A210" s="37"/>
      <c r="B210" s="39"/>
      <c r="C210" s="39"/>
      <c r="D210" s="96"/>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0"/>
      <c r="AX210" s="71"/>
      <c r="AY210" s="71"/>
      <c r="AZ210" s="39"/>
      <c r="BA210" s="39"/>
      <c r="BB210" s="39"/>
      <c r="BC210" s="39"/>
      <c r="BD210" s="39"/>
      <c r="BE210" s="39"/>
      <c r="BF210" s="39"/>
      <c r="BG210" s="39"/>
      <c r="BH210" s="39"/>
      <c r="BI210" s="39"/>
      <c r="BJ210" s="39"/>
      <c r="BK210" s="39"/>
      <c r="BL210" s="39"/>
      <c r="BM210" s="39"/>
      <c r="BN210" s="39"/>
      <c r="BO210" s="39"/>
      <c r="BP210" s="39"/>
      <c r="BQ210" s="39"/>
      <c r="BR210" s="39"/>
      <c r="BS210" s="39"/>
      <c r="BT210" s="39"/>
      <c r="BU210" s="39"/>
      <c r="BV210" s="39"/>
      <c r="BW210" s="39"/>
      <c r="BX210" s="39"/>
      <c r="BY210" s="39"/>
      <c r="BZ210" s="39"/>
      <c r="CA210" s="39"/>
      <c r="CB210" s="39"/>
      <c r="CC210" s="39"/>
      <c r="CD210" s="39"/>
      <c r="CE210" s="39"/>
      <c r="CF210" s="39"/>
      <c r="CG210" s="39"/>
      <c r="CH210" s="39"/>
      <c r="CI210" s="39"/>
      <c r="CJ210" s="39"/>
      <c r="CK210" s="39"/>
      <c r="CL210" s="39"/>
      <c r="CM210" s="39"/>
      <c r="CN210" s="39"/>
      <c r="CO210" s="39"/>
      <c r="CP210" s="39"/>
      <c r="CQ210" s="39"/>
      <c r="CR210" s="39"/>
      <c r="CS210" s="39"/>
      <c r="CT210" s="39"/>
      <c r="CU210" s="39"/>
      <c r="CV210" s="39"/>
      <c r="CW210" s="39"/>
      <c r="CX210" s="39"/>
      <c r="CY210" s="39"/>
      <c r="CZ210" s="39"/>
      <c r="DA210" s="39"/>
      <c r="DB210" s="39"/>
      <c r="DC210" s="39"/>
      <c r="DD210" s="39"/>
      <c r="DE210" s="39"/>
      <c r="DF210" s="39"/>
      <c r="DG210" s="39"/>
      <c r="DH210" s="39"/>
      <c r="DI210" s="39"/>
      <c r="DJ210" s="39"/>
      <c r="DK210" s="39"/>
      <c r="DL210" s="39"/>
      <c r="DM210" s="39"/>
      <c r="DN210" s="39"/>
      <c r="DO210" s="39"/>
      <c r="DP210" s="39"/>
      <c r="DQ210" s="39"/>
      <c r="DR210" s="39"/>
      <c r="DS210" s="39"/>
      <c r="DT210" s="39"/>
      <c r="DU210" s="39"/>
      <c r="DV210" s="39"/>
      <c r="DW210" s="39"/>
      <c r="DX210" s="39"/>
      <c r="DY210" s="39"/>
      <c r="DZ210" s="39"/>
      <c r="EA210" s="39"/>
      <c r="EB210" s="39"/>
      <c r="EC210" s="39"/>
      <c r="ED210" s="39"/>
      <c r="EE210" s="39"/>
      <c r="EF210" s="39"/>
      <c r="EG210" s="39"/>
      <c r="EH210" s="39"/>
      <c r="EI210" s="39"/>
      <c r="EJ210" s="39"/>
      <c r="EK210" s="39"/>
      <c r="EL210" s="39"/>
      <c r="EM210" s="39"/>
      <c r="EN210" s="39"/>
      <c r="EO210" s="39"/>
      <c r="EP210" s="39"/>
      <c r="EQ210" s="39"/>
      <c r="ER210" s="39"/>
      <c r="ES210" s="39"/>
      <c r="ET210" s="39"/>
      <c r="EU210" s="39"/>
      <c r="EV210" s="39"/>
      <c r="EW210" s="39"/>
      <c r="EX210" s="39"/>
      <c r="EY210" s="39"/>
      <c r="EZ210" s="39"/>
      <c r="FA210" s="39"/>
      <c r="FB210" s="39"/>
      <c r="FC210" s="39"/>
      <c r="FD210" s="39"/>
      <c r="FE210" s="39"/>
      <c r="FF210" s="39"/>
      <c r="FG210" s="39"/>
      <c r="FH210" s="39"/>
      <c r="FI210" s="39"/>
      <c r="FJ210" s="39"/>
      <c r="FK210" s="39"/>
      <c r="FL210" s="39"/>
      <c r="FM210" s="39"/>
      <c r="FN210" s="39"/>
      <c r="FO210" s="39"/>
      <c r="FP210" s="39"/>
      <c r="FQ210" s="39"/>
      <c r="FR210" s="39"/>
      <c r="FS210" s="39"/>
      <c r="FT210" s="39"/>
      <c r="FU210" s="39"/>
      <c r="FV210" s="39"/>
      <c r="FW210" s="39"/>
      <c r="FX210" s="39"/>
      <c r="FY210" s="39"/>
      <c r="FZ210" s="39"/>
      <c r="GA210" s="39"/>
      <c r="GB210" s="39"/>
      <c r="GC210" s="39"/>
      <c r="GD210" s="39"/>
      <c r="GE210" s="39"/>
      <c r="GF210" s="39"/>
      <c r="GG210" s="39"/>
      <c r="GH210" s="39"/>
      <c r="GI210" s="39"/>
      <c r="GJ210" s="39"/>
      <c r="GK210" s="39"/>
      <c r="GL210" s="39"/>
      <c r="GM210" s="39"/>
      <c r="GN210" s="39"/>
      <c r="GO210" s="39"/>
      <c r="GP210" s="39"/>
      <c r="GQ210" s="39"/>
      <c r="GR210" s="39"/>
      <c r="GS210" s="39"/>
      <c r="GT210" s="39"/>
      <c r="GU210" s="39"/>
      <c r="GV210" s="39"/>
      <c r="GW210" s="39"/>
      <c r="GX210" s="39"/>
      <c r="GY210" s="39"/>
      <c r="GZ210" s="39"/>
      <c r="HA210" s="39"/>
      <c r="HB210" s="39"/>
      <c r="HC210" s="39"/>
      <c r="HD210" s="39"/>
      <c r="HE210" s="39"/>
      <c r="HF210" s="39"/>
      <c r="HG210" s="39"/>
      <c r="HH210" s="39"/>
      <c r="HI210" s="39"/>
      <c r="HJ210" s="39"/>
      <c r="HK210" s="39"/>
      <c r="HL210" s="39"/>
      <c r="HM210" s="39"/>
      <c r="HN210" s="39"/>
      <c r="HO210" s="39"/>
      <c r="HP210" s="39"/>
      <c r="HQ210" s="39"/>
      <c r="HR210" s="39"/>
      <c r="HS210" s="39"/>
      <c r="HT210" s="39"/>
      <c r="HU210" s="39"/>
      <c r="HV210" s="39"/>
      <c r="HW210" s="39"/>
      <c r="HX210" s="39"/>
      <c r="HY210" s="39"/>
      <c r="HZ210" s="39"/>
      <c r="IA210" s="39"/>
      <c r="IB210" s="39"/>
      <c r="IC210" s="39"/>
      <c r="ID210" s="39"/>
      <c r="IE210" s="39"/>
      <c r="IF210" s="39"/>
      <c r="IG210" s="39"/>
      <c r="IH210" s="39"/>
      <c r="II210" s="39"/>
      <c r="IJ210" s="39"/>
      <c r="IK210" s="39"/>
      <c r="IL210" s="39"/>
      <c r="IM210" s="39"/>
      <c r="IN210" s="39"/>
      <c r="IO210" s="39"/>
      <c r="IP210" s="39"/>
      <c r="IQ210" s="39"/>
      <c r="IR210" s="39"/>
      <c r="IS210" s="39"/>
      <c r="IT210" s="39"/>
      <c r="IU210" s="39"/>
      <c r="IV210" s="39"/>
      <c r="IW210" s="39"/>
    </row>
    <row r="211" customFormat="false" ht="12.95" hidden="false" customHeight="true" outlineLevel="0" collapsed="false">
      <c r="A211" s="95" t="s">
        <v>428</v>
      </c>
      <c r="B211" s="39"/>
      <c r="C211" s="39"/>
      <c r="D211" s="96"/>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0"/>
      <c r="AX211" s="71"/>
      <c r="AY211" s="71"/>
      <c r="AZ211" s="39"/>
      <c r="BA211" s="39"/>
      <c r="BB211" s="39"/>
      <c r="BC211" s="39"/>
      <c r="BD211" s="39"/>
      <c r="BE211" s="39"/>
      <c r="BF211" s="39"/>
      <c r="BG211" s="48"/>
      <c r="BH211" s="39"/>
      <c r="BI211" s="39"/>
      <c r="BJ211" s="39"/>
      <c r="BK211" s="39"/>
      <c r="BL211" s="39"/>
      <c r="BM211" s="39"/>
      <c r="BN211" s="39"/>
      <c r="BO211" s="39"/>
      <c r="BP211" s="39"/>
      <c r="BQ211" s="39"/>
      <c r="BR211" s="39"/>
      <c r="BS211" s="39"/>
      <c r="BT211" s="39"/>
      <c r="BU211" s="39"/>
      <c r="BV211" s="39"/>
      <c r="BW211" s="39"/>
      <c r="BX211" s="39"/>
      <c r="BY211" s="39"/>
      <c r="BZ211" s="39"/>
      <c r="CA211" s="39"/>
      <c r="CB211" s="39"/>
      <c r="CC211" s="39"/>
      <c r="CD211" s="39"/>
      <c r="CE211" s="39"/>
      <c r="CF211" s="39"/>
      <c r="CG211" s="39"/>
      <c r="CH211" s="39"/>
      <c r="CI211" s="39"/>
      <c r="CJ211" s="39"/>
      <c r="CK211" s="39"/>
      <c r="CL211" s="39"/>
      <c r="CM211" s="39"/>
      <c r="CN211" s="39"/>
      <c r="CO211" s="39"/>
      <c r="CP211" s="39"/>
      <c r="CQ211" s="39"/>
      <c r="CR211" s="39"/>
      <c r="CS211" s="39"/>
      <c r="CT211" s="39"/>
      <c r="CU211" s="39"/>
      <c r="CV211" s="39"/>
      <c r="CW211" s="39"/>
      <c r="CX211" s="39"/>
      <c r="CY211" s="39"/>
      <c r="CZ211" s="39"/>
      <c r="DA211" s="39"/>
      <c r="DB211" s="39"/>
      <c r="DC211" s="39"/>
      <c r="DD211" s="39"/>
      <c r="DE211" s="39"/>
      <c r="DF211" s="39"/>
      <c r="DG211" s="39"/>
      <c r="DH211" s="39"/>
      <c r="DI211" s="39"/>
      <c r="DJ211" s="39"/>
      <c r="DK211" s="39"/>
      <c r="DL211" s="39"/>
      <c r="DM211" s="39"/>
      <c r="DN211" s="39"/>
      <c r="DO211" s="39"/>
      <c r="DP211" s="39"/>
      <c r="DQ211" s="39"/>
      <c r="DR211" s="39"/>
      <c r="DS211" s="39"/>
      <c r="DT211" s="39"/>
      <c r="DU211" s="39"/>
      <c r="DV211" s="39"/>
      <c r="DW211" s="39"/>
      <c r="DX211" s="39"/>
      <c r="DY211" s="39"/>
      <c r="DZ211" s="39"/>
      <c r="EA211" s="39"/>
      <c r="EB211" s="39"/>
      <c r="EC211" s="39"/>
      <c r="ED211" s="39"/>
      <c r="EE211" s="39"/>
      <c r="EF211" s="39"/>
      <c r="EG211" s="39"/>
      <c r="EH211" s="39"/>
      <c r="EI211" s="39"/>
      <c r="EJ211" s="39"/>
      <c r="EK211" s="39"/>
      <c r="EL211" s="39"/>
      <c r="EM211" s="39"/>
      <c r="EN211" s="39"/>
      <c r="EO211" s="39"/>
      <c r="EP211" s="39"/>
      <c r="EQ211" s="39"/>
      <c r="ER211" s="39"/>
      <c r="ES211" s="39"/>
      <c r="ET211" s="39"/>
      <c r="EU211" s="39"/>
      <c r="EV211" s="39"/>
      <c r="EW211" s="39"/>
      <c r="EX211" s="39"/>
      <c r="EY211" s="39"/>
      <c r="EZ211" s="39"/>
      <c r="FA211" s="39"/>
      <c r="FB211" s="39"/>
      <c r="FC211" s="39"/>
      <c r="FD211" s="39"/>
      <c r="FE211" s="39"/>
      <c r="FF211" s="39"/>
      <c r="FG211" s="39"/>
      <c r="FH211" s="39"/>
      <c r="FI211" s="39"/>
      <c r="FJ211" s="39"/>
      <c r="FK211" s="39"/>
      <c r="FL211" s="39"/>
      <c r="FM211" s="39"/>
      <c r="FN211" s="39"/>
      <c r="FO211" s="39"/>
      <c r="FP211" s="39"/>
      <c r="FQ211" s="39"/>
      <c r="FR211" s="39"/>
      <c r="FS211" s="39"/>
      <c r="FT211" s="39"/>
      <c r="FU211" s="39"/>
      <c r="FV211" s="39"/>
      <c r="FW211" s="39"/>
      <c r="FX211" s="39"/>
      <c r="FY211" s="39"/>
      <c r="FZ211" s="39"/>
      <c r="GA211" s="39"/>
      <c r="GB211" s="39"/>
      <c r="GC211" s="39"/>
      <c r="GD211" s="39"/>
      <c r="GE211" s="39"/>
      <c r="GF211" s="39"/>
      <c r="GG211" s="39"/>
      <c r="GH211" s="39"/>
      <c r="GI211" s="39"/>
      <c r="GJ211" s="39"/>
      <c r="GK211" s="39"/>
      <c r="GL211" s="39"/>
      <c r="GM211" s="39"/>
      <c r="GN211" s="39"/>
      <c r="GO211" s="39"/>
      <c r="GP211" s="39"/>
      <c r="GQ211" s="39"/>
      <c r="GR211" s="39"/>
      <c r="GS211" s="39"/>
      <c r="GT211" s="39"/>
      <c r="GU211" s="39"/>
      <c r="GV211" s="39"/>
      <c r="GW211" s="39"/>
      <c r="GX211" s="39"/>
      <c r="GY211" s="39"/>
      <c r="GZ211" s="39"/>
      <c r="HA211" s="39"/>
      <c r="HB211" s="39"/>
      <c r="HC211" s="39"/>
      <c r="HD211" s="39"/>
      <c r="HE211" s="39"/>
      <c r="HF211" s="39"/>
      <c r="HG211" s="39"/>
      <c r="HH211" s="39"/>
      <c r="HI211" s="39"/>
      <c r="HJ211" s="39"/>
      <c r="HK211" s="39"/>
      <c r="HL211" s="39"/>
      <c r="HM211" s="39"/>
      <c r="HN211" s="39"/>
      <c r="HO211" s="39"/>
      <c r="HP211" s="39"/>
      <c r="HQ211" s="39"/>
      <c r="HR211" s="39"/>
      <c r="HS211" s="39"/>
      <c r="HT211" s="39"/>
      <c r="HU211" s="39"/>
      <c r="HV211" s="39"/>
      <c r="HW211" s="39"/>
      <c r="HX211" s="39"/>
      <c r="HY211" s="39"/>
      <c r="HZ211" s="39"/>
      <c r="IA211" s="39"/>
      <c r="IB211" s="39"/>
      <c r="IC211" s="39"/>
      <c r="ID211" s="39"/>
      <c r="IE211" s="39"/>
      <c r="IF211" s="39"/>
      <c r="IG211" s="39"/>
      <c r="IH211" s="39"/>
      <c r="II211" s="39"/>
      <c r="IJ211" s="39"/>
      <c r="IK211" s="39"/>
      <c r="IL211" s="39"/>
      <c r="IM211" s="39"/>
      <c r="IN211" s="39"/>
      <c r="IO211" s="39"/>
      <c r="IP211" s="39"/>
      <c r="IQ211" s="39"/>
      <c r="IR211" s="39"/>
      <c r="IS211" s="39"/>
      <c r="IT211" s="39"/>
      <c r="IU211" s="39"/>
      <c r="IV211" s="39"/>
      <c r="IW211" s="39"/>
    </row>
    <row r="212" customFormat="false" ht="12.95" hidden="false" customHeight="true" outlineLevel="0" collapsed="false">
      <c r="A212" s="37" t="str">
        <f aca="false">+'CCs # Master'!A62</f>
        <v>0011</v>
      </c>
      <c r="B212" s="39" t="str">
        <f aca="false">+'CCs # Master'!B62</f>
        <v>Savings Plan</v>
      </c>
      <c r="C212" s="39" t="str">
        <f aca="false">+'CCs # Master'!C62</f>
        <v>Jones, Robert</v>
      </c>
      <c r="D212" s="96" t="n">
        <f aca="false">+'CCs # Master'!D62</f>
        <v>100083</v>
      </c>
      <c r="E212" s="39" t="n">
        <f aca="false">+'CCs # Master'!E62</f>
        <v>18052</v>
      </c>
      <c r="F212" s="39" t="n">
        <f aca="false">+'CCs # Master'!F62</f>
        <v>0</v>
      </c>
      <c r="G212" s="39" t="n">
        <f aca="false">+'CCs # Master'!G62</f>
        <v>0</v>
      </c>
      <c r="H212" s="39" t="n">
        <f aca="false">+'CCs # Master'!H62</f>
        <v>0</v>
      </c>
      <c r="I212" s="39" t="n">
        <f aca="false">+'CCs # Master'!I62</f>
        <v>0</v>
      </c>
      <c r="J212" s="39" t="n">
        <f aca="false">+'CCs # Master'!J62</f>
        <v>0</v>
      </c>
      <c r="K212" s="71" t="n">
        <f aca="false">SUM(E212:J212)</f>
        <v>18052</v>
      </c>
      <c r="L212" s="39"/>
      <c r="M212" s="39" t="str">
        <f aca="false">+'CCs # Master'!M62</f>
        <v>Included in benefits rate</v>
      </c>
      <c r="N212" s="39" t="n">
        <f aca="false">+'CCs # Master'!AW62</f>
        <v>1491</v>
      </c>
      <c r="O212" s="39" t="n">
        <v>0</v>
      </c>
      <c r="P212" s="39" t="n">
        <f aca="false">+'CCs # Master'!N62</f>
        <v>280</v>
      </c>
      <c r="Q212" s="39" t="n">
        <f aca="false">+'CCs # Master'!O62</f>
        <v>476</v>
      </c>
      <c r="R212" s="39" t="n">
        <f aca="false">+'CCs # Master'!P62</f>
        <v>1302</v>
      </c>
      <c r="S212" s="39" t="n">
        <f aca="false">+'CCs # Master'!Q62</f>
        <v>0</v>
      </c>
      <c r="T212" s="39" t="n">
        <f aca="false">+'CCs # Master'!R62</f>
        <v>64</v>
      </c>
      <c r="U212" s="39" t="n">
        <f aca="false">+'CCs # Master'!S62</f>
        <v>909</v>
      </c>
      <c r="V212" s="39" t="n">
        <f aca="false">+'CCs # Master'!T62</f>
        <v>320</v>
      </c>
      <c r="W212" s="39" t="n">
        <f aca="false">+'CCs # Master'!U62</f>
        <v>1317</v>
      </c>
      <c r="X212" s="39" t="n">
        <f aca="false">+'CCs # Master'!V62</f>
        <v>598</v>
      </c>
      <c r="Y212" s="39" t="n">
        <f aca="false">+'CCs # Master'!W62</f>
        <v>0</v>
      </c>
      <c r="Z212" s="39" t="n">
        <f aca="false">+'CCs # Master'!X62</f>
        <v>3261</v>
      </c>
      <c r="AA212" s="39" t="n">
        <f aca="false">+'CCs # Master'!Y62</f>
        <v>41</v>
      </c>
      <c r="AB212" s="39" t="n">
        <f aca="false">+'CCs # Master'!Z62</f>
        <v>286</v>
      </c>
      <c r="AC212" s="39" t="n">
        <f aca="false">+'CCs # Master'!AA62</f>
        <v>75</v>
      </c>
      <c r="AD212" s="39" t="n">
        <f aca="false">+'CCs # Master'!AB62</f>
        <v>73</v>
      </c>
      <c r="AE212" s="39" t="n">
        <f aca="false">+'CCs # Master'!AC62</f>
        <v>110</v>
      </c>
      <c r="AF212" s="39" t="n">
        <f aca="false">+'CCs # Master'!AD62</f>
        <v>1963</v>
      </c>
      <c r="AG212" s="39" t="n">
        <f aca="false">+'CCs # Master'!AE62</f>
        <v>2489</v>
      </c>
      <c r="AH212" s="39" t="n">
        <f aca="false">+'CCs # Master'!AF62</f>
        <v>0</v>
      </c>
      <c r="AI212" s="39" t="n">
        <f aca="false">+'CCs # Master'!AG62</f>
        <v>192</v>
      </c>
      <c r="AJ212" s="39" t="n">
        <f aca="false">+'CCs # Master'!AH62</f>
        <v>252</v>
      </c>
      <c r="AK212" s="39" t="n">
        <f aca="false">+'CCs # Master'!AI62</f>
        <v>179</v>
      </c>
      <c r="AL212" s="39" t="n">
        <f aca="false">+'CCs # Master'!AJ62</f>
        <v>143</v>
      </c>
      <c r="AM212" s="39" t="n">
        <f aca="false">+'CCs # Master'!AK62</f>
        <v>241</v>
      </c>
      <c r="AN212" s="39" t="n">
        <f aca="false">+'CCs # Master'!AL62</f>
        <v>465</v>
      </c>
      <c r="AO212" s="39" t="n">
        <f aca="false">+'CCs # Master'!AM62</f>
        <v>1525</v>
      </c>
      <c r="AP212" s="39" t="n">
        <f aca="false">+'CCs # Master'!AN62</f>
        <v>0</v>
      </c>
      <c r="AQ212" s="39" t="n">
        <f aca="false">+'CCs # Master'!AO62</f>
        <v>0</v>
      </c>
      <c r="AR212" s="39" t="n">
        <f aca="false">+'CCs # Master'!AP62</f>
        <v>0</v>
      </c>
      <c r="AS212" s="39" t="n">
        <f aca="false">+'CCs # Master'!AQ62</f>
        <v>0</v>
      </c>
      <c r="AT212" s="39" t="n">
        <f aca="false">+'CCs # Master'!AR62</f>
        <v>0</v>
      </c>
      <c r="AU212" s="39" t="n">
        <f aca="false">+'CCs # Master'!AS62</f>
        <v>0</v>
      </c>
      <c r="AV212" s="39" t="n">
        <f aca="false">+'CCs # Master'!AT62</f>
        <v>0</v>
      </c>
      <c r="AW212" s="0"/>
      <c r="AX212" s="71" t="n">
        <f aca="false">SUM(N212:AW212)</f>
        <v>18052</v>
      </c>
      <c r="AY212" s="71" t="n">
        <f aca="false">+K212-AX212</f>
        <v>0</v>
      </c>
      <c r="AZ212" s="39"/>
      <c r="BA212" s="39" t="n">
        <f aca="false">+P212+Q212+T212+U212+V212+W212+X212+Y212</f>
        <v>3964</v>
      </c>
      <c r="BB212" s="39" t="n">
        <f aca="false">N212</f>
        <v>1491</v>
      </c>
      <c r="BC212" s="39" t="n">
        <f aca="false">SUM(P212:AW212)</f>
        <v>16561</v>
      </c>
      <c r="BD212" s="39"/>
      <c r="BE212" s="39" t="n">
        <f aca="false">SUM(BB212:BC212)</f>
        <v>18052</v>
      </c>
      <c r="BF212" s="39"/>
      <c r="BG212" s="48" t="n">
        <f aca="false">SUM(N212:AW212)</f>
        <v>18052</v>
      </c>
      <c r="BH212" s="39" t="n">
        <f aca="false">BE212-BG212</f>
        <v>0</v>
      </c>
      <c r="BI212" s="39"/>
      <c r="BJ212" s="39"/>
      <c r="BK212" s="39"/>
      <c r="BL212" s="39"/>
      <c r="BM212" s="39"/>
      <c r="BN212" s="39"/>
      <c r="BO212" s="39"/>
      <c r="BP212" s="39"/>
      <c r="BQ212" s="39"/>
      <c r="BR212" s="39"/>
      <c r="BS212" s="39"/>
      <c r="BT212" s="39"/>
      <c r="BU212" s="39"/>
      <c r="BV212" s="39"/>
      <c r="BW212" s="39"/>
      <c r="BX212" s="39"/>
      <c r="BY212" s="39"/>
      <c r="BZ212" s="39"/>
      <c r="CA212" s="39"/>
      <c r="CB212" s="39"/>
      <c r="CC212" s="39"/>
      <c r="CD212" s="39"/>
      <c r="CE212" s="39"/>
      <c r="CF212" s="39"/>
      <c r="CG212" s="39"/>
      <c r="CH212" s="39"/>
      <c r="CI212" s="39"/>
      <c r="CJ212" s="39"/>
      <c r="CK212" s="39"/>
      <c r="CL212" s="39"/>
      <c r="CM212" s="39"/>
      <c r="CN212" s="39"/>
      <c r="CO212" s="39"/>
      <c r="CP212" s="39"/>
      <c r="CQ212" s="39"/>
      <c r="CR212" s="39"/>
      <c r="CS212" s="39"/>
      <c r="CT212" s="39"/>
      <c r="CU212" s="39"/>
      <c r="CV212" s="39"/>
      <c r="CW212" s="39"/>
      <c r="CX212" s="39"/>
      <c r="CY212" s="39"/>
      <c r="CZ212" s="39"/>
      <c r="DA212" s="39"/>
      <c r="DB212" s="39"/>
      <c r="DC212" s="39"/>
      <c r="DD212" s="39"/>
      <c r="DE212" s="39"/>
      <c r="DF212" s="39"/>
      <c r="DG212" s="39"/>
      <c r="DH212" s="39"/>
      <c r="DI212" s="39"/>
      <c r="DJ212" s="39"/>
      <c r="DK212" s="39"/>
      <c r="DL212" s="39"/>
      <c r="DM212" s="39"/>
      <c r="DN212" s="39"/>
      <c r="DO212" s="39"/>
      <c r="DP212" s="39"/>
      <c r="DQ212" s="39"/>
      <c r="DR212" s="39"/>
      <c r="DS212" s="39"/>
      <c r="DT212" s="39"/>
      <c r="DU212" s="39"/>
      <c r="DV212" s="39"/>
      <c r="DW212" s="39"/>
      <c r="DX212" s="39"/>
      <c r="DY212" s="39"/>
      <c r="DZ212" s="39"/>
      <c r="EA212" s="39"/>
      <c r="EB212" s="39"/>
      <c r="EC212" s="39"/>
      <c r="ED212" s="39"/>
      <c r="EE212" s="39"/>
      <c r="EF212" s="39"/>
      <c r="EG212" s="39"/>
      <c r="EH212" s="39"/>
      <c r="EI212" s="39"/>
      <c r="EJ212" s="39"/>
      <c r="EK212" s="39"/>
      <c r="EL212" s="39"/>
      <c r="EM212" s="39"/>
      <c r="EN212" s="39"/>
      <c r="EO212" s="39"/>
      <c r="EP212" s="39"/>
      <c r="EQ212" s="39"/>
      <c r="ER212" s="39"/>
      <c r="ES212" s="39"/>
      <c r="ET212" s="39"/>
      <c r="EU212" s="39"/>
      <c r="EV212" s="39"/>
      <c r="EW212" s="39"/>
      <c r="EX212" s="39"/>
      <c r="EY212" s="39"/>
      <c r="EZ212" s="39"/>
      <c r="FA212" s="39"/>
      <c r="FB212" s="39"/>
      <c r="FC212" s="39"/>
      <c r="FD212" s="39"/>
      <c r="FE212" s="39"/>
      <c r="FF212" s="39"/>
      <c r="FG212" s="39"/>
      <c r="FH212" s="39"/>
      <c r="FI212" s="39"/>
      <c r="FJ212" s="39"/>
      <c r="FK212" s="39"/>
      <c r="FL212" s="39"/>
      <c r="FM212" s="39"/>
      <c r="FN212" s="39"/>
      <c r="FO212" s="39"/>
      <c r="FP212" s="39"/>
      <c r="FQ212" s="39"/>
      <c r="FR212" s="39"/>
      <c r="FS212" s="39"/>
      <c r="FT212" s="39"/>
      <c r="FU212" s="39"/>
      <c r="FV212" s="39"/>
      <c r="FW212" s="39"/>
      <c r="FX212" s="39"/>
      <c r="FY212" s="39"/>
      <c r="FZ212" s="39"/>
      <c r="GA212" s="39"/>
      <c r="GB212" s="39"/>
      <c r="GC212" s="39"/>
      <c r="GD212" s="39"/>
      <c r="GE212" s="39"/>
      <c r="GF212" s="39"/>
      <c r="GG212" s="39"/>
      <c r="GH212" s="39"/>
      <c r="GI212" s="39"/>
      <c r="GJ212" s="39"/>
      <c r="GK212" s="39"/>
      <c r="GL212" s="39"/>
      <c r="GM212" s="39"/>
      <c r="GN212" s="39"/>
      <c r="GO212" s="39"/>
      <c r="GP212" s="39"/>
      <c r="GQ212" s="39"/>
      <c r="GR212" s="39"/>
      <c r="GS212" s="39"/>
      <c r="GT212" s="39"/>
      <c r="GU212" s="39"/>
      <c r="GV212" s="39"/>
      <c r="GW212" s="39"/>
      <c r="GX212" s="39"/>
      <c r="GY212" s="39"/>
      <c r="GZ212" s="39"/>
      <c r="HA212" s="39"/>
      <c r="HB212" s="39"/>
      <c r="HC212" s="39"/>
      <c r="HD212" s="39"/>
      <c r="HE212" s="39"/>
      <c r="HF212" s="39"/>
      <c r="HG212" s="39"/>
      <c r="HH212" s="39"/>
      <c r="HI212" s="39"/>
      <c r="HJ212" s="39"/>
      <c r="HK212" s="39"/>
      <c r="HL212" s="39"/>
      <c r="HM212" s="39"/>
      <c r="HN212" s="39"/>
      <c r="HO212" s="39"/>
      <c r="HP212" s="39"/>
      <c r="HQ212" s="39"/>
      <c r="HR212" s="39"/>
      <c r="HS212" s="39"/>
      <c r="HT212" s="39"/>
      <c r="HU212" s="39"/>
      <c r="HV212" s="39"/>
      <c r="HW212" s="39"/>
      <c r="HX212" s="39"/>
      <c r="HY212" s="39"/>
      <c r="HZ212" s="39"/>
      <c r="IA212" s="39"/>
      <c r="IB212" s="39"/>
      <c r="IC212" s="39"/>
      <c r="ID212" s="39"/>
      <c r="IE212" s="39"/>
      <c r="IF212" s="39"/>
      <c r="IG212" s="39"/>
      <c r="IH212" s="39"/>
      <c r="II212" s="39"/>
      <c r="IJ212" s="39"/>
      <c r="IK212" s="39"/>
      <c r="IL212" s="39"/>
      <c r="IM212" s="39"/>
      <c r="IN212" s="39"/>
      <c r="IO212" s="39"/>
      <c r="IP212" s="39"/>
      <c r="IQ212" s="39"/>
      <c r="IR212" s="39"/>
      <c r="IS212" s="39"/>
      <c r="IT212" s="39"/>
      <c r="IU212" s="39"/>
      <c r="IV212" s="39"/>
      <c r="IW212" s="39"/>
    </row>
    <row r="213" customFormat="false" ht="12.95" hidden="false" customHeight="true" outlineLevel="0" collapsed="false">
      <c r="A213" s="37" t="str">
        <f aca="false">+'CCs # Master'!A81</f>
        <v>0011</v>
      </c>
      <c r="B213" s="39" t="str">
        <f aca="false">+'CCs # Master'!B81</f>
        <v>Cash Balance/SERP</v>
      </c>
      <c r="C213" s="39" t="str">
        <f aca="false">+'CCs # Master'!C81</f>
        <v>Joyce, Mary</v>
      </c>
      <c r="D213" s="96" t="n">
        <f aca="false">+'CCs # Master'!D81</f>
        <v>100119</v>
      </c>
      <c r="E213" s="39" t="n">
        <f aca="false">+'CCs # Master'!E81</f>
        <v>22850</v>
      </c>
      <c r="F213" s="39" t="n">
        <f aca="false">+'CCs # Master'!F81</f>
        <v>0</v>
      </c>
      <c r="G213" s="39" t="n">
        <f aca="false">+'CCs # Master'!G81</f>
        <v>0</v>
      </c>
      <c r="H213" s="39" t="n">
        <f aca="false">+'CCs # Master'!H81</f>
        <v>0</v>
      </c>
      <c r="I213" s="39" t="n">
        <f aca="false">+'CCs # Master'!I81</f>
        <v>0</v>
      </c>
      <c r="J213" s="39" t="n">
        <f aca="false">+'CCs # Master'!J81</f>
        <v>0</v>
      </c>
      <c r="K213" s="71" t="n">
        <f aca="false">SUM(E213:J213)</f>
        <v>22850</v>
      </c>
      <c r="L213" s="39"/>
      <c r="M213" s="39" t="str">
        <f aca="false">+'CCs # Master'!M81</f>
        <v>Included in benefits rate</v>
      </c>
      <c r="N213" s="39" t="n">
        <f aca="false">+'CCs # Master'!AW81</f>
        <v>0</v>
      </c>
      <c r="O213" s="39" t="n">
        <v>0</v>
      </c>
      <c r="P213" s="39" t="n">
        <f aca="false">+'CCs # Master'!N81</f>
        <v>-117</v>
      </c>
      <c r="Q213" s="39" t="n">
        <f aca="false">+'CCs # Master'!O81</f>
        <v>615</v>
      </c>
      <c r="R213" s="39" t="n">
        <f aca="false">+'CCs # Master'!P81</f>
        <v>1764</v>
      </c>
      <c r="S213" s="39" t="n">
        <f aca="false">+'CCs # Master'!Q81</f>
        <v>0</v>
      </c>
      <c r="T213" s="39" t="n">
        <f aca="false">+'CCs # Master'!R81</f>
        <v>79</v>
      </c>
      <c r="U213" s="39" t="n">
        <f aca="false">+'CCs # Master'!S81</f>
        <v>1326</v>
      </c>
      <c r="V213" s="39" t="n">
        <f aca="false">+'CCs # Master'!T81</f>
        <v>374</v>
      </c>
      <c r="W213" s="39" t="n">
        <f aca="false">+'CCs # Master'!U81</f>
        <v>4007</v>
      </c>
      <c r="X213" s="39" t="n">
        <f aca="false">+'CCs # Master'!V81</f>
        <v>-245</v>
      </c>
      <c r="Y213" s="39" t="n">
        <f aca="false">+'CCs # Master'!W81</f>
        <v>0</v>
      </c>
      <c r="Z213" s="39" t="n">
        <f aca="false">+'CCs # Master'!X81</f>
        <v>4428</v>
      </c>
      <c r="AA213" s="39" t="n">
        <f aca="false">+'CCs # Master'!Y81</f>
        <v>56</v>
      </c>
      <c r="AB213" s="39" t="n">
        <f aca="false">+'CCs # Master'!Z81</f>
        <v>388</v>
      </c>
      <c r="AC213" s="39" t="n">
        <f aca="false">+'CCs # Master'!AA81</f>
        <v>101</v>
      </c>
      <c r="AD213" s="39" t="n">
        <f aca="false">+'CCs # Master'!AB81</f>
        <v>99</v>
      </c>
      <c r="AE213" s="39" t="n">
        <f aca="false">+'CCs # Master'!AC81</f>
        <v>149</v>
      </c>
      <c r="AF213" s="39" t="n">
        <f aca="false">+'CCs # Master'!AD81</f>
        <v>2657</v>
      </c>
      <c r="AG213" s="39" t="n">
        <f aca="false">+'CCs # Master'!AE81</f>
        <v>3370</v>
      </c>
      <c r="AH213" s="39" t="n">
        <f aca="false">+'CCs # Master'!AF81</f>
        <v>0</v>
      </c>
      <c r="AI213" s="39" t="n">
        <f aca="false">+'CCs # Master'!AG81</f>
        <v>0</v>
      </c>
      <c r="AJ213" s="39" t="n">
        <f aca="false">+'CCs # Master'!AH81</f>
        <v>341</v>
      </c>
      <c r="AK213" s="39" t="n">
        <f aca="false">+'CCs # Master'!AI81</f>
        <v>243</v>
      </c>
      <c r="AL213" s="39" t="n">
        <f aca="false">+'CCs # Master'!AJ81</f>
        <v>194</v>
      </c>
      <c r="AM213" s="39" t="n">
        <f aca="false">+'CCs # Master'!AK81</f>
        <v>326</v>
      </c>
      <c r="AN213" s="39" t="n">
        <f aca="false">+'CCs # Master'!AL81</f>
        <v>630</v>
      </c>
      <c r="AO213" s="39" t="n">
        <f aca="false">+'CCs # Master'!AM81</f>
        <v>2065</v>
      </c>
      <c r="AP213" s="39" t="n">
        <f aca="false">+'CCs # Master'!AN81</f>
        <v>0</v>
      </c>
      <c r="AQ213" s="39" t="n">
        <f aca="false">+'CCs # Master'!AO81</f>
        <v>0</v>
      </c>
      <c r="AR213" s="39" t="n">
        <f aca="false">+'CCs # Master'!AP81</f>
        <v>0</v>
      </c>
      <c r="AS213" s="39" t="n">
        <f aca="false">+'CCs # Master'!AQ81</f>
        <v>0</v>
      </c>
      <c r="AT213" s="39" t="n">
        <f aca="false">+'CCs # Master'!AR81</f>
        <v>0</v>
      </c>
      <c r="AU213" s="39" t="n">
        <f aca="false">+'CCs # Master'!AS81</f>
        <v>0</v>
      </c>
      <c r="AV213" s="39" t="n">
        <f aca="false">+'CCs # Master'!AT81</f>
        <v>0</v>
      </c>
      <c r="AW213" s="0"/>
      <c r="AX213" s="71" t="n">
        <f aca="false">SUM(N213:AW213)</f>
        <v>22850</v>
      </c>
      <c r="AY213" s="71" t="n">
        <f aca="false">+K213-AX213</f>
        <v>0</v>
      </c>
      <c r="AZ213" s="39"/>
      <c r="BA213" s="39" t="n">
        <f aca="false">+P213+Q213+T213+U213+V213+W213+X213+Y213</f>
        <v>6039</v>
      </c>
      <c r="BB213" s="39" t="n">
        <f aca="false">N213</f>
        <v>0</v>
      </c>
      <c r="BC213" s="39" t="n">
        <f aca="false">SUM(P213:AW213)</f>
        <v>22850</v>
      </c>
      <c r="BD213" s="39"/>
      <c r="BE213" s="39" t="n">
        <f aca="false">SUM(BB213:BC213)</f>
        <v>22850</v>
      </c>
      <c r="BF213" s="39"/>
      <c r="BG213" s="48" t="n">
        <f aca="false">SUM(N213:AW213)</f>
        <v>22850</v>
      </c>
      <c r="BH213" s="39" t="n">
        <f aca="false">BE213-BG213</f>
        <v>0</v>
      </c>
      <c r="BI213" s="39"/>
      <c r="BJ213" s="39"/>
      <c r="BK213" s="39"/>
      <c r="BL213" s="39"/>
      <c r="BM213" s="39"/>
      <c r="BN213" s="39"/>
      <c r="BO213" s="39"/>
      <c r="BP213" s="39"/>
      <c r="BQ213" s="39"/>
      <c r="BR213" s="39"/>
      <c r="BS213" s="39"/>
      <c r="BT213" s="39"/>
      <c r="BU213" s="39"/>
      <c r="BV213" s="39"/>
      <c r="BW213" s="39"/>
      <c r="BX213" s="39"/>
      <c r="BY213" s="39"/>
      <c r="BZ213" s="39"/>
      <c r="CA213" s="39"/>
      <c r="CB213" s="39"/>
      <c r="CC213" s="39"/>
      <c r="CD213" s="39"/>
      <c r="CE213" s="39"/>
      <c r="CF213" s="39"/>
      <c r="CG213" s="39"/>
      <c r="CH213" s="39"/>
      <c r="CI213" s="39"/>
      <c r="CJ213" s="39"/>
      <c r="CK213" s="39"/>
      <c r="CL213" s="39"/>
      <c r="CM213" s="39"/>
      <c r="CN213" s="39"/>
      <c r="CO213" s="39"/>
      <c r="CP213" s="39"/>
      <c r="CQ213" s="39"/>
      <c r="CR213" s="39"/>
      <c r="CS213" s="39"/>
      <c r="CT213" s="39"/>
      <c r="CU213" s="39"/>
      <c r="CV213" s="39"/>
      <c r="CW213" s="39"/>
      <c r="CX213" s="39"/>
      <c r="CY213" s="39"/>
      <c r="CZ213" s="39"/>
      <c r="DA213" s="39"/>
      <c r="DB213" s="39"/>
      <c r="DC213" s="39"/>
      <c r="DD213" s="39"/>
      <c r="DE213" s="39"/>
      <c r="DF213" s="39"/>
      <c r="DG213" s="39"/>
      <c r="DH213" s="39"/>
      <c r="DI213" s="39"/>
      <c r="DJ213" s="39"/>
      <c r="DK213" s="39"/>
      <c r="DL213" s="39"/>
      <c r="DM213" s="39"/>
      <c r="DN213" s="39"/>
      <c r="DO213" s="39"/>
      <c r="DP213" s="39"/>
      <c r="DQ213" s="39"/>
      <c r="DR213" s="39"/>
      <c r="DS213" s="39"/>
      <c r="DT213" s="39"/>
      <c r="DU213" s="39"/>
      <c r="DV213" s="39"/>
      <c r="DW213" s="39"/>
      <c r="DX213" s="39"/>
      <c r="DY213" s="39"/>
      <c r="DZ213" s="39"/>
      <c r="EA213" s="39"/>
      <c r="EB213" s="39"/>
      <c r="EC213" s="39"/>
      <c r="ED213" s="39"/>
      <c r="EE213" s="39"/>
      <c r="EF213" s="39"/>
      <c r="EG213" s="39"/>
      <c r="EH213" s="39"/>
      <c r="EI213" s="39"/>
      <c r="EJ213" s="39"/>
      <c r="EK213" s="39"/>
      <c r="EL213" s="39"/>
      <c r="EM213" s="39"/>
      <c r="EN213" s="39"/>
      <c r="EO213" s="39"/>
      <c r="EP213" s="39"/>
      <c r="EQ213" s="39"/>
      <c r="ER213" s="39"/>
      <c r="ES213" s="39"/>
      <c r="ET213" s="39"/>
      <c r="EU213" s="39"/>
      <c r="EV213" s="39"/>
      <c r="EW213" s="39"/>
      <c r="EX213" s="39"/>
      <c r="EY213" s="39"/>
      <c r="EZ213" s="39"/>
      <c r="FA213" s="39"/>
      <c r="FB213" s="39"/>
      <c r="FC213" s="39"/>
      <c r="FD213" s="39"/>
      <c r="FE213" s="39"/>
      <c r="FF213" s="39"/>
      <c r="FG213" s="39"/>
      <c r="FH213" s="39"/>
      <c r="FI213" s="39"/>
      <c r="FJ213" s="39"/>
      <c r="FK213" s="39"/>
      <c r="FL213" s="39"/>
      <c r="FM213" s="39"/>
      <c r="FN213" s="39"/>
      <c r="FO213" s="39"/>
      <c r="FP213" s="39"/>
      <c r="FQ213" s="39"/>
      <c r="FR213" s="39"/>
      <c r="FS213" s="39"/>
      <c r="FT213" s="39"/>
      <c r="FU213" s="39"/>
      <c r="FV213" s="39"/>
      <c r="FW213" s="39"/>
      <c r="FX213" s="39"/>
      <c r="FY213" s="39"/>
      <c r="FZ213" s="39"/>
      <c r="GA213" s="39"/>
      <c r="GB213" s="39"/>
      <c r="GC213" s="39"/>
      <c r="GD213" s="39"/>
      <c r="GE213" s="39"/>
      <c r="GF213" s="39"/>
      <c r="GG213" s="39"/>
      <c r="GH213" s="39"/>
      <c r="GI213" s="39"/>
      <c r="GJ213" s="39"/>
      <c r="GK213" s="39"/>
      <c r="GL213" s="39"/>
      <c r="GM213" s="39"/>
      <c r="GN213" s="39"/>
      <c r="GO213" s="39"/>
      <c r="GP213" s="39"/>
      <c r="GQ213" s="39"/>
      <c r="GR213" s="39"/>
      <c r="GS213" s="39"/>
      <c r="GT213" s="39"/>
      <c r="GU213" s="39"/>
      <c r="GV213" s="39"/>
      <c r="GW213" s="39"/>
      <c r="GX213" s="39"/>
      <c r="GY213" s="39"/>
      <c r="GZ213" s="39"/>
      <c r="HA213" s="39"/>
      <c r="HB213" s="39"/>
      <c r="HC213" s="39"/>
      <c r="HD213" s="39"/>
      <c r="HE213" s="39"/>
      <c r="HF213" s="39"/>
      <c r="HG213" s="39"/>
      <c r="HH213" s="39"/>
      <c r="HI213" s="39"/>
      <c r="HJ213" s="39"/>
      <c r="HK213" s="39"/>
      <c r="HL213" s="39"/>
      <c r="HM213" s="39"/>
      <c r="HN213" s="39"/>
      <c r="HO213" s="39"/>
      <c r="HP213" s="39"/>
      <c r="HQ213" s="39"/>
      <c r="HR213" s="39"/>
      <c r="HS213" s="39"/>
      <c r="HT213" s="39"/>
      <c r="HU213" s="39"/>
      <c r="HV213" s="39"/>
      <c r="HW213" s="39"/>
      <c r="HX213" s="39"/>
      <c r="HY213" s="39"/>
      <c r="HZ213" s="39"/>
      <c r="IA213" s="39"/>
      <c r="IB213" s="39"/>
      <c r="IC213" s="39"/>
      <c r="ID213" s="39"/>
      <c r="IE213" s="39"/>
      <c r="IF213" s="39"/>
      <c r="IG213" s="39"/>
      <c r="IH213" s="39"/>
      <c r="II213" s="39"/>
      <c r="IJ213" s="39"/>
      <c r="IK213" s="39"/>
      <c r="IL213" s="39"/>
      <c r="IM213" s="39"/>
      <c r="IN213" s="39"/>
      <c r="IO213" s="39"/>
      <c r="IP213" s="39"/>
      <c r="IQ213" s="39"/>
      <c r="IR213" s="39"/>
      <c r="IS213" s="39"/>
      <c r="IT213" s="39"/>
      <c r="IU213" s="39"/>
      <c r="IV213" s="39"/>
      <c r="IW213" s="39"/>
    </row>
    <row r="214" customFormat="false" ht="12.95" hidden="false" customHeight="true" outlineLevel="0" collapsed="false">
      <c r="A214" s="37" t="str">
        <f aca="false">+'CCs # Master'!A82</f>
        <v>0011</v>
      </c>
      <c r="B214" s="39" t="str">
        <f aca="false">+'CCs # Master'!B82</f>
        <v>EE Life, AD&amp;D </v>
      </c>
      <c r="C214" s="39" t="str">
        <f aca="false">+'CCs # Master'!C82</f>
        <v>Joyce, Mary</v>
      </c>
      <c r="D214" s="96" t="n">
        <f aca="false">+'CCs # Master'!D82</f>
        <v>100120</v>
      </c>
      <c r="E214" s="39" t="n">
        <f aca="false">+'CCs # Master'!E82</f>
        <v>3839</v>
      </c>
      <c r="F214" s="39" t="n">
        <f aca="false">+'CCs # Master'!F82</f>
        <v>0</v>
      </c>
      <c r="G214" s="39" t="n">
        <f aca="false">+'CCs # Master'!G82</f>
        <v>0</v>
      </c>
      <c r="H214" s="39" t="n">
        <f aca="false">+'CCs # Master'!H82</f>
        <v>0</v>
      </c>
      <c r="I214" s="39" t="n">
        <f aca="false">+'CCs # Master'!I82</f>
        <v>0</v>
      </c>
      <c r="J214" s="39" t="n">
        <f aca="false">+'CCs # Master'!J82</f>
        <v>0</v>
      </c>
      <c r="K214" s="71" t="n">
        <f aca="false">SUM(E214:J214)</f>
        <v>3839</v>
      </c>
      <c r="L214" s="39"/>
      <c r="M214" s="39" t="str">
        <f aca="false">+'CCs # Master'!M82</f>
        <v>Included in benefits rate</v>
      </c>
      <c r="N214" s="39" t="n">
        <f aca="false">+'CCs # Master'!AW82</f>
        <v>454</v>
      </c>
      <c r="O214" s="39" t="n">
        <v>0</v>
      </c>
      <c r="P214" s="39" t="n">
        <f aca="false">+'CCs # Master'!N82</f>
        <v>71</v>
      </c>
      <c r="Q214" s="39" t="n">
        <f aca="false">+'CCs # Master'!O82</f>
        <v>136</v>
      </c>
      <c r="R214" s="39" t="n">
        <f aca="false">+'CCs # Master'!P82</f>
        <v>297</v>
      </c>
      <c r="S214" s="39" t="n">
        <f aca="false">+'CCs # Master'!Q82</f>
        <v>0</v>
      </c>
      <c r="T214" s="39" t="n">
        <f aca="false">+'CCs # Master'!R82</f>
        <v>14</v>
      </c>
      <c r="U214" s="39" t="n">
        <f aca="false">+'CCs # Master'!S82</f>
        <v>0</v>
      </c>
      <c r="V214" s="39" t="n">
        <f aca="false">+'CCs # Master'!T82</f>
        <v>81</v>
      </c>
      <c r="W214" s="39" t="n">
        <f aca="false">+'CCs # Master'!U82</f>
        <v>382</v>
      </c>
      <c r="X214" s="39" t="n">
        <f aca="false">+'CCs # Master'!V82</f>
        <v>142</v>
      </c>
      <c r="Y214" s="39" t="n">
        <f aca="false">+'CCs # Master'!W82</f>
        <v>0</v>
      </c>
      <c r="Z214" s="39" t="n">
        <f aca="false">+'CCs # Master'!X82</f>
        <v>620</v>
      </c>
      <c r="AA214" s="39" t="n">
        <f aca="false">+'CCs # Master'!Y82</f>
        <v>7</v>
      </c>
      <c r="AB214" s="39" t="n">
        <f aca="false">+'CCs # Master'!Z82</f>
        <v>82</v>
      </c>
      <c r="AC214" s="39" t="n">
        <f aca="false">+'CCs # Master'!AA82</f>
        <v>17</v>
      </c>
      <c r="AD214" s="39" t="n">
        <f aca="false">+'CCs # Master'!AB82</f>
        <v>16</v>
      </c>
      <c r="AE214" s="39" t="n">
        <f aca="false">+'CCs # Master'!AC82</f>
        <v>33</v>
      </c>
      <c r="AF214" s="39" t="n">
        <f aca="false">+'CCs # Master'!AD82</f>
        <v>401</v>
      </c>
      <c r="AG214" s="39" t="n">
        <f aca="false">+'CCs # Master'!AE82</f>
        <v>518</v>
      </c>
      <c r="AH214" s="39" t="n">
        <f aca="false">+'CCs # Master'!AF82</f>
        <v>0</v>
      </c>
      <c r="AI214" s="39" t="n">
        <f aca="false">+'CCs # Master'!AG82</f>
        <v>27</v>
      </c>
      <c r="AJ214" s="39" t="n">
        <f aca="false">+'CCs # Master'!AH82</f>
        <v>36</v>
      </c>
      <c r="AK214" s="39" t="n">
        <f aca="false">+'CCs # Master'!AI82</f>
        <v>25</v>
      </c>
      <c r="AL214" s="39" t="n">
        <f aca="false">+'CCs # Master'!AJ82</f>
        <v>21</v>
      </c>
      <c r="AM214" s="39" t="n">
        <f aca="false">+'CCs # Master'!AK82</f>
        <v>43</v>
      </c>
      <c r="AN214" s="39" t="n">
        <f aca="false">+'CCs # Master'!AL82</f>
        <v>81</v>
      </c>
      <c r="AO214" s="39" t="n">
        <f aca="false">+'CCs # Master'!AM82</f>
        <v>335</v>
      </c>
      <c r="AP214" s="39" t="n">
        <f aca="false">+'CCs # Master'!AN82</f>
        <v>0</v>
      </c>
      <c r="AQ214" s="39" t="n">
        <f aca="false">+'CCs # Master'!AO82</f>
        <v>0</v>
      </c>
      <c r="AR214" s="39" t="n">
        <f aca="false">+'CCs # Master'!AP82</f>
        <v>0</v>
      </c>
      <c r="AS214" s="39" t="n">
        <f aca="false">+'CCs # Master'!AQ82</f>
        <v>0</v>
      </c>
      <c r="AT214" s="39" t="n">
        <f aca="false">+'CCs # Master'!AR82</f>
        <v>0</v>
      </c>
      <c r="AU214" s="39" t="n">
        <f aca="false">+'CCs # Master'!AS82</f>
        <v>0</v>
      </c>
      <c r="AV214" s="39" t="n">
        <f aca="false">+'CCs # Master'!AT82</f>
        <v>0</v>
      </c>
      <c r="AW214" s="0"/>
      <c r="AX214" s="71" t="n">
        <f aca="false">SUM(N214:AW214)</f>
        <v>3839</v>
      </c>
      <c r="AY214" s="71" t="n">
        <f aca="false">+K214-AX214</f>
        <v>0</v>
      </c>
      <c r="AZ214" s="39"/>
      <c r="BA214" s="39" t="n">
        <f aca="false">+P214+Q214+T214+U214+V214+W214+X214+Y214</f>
        <v>826</v>
      </c>
      <c r="BB214" s="39" t="n">
        <f aca="false">N214</f>
        <v>454</v>
      </c>
      <c r="BC214" s="39" t="n">
        <f aca="false">SUM(P214:AW214)</f>
        <v>3385</v>
      </c>
      <c r="BD214" s="39"/>
      <c r="BE214" s="39" t="n">
        <f aca="false">SUM(BB214:BC214)</f>
        <v>3839</v>
      </c>
      <c r="BF214" s="39"/>
      <c r="BG214" s="48" t="n">
        <f aca="false">SUM(N214:AW214)</f>
        <v>3839</v>
      </c>
      <c r="BH214" s="39" t="n">
        <f aca="false">BE214-BG214</f>
        <v>0</v>
      </c>
      <c r="BI214" s="39"/>
      <c r="BJ214" s="39"/>
      <c r="BK214" s="39"/>
      <c r="BL214" s="39"/>
      <c r="BM214" s="39"/>
      <c r="BN214" s="39"/>
      <c r="BO214" s="39"/>
      <c r="BP214" s="39"/>
      <c r="BQ214" s="39"/>
      <c r="BR214" s="39"/>
      <c r="BS214" s="39"/>
      <c r="BT214" s="39"/>
      <c r="BU214" s="39"/>
      <c r="BV214" s="39"/>
      <c r="BW214" s="39"/>
      <c r="BX214" s="39"/>
      <c r="BY214" s="39"/>
      <c r="BZ214" s="39"/>
      <c r="CA214" s="39"/>
      <c r="CB214" s="39"/>
      <c r="CC214" s="39"/>
      <c r="CD214" s="39"/>
      <c r="CE214" s="39"/>
      <c r="CF214" s="39"/>
      <c r="CG214" s="39"/>
      <c r="CH214" s="39"/>
      <c r="CI214" s="39"/>
      <c r="CJ214" s="39"/>
      <c r="CK214" s="39"/>
      <c r="CL214" s="39"/>
      <c r="CM214" s="39"/>
      <c r="CN214" s="39"/>
      <c r="CO214" s="39"/>
      <c r="CP214" s="39"/>
      <c r="CQ214" s="39"/>
      <c r="CR214" s="39"/>
      <c r="CS214" s="39"/>
      <c r="CT214" s="39"/>
      <c r="CU214" s="39"/>
      <c r="CV214" s="39"/>
      <c r="CW214" s="39"/>
      <c r="CX214" s="39"/>
      <c r="CY214" s="39"/>
      <c r="CZ214" s="39"/>
      <c r="DA214" s="39"/>
      <c r="DB214" s="39"/>
      <c r="DC214" s="39"/>
      <c r="DD214" s="39"/>
      <c r="DE214" s="39"/>
      <c r="DF214" s="39"/>
      <c r="DG214" s="39"/>
      <c r="DH214" s="39"/>
      <c r="DI214" s="39"/>
      <c r="DJ214" s="39"/>
      <c r="DK214" s="39"/>
      <c r="DL214" s="39"/>
      <c r="DM214" s="39"/>
      <c r="DN214" s="39"/>
      <c r="DO214" s="39"/>
      <c r="DP214" s="39"/>
      <c r="DQ214" s="39"/>
      <c r="DR214" s="39"/>
      <c r="DS214" s="39"/>
      <c r="DT214" s="39"/>
      <c r="DU214" s="39"/>
      <c r="DV214" s="39"/>
      <c r="DW214" s="39"/>
      <c r="DX214" s="39"/>
      <c r="DY214" s="39"/>
      <c r="DZ214" s="39"/>
      <c r="EA214" s="39"/>
      <c r="EB214" s="39"/>
      <c r="EC214" s="39"/>
      <c r="ED214" s="39"/>
      <c r="EE214" s="39"/>
      <c r="EF214" s="39"/>
      <c r="EG214" s="39"/>
      <c r="EH214" s="39"/>
      <c r="EI214" s="39"/>
      <c r="EJ214" s="39"/>
      <c r="EK214" s="39"/>
      <c r="EL214" s="39"/>
      <c r="EM214" s="39"/>
      <c r="EN214" s="39"/>
      <c r="EO214" s="39"/>
      <c r="EP214" s="39"/>
      <c r="EQ214" s="39"/>
      <c r="ER214" s="39"/>
      <c r="ES214" s="39"/>
      <c r="ET214" s="39"/>
      <c r="EU214" s="39"/>
      <c r="EV214" s="39"/>
      <c r="EW214" s="39"/>
      <c r="EX214" s="39"/>
      <c r="EY214" s="39"/>
      <c r="EZ214" s="39"/>
      <c r="FA214" s="39"/>
      <c r="FB214" s="39"/>
      <c r="FC214" s="39"/>
      <c r="FD214" s="39"/>
      <c r="FE214" s="39"/>
      <c r="FF214" s="39"/>
      <c r="FG214" s="39"/>
      <c r="FH214" s="39"/>
      <c r="FI214" s="39"/>
      <c r="FJ214" s="39"/>
      <c r="FK214" s="39"/>
      <c r="FL214" s="39"/>
      <c r="FM214" s="39"/>
      <c r="FN214" s="39"/>
      <c r="FO214" s="39"/>
      <c r="FP214" s="39"/>
      <c r="FQ214" s="39"/>
      <c r="FR214" s="39"/>
      <c r="FS214" s="39"/>
      <c r="FT214" s="39"/>
      <c r="FU214" s="39"/>
      <c r="FV214" s="39"/>
      <c r="FW214" s="39"/>
      <c r="FX214" s="39"/>
      <c r="FY214" s="39"/>
      <c r="FZ214" s="39"/>
      <c r="GA214" s="39"/>
      <c r="GB214" s="39"/>
      <c r="GC214" s="39"/>
      <c r="GD214" s="39"/>
      <c r="GE214" s="39"/>
      <c r="GF214" s="39"/>
      <c r="GG214" s="39"/>
      <c r="GH214" s="39"/>
      <c r="GI214" s="39"/>
      <c r="GJ214" s="39"/>
      <c r="GK214" s="39"/>
      <c r="GL214" s="39"/>
      <c r="GM214" s="39"/>
      <c r="GN214" s="39"/>
      <c r="GO214" s="39"/>
      <c r="GP214" s="39"/>
      <c r="GQ214" s="39"/>
      <c r="GR214" s="39"/>
      <c r="GS214" s="39"/>
      <c r="GT214" s="39"/>
      <c r="GU214" s="39"/>
      <c r="GV214" s="39"/>
      <c r="GW214" s="39"/>
      <c r="GX214" s="39"/>
      <c r="GY214" s="39"/>
      <c r="GZ214" s="39"/>
      <c r="HA214" s="39"/>
      <c r="HB214" s="39"/>
      <c r="HC214" s="39"/>
      <c r="HD214" s="39"/>
      <c r="HE214" s="39"/>
      <c r="HF214" s="39"/>
      <c r="HG214" s="39"/>
      <c r="HH214" s="39"/>
      <c r="HI214" s="39"/>
      <c r="HJ214" s="39"/>
      <c r="HK214" s="39"/>
      <c r="HL214" s="39"/>
      <c r="HM214" s="39"/>
      <c r="HN214" s="39"/>
      <c r="HO214" s="39"/>
      <c r="HP214" s="39"/>
      <c r="HQ214" s="39"/>
      <c r="HR214" s="39"/>
      <c r="HS214" s="39"/>
      <c r="HT214" s="39"/>
      <c r="HU214" s="39"/>
      <c r="HV214" s="39"/>
      <c r="HW214" s="39"/>
      <c r="HX214" s="39"/>
      <c r="HY214" s="39"/>
      <c r="HZ214" s="39"/>
      <c r="IA214" s="39"/>
      <c r="IB214" s="39"/>
      <c r="IC214" s="39"/>
      <c r="ID214" s="39"/>
      <c r="IE214" s="39"/>
      <c r="IF214" s="39"/>
      <c r="IG214" s="39"/>
      <c r="IH214" s="39"/>
      <c r="II214" s="39"/>
      <c r="IJ214" s="39"/>
      <c r="IK214" s="39"/>
      <c r="IL214" s="39"/>
      <c r="IM214" s="39"/>
      <c r="IN214" s="39"/>
      <c r="IO214" s="39"/>
      <c r="IP214" s="39"/>
      <c r="IQ214" s="39"/>
      <c r="IR214" s="39"/>
      <c r="IS214" s="39"/>
      <c r="IT214" s="39"/>
      <c r="IU214" s="39"/>
      <c r="IV214" s="39"/>
      <c r="IW214" s="39"/>
    </row>
    <row r="215" customFormat="false" ht="12.95" hidden="false" customHeight="true" outlineLevel="0" collapsed="false">
      <c r="A215" s="37" t="str">
        <f aca="false">+'CCs # Master'!A83</f>
        <v>0011</v>
      </c>
      <c r="B215" s="39" t="str">
        <f aca="false">+'CCs # Master'!B83</f>
        <v>Long Term Disability</v>
      </c>
      <c r="C215" s="39" t="str">
        <f aca="false">+'CCs # Master'!C83</f>
        <v>Joyce, Mary</v>
      </c>
      <c r="D215" s="96" t="n">
        <f aca="false">+'CCs # Master'!D83</f>
        <v>100121</v>
      </c>
      <c r="E215" s="39" t="n">
        <f aca="false">+'CCs # Master'!E83</f>
        <v>2400</v>
      </c>
      <c r="F215" s="39" t="n">
        <f aca="false">+'CCs # Master'!F83</f>
        <v>0</v>
      </c>
      <c r="G215" s="39" t="n">
        <f aca="false">+'CCs # Master'!G83</f>
        <v>0</v>
      </c>
      <c r="H215" s="39" t="n">
        <f aca="false">+'CCs # Master'!H83</f>
        <v>0</v>
      </c>
      <c r="I215" s="39" t="n">
        <f aca="false">+'CCs # Master'!I83</f>
        <v>0</v>
      </c>
      <c r="J215" s="39" t="n">
        <f aca="false">+'CCs # Master'!J83</f>
        <v>0</v>
      </c>
      <c r="K215" s="71" t="n">
        <f aca="false">SUM(E215:J215)</f>
        <v>2400</v>
      </c>
      <c r="L215" s="39"/>
      <c r="M215" s="39" t="str">
        <f aca="false">+'CCs # Master'!M83</f>
        <v>Included in benefits rate</v>
      </c>
      <c r="N215" s="39" t="n">
        <f aca="false">+'CCs # Master'!AW83</f>
        <v>284</v>
      </c>
      <c r="O215" s="39" t="n">
        <v>0</v>
      </c>
      <c r="P215" s="39" t="n">
        <f aca="false">+'CCs # Master'!N83</f>
        <v>45</v>
      </c>
      <c r="Q215" s="39" t="n">
        <f aca="false">+'CCs # Master'!O83</f>
        <v>85</v>
      </c>
      <c r="R215" s="39" t="n">
        <f aca="false">+'CCs # Master'!P83</f>
        <v>186</v>
      </c>
      <c r="S215" s="39" t="n">
        <f aca="false">+'CCs # Master'!Q83</f>
        <v>0</v>
      </c>
      <c r="T215" s="39" t="n">
        <f aca="false">+'CCs # Master'!R83</f>
        <v>9</v>
      </c>
      <c r="U215" s="39" t="n">
        <f aca="false">+'CCs # Master'!S83</f>
        <v>0</v>
      </c>
      <c r="V215" s="39" t="n">
        <f aca="false">+'CCs # Master'!T83</f>
        <v>51</v>
      </c>
      <c r="W215" s="39" t="n">
        <f aca="false">+'CCs # Master'!U83</f>
        <v>239</v>
      </c>
      <c r="X215" s="39" t="n">
        <f aca="false">+'CCs # Master'!V83</f>
        <v>89</v>
      </c>
      <c r="Y215" s="39" t="n">
        <f aca="false">+'CCs # Master'!W83</f>
        <v>0</v>
      </c>
      <c r="Z215" s="39" t="n">
        <f aca="false">+'CCs # Master'!X83</f>
        <v>387</v>
      </c>
      <c r="AA215" s="39" t="n">
        <f aca="false">+'CCs # Master'!Y83</f>
        <v>4</v>
      </c>
      <c r="AB215" s="39" t="n">
        <f aca="false">+'CCs # Master'!Z83</f>
        <v>51</v>
      </c>
      <c r="AC215" s="39" t="n">
        <f aca="false">+'CCs # Master'!AA83</f>
        <v>10</v>
      </c>
      <c r="AD215" s="39" t="n">
        <f aca="false">+'CCs # Master'!AB83</f>
        <v>10</v>
      </c>
      <c r="AE215" s="39" t="n">
        <f aca="false">+'CCs # Master'!AC83</f>
        <v>21</v>
      </c>
      <c r="AF215" s="39" t="n">
        <f aca="false">+'CCs # Master'!AD83</f>
        <v>249</v>
      </c>
      <c r="AG215" s="39" t="n">
        <f aca="false">+'CCs # Master'!AE83</f>
        <v>323</v>
      </c>
      <c r="AH215" s="39" t="n">
        <f aca="false">+'CCs # Master'!AF83</f>
        <v>0</v>
      </c>
      <c r="AI215" s="39" t="n">
        <f aca="false">+'CCs # Master'!AG83</f>
        <v>17</v>
      </c>
      <c r="AJ215" s="39" t="n">
        <f aca="false">+'CCs # Master'!AH83</f>
        <v>23</v>
      </c>
      <c r="AK215" s="39" t="n">
        <f aca="false">+'CCs # Master'!AI83</f>
        <v>16</v>
      </c>
      <c r="AL215" s="39" t="n">
        <f aca="false">+'CCs # Master'!AJ83</f>
        <v>13</v>
      </c>
      <c r="AM215" s="39" t="n">
        <f aca="false">+'CCs # Master'!AK83</f>
        <v>27</v>
      </c>
      <c r="AN215" s="39" t="n">
        <f aca="false">+'CCs # Master'!AL83</f>
        <v>51</v>
      </c>
      <c r="AO215" s="39" t="n">
        <f aca="false">+'CCs # Master'!AM83</f>
        <v>210</v>
      </c>
      <c r="AP215" s="39" t="n">
        <f aca="false">+'CCs # Master'!AN83</f>
        <v>0</v>
      </c>
      <c r="AQ215" s="39" t="n">
        <f aca="false">+'CCs # Master'!AO83</f>
        <v>0</v>
      </c>
      <c r="AR215" s="39" t="n">
        <f aca="false">+'CCs # Master'!AP83</f>
        <v>0</v>
      </c>
      <c r="AS215" s="39" t="n">
        <f aca="false">+'CCs # Master'!AQ83</f>
        <v>0</v>
      </c>
      <c r="AT215" s="39" t="n">
        <f aca="false">+'CCs # Master'!AR83</f>
        <v>0</v>
      </c>
      <c r="AU215" s="39" t="n">
        <f aca="false">+'CCs # Master'!AS83</f>
        <v>0</v>
      </c>
      <c r="AV215" s="39" t="n">
        <f aca="false">+'CCs # Master'!AT83</f>
        <v>0</v>
      </c>
      <c r="AW215" s="0"/>
      <c r="AX215" s="71" t="n">
        <f aca="false">SUM(N215:AW215)</f>
        <v>2400</v>
      </c>
      <c r="AY215" s="71" t="n">
        <f aca="false">+K215-AX215</f>
        <v>0</v>
      </c>
      <c r="AZ215" s="39"/>
      <c r="BA215" s="39" t="n">
        <f aca="false">+P215+Q215+T215+U215+V215+W215+X215+Y215</f>
        <v>518</v>
      </c>
      <c r="BB215" s="39" t="n">
        <f aca="false">N215</f>
        <v>284</v>
      </c>
      <c r="BC215" s="39" t="n">
        <f aca="false">SUM(P215:AW215)</f>
        <v>2116</v>
      </c>
      <c r="BD215" s="39"/>
      <c r="BE215" s="39" t="n">
        <f aca="false">SUM(BB215:BC215)</f>
        <v>2400</v>
      </c>
      <c r="BF215" s="39"/>
      <c r="BG215" s="48" t="n">
        <f aca="false">SUM(N215:AW215)</f>
        <v>2400</v>
      </c>
      <c r="BH215" s="39" t="n">
        <f aca="false">BE215-BG215</f>
        <v>0</v>
      </c>
      <c r="BI215" s="39"/>
      <c r="BJ215" s="39"/>
      <c r="BK215" s="39"/>
      <c r="BL215" s="39"/>
      <c r="BM215" s="39"/>
      <c r="BN215" s="39"/>
      <c r="BO215" s="39"/>
      <c r="BP215" s="39"/>
      <c r="BQ215" s="39"/>
      <c r="BR215" s="39"/>
      <c r="BS215" s="39"/>
      <c r="BT215" s="39"/>
      <c r="BU215" s="39"/>
      <c r="BV215" s="39"/>
      <c r="BW215" s="39"/>
      <c r="BX215" s="39"/>
      <c r="BY215" s="39"/>
      <c r="BZ215" s="39"/>
      <c r="CA215" s="39"/>
      <c r="CB215" s="39"/>
      <c r="CC215" s="39"/>
      <c r="CD215" s="39"/>
      <c r="CE215" s="39"/>
      <c r="CF215" s="39"/>
      <c r="CG215" s="39"/>
      <c r="CH215" s="39"/>
      <c r="CI215" s="39"/>
      <c r="CJ215" s="39"/>
      <c r="CK215" s="39"/>
      <c r="CL215" s="39"/>
      <c r="CM215" s="39"/>
      <c r="CN215" s="39"/>
      <c r="CO215" s="39"/>
      <c r="CP215" s="39"/>
      <c r="CQ215" s="39"/>
      <c r="CR215" s="39"/>
      <c r="CS215" s="39"/>
      <c r="CT215" s="39"/>
      <c r="CU215" s="39"/>
      <c r="CV215" s="39"/>
      <c r="CW215" s="39"/>
      <c r="CX215" s="39"/>
      <c r="CY215" s="39"/>
      <c r="CZ215" s="39"/>
      <c r="DA215" s="39"/>
      <c r="DB215" s="39"/>
      <c r="DC215" s="39"/>
      <c r="DD215" s="39"/>
      <c r="DE215" s="39"/>
      <c r="DF215" s="39"/>
      <c r="DG215" s="39"/>
      <c r="DH215" s="39"/>
      <c r="DI215" s="39"/>
      <c r="DJ215" s="39"/>
      <c r="DK215" s="39"/>
      <c r="DL215" s="39"/>
      <c r="DM215" s="39"/>
      <c r="DN215" s="39"/>
      <c r="DO215" s="39"/>
      <c r="DP215" s="39"/>
      <c r="DQ215" s="39"/>
      <c r="DR215" s="39"/>
      <c r="DS215" s="39"/>
      <c r="DT215" s="39"/>
      <c r="DU215" s="39"/>
      <c r="DV215" s="39"/>
      <c r="DW215" s="39"/>
      <c r="DX215" s="39"/>
      <c r="DY215" s="39"/>
      <c r="DZ215" s="39"/>
      <c r="EA215" s="39"/>
      <c r="EB215" s="39"/>
      <c r="EC215" s="39"/>
      <c r="ED215" s="39"/>
      <c r="EE215" s="39"/>
      <c r="EF215" s="39"/>
      <c r="EG215" s="39"/>
      <c r="EH215" s="39"/>
      <c r="EI215" s="39"/>
      <c r="EJ215" s="39"/>
      <c r="EK215" s="39"/>
      <c r="EL215" s="39"/>
      <c r="EM215" s="39"/>
      <c r="EN215" s="39"/>
      <c r="EO215" s="39"/>
      <c r="EP215" s="39"/>
      <c r="EQ215" s="39"/>
      <c r="ER215" s="39"/>
      <c r="ES215" s="39"/>
      <c r="ET215" s="39"/>
      <c r="EU215" s="39"/>
      <c r="EV215" s="39"/>
      <c r="EW215" s="39"/>
      <c r="EX215" s="39"/>
      <c r="EY215" s="39"/>
      <c r="EZ215" s="39"/>
      <c r="FA215" s="39"/>
      <c r="FB215" s="39"/>
      <c r="FC215" s="39"/>
      <c r="FD215" s="39"/>
      <c r="FE215" s="39"/>
      <c r="FF215" s="39"/>
      <c r="FG215" s="39"/>
      <c r="FH215" s="39"/>
      <c r="FI215" s="39"/>
      <c r="FJ215" s="39"/>
      <c r="FK215" s="39"/>
      <c r="FL215" s="39"/>
      <c r="FM215" s="39"/>
      <c r="FN215" s="39"/>
      <c r="FO215" s="39"/>
      <c r="FP215" s="39"/>
      <c r="FQ215" s="39"/>
      <c r="FR215" s="39"/>
      <c r="FS215" s="39"/>
      <c r="FT215" s="39"/>
      <c r="FU215" s="39"/>
      <c r="FV215" s="39"/>
      <c r="FW215" s="39"/>
      <c r="FX215" s="39"/>
      <c r="FY215" s="39"/>
      <c r="FZ215" s="39"/>
      <c r="GA215" s="39"/>
      <c r="GB215" s="39"/>
      <c r="GC215" s="39"/>
      <c r="GD215" s="39"/>
      <c r="GE215" s="39"/>
      <c r="GF215" s="39"/>
      <c r="GG215" s="39"/>
      <c r="GH215" s="39"/>
      <c r="GI215" s="39"/>
      <c r="GJ215" s="39"/>
      <c r="GK215" s="39"/>
      <c r="GL215" s="39"/>
      <c r="GM215" s="39"/>
      <c r="GN215" s="39"/>
      <c r="GO215" s="39"/>
      <c r="GP215" s="39"/>
      <c r="GQ215" s="39"/>
      <c r="GR215" s="39"/>
      <c r="GS215" s="39"/>
      <c r="GT215" s="39"/>
      <c r="GU215" s="39"/>
      <c r="GV215" s="39"/>
      <c r="GW215" s="39"/>
      <c r="GX215" s="39"/>
      <c r="GY215" s="39"/>
      <c r="GZ215" s="39"/>
      <c r="HA215" s="39"/>
      <c r="HB215" s="39"/>
      <c r="HC215" s="39"/>
      <c r="HD215" s="39"/>
      <c r="HE215" s="39"/>
      <c r="HF215" s="39"/>
      <c r="HG215" s="39"/>
      <c r="HH215" s="39"/>
      <c r="HI215" s="39"/>
      <c r="HJ215" s="39"/>
      <c r="HK215" s="39"/>
      <c r="HL215" s="39"/>
      <c r="HM215" s="39"/>
      <c r="HN215" s="39"/>
      <c r="HO215" s="39"/>
      <c r="HP215" s="39"/>
      <c r="HQ215" s="39"/>
      <c r="HR215" s="39"/>
      <c r="HS215" s="39"/>
      <c r="HT215" s="39"/>
      <c r="HU215" s="39"/>
      <c r="HV215" s="39"/>
      <c r="HW215" s="39"/>
      <c r="HX215" s="39"/>
      <c r="HY215" s="39"/>
      <c r="HZ215" s="39"/>
      <c r="IA215" s="39"/>
      <c r="IB215" s="39"/>
      <c r="IC215" s="39"/>
      <c r="ID215" s="39"/>
      <c r="IE215" s="39"/>
      <c r="IF215" s="39"/>
      <c r="IG215" s="39"/>
      <c r="IH215" s="39"/>
      <c r="II215" s="39"/>
      <c r="IJ215" s="39"/>
      <c r="IK215" s="39"/>
      <c r="IL215" s="39"/>
      <c r="IM215" s="39"/>
      <c r="IN215" s="39"/>
      <c r="IO215" s="39"/>
      <c r="IP215" s="39"/>
      <c r="IQ215" s="39"/>
      <c r="IR215" s="39"/>
      <c r="IS215" s="39"/>
      <c r="IT215" s="39"/>
      <c r="IU215" s="39"/>
      <c r="IV215" s="39"/>
      <c r="IW215" s="39"/>
    </row>
    <row r="216" customFormat="false" ht="12.95" hidden="false" customHeight="true" outlineLevel="0" collapsed="false">
      <c r="A216" s="37" t="str">
        <f aca="false">+'CCs # Master'!A84</f>
        <v>0011</v>
      </c>
      <c r="B216" s="39" t="str">
        <f aca="false">+'CCs # Master'!B84</f>
        <v>ESOP/Savings Plan Admin Fees</v>
      </c>
      <c r="C216" s="39" t="str">
        <f aca="false">+'CCs # Master'!C84</f>
        <v>Joyce, Mary</v>
      </c>
      <c r="D216" s="96" t="n">
        <f aca="false">+'CCs # Master'!D84</f>
        <v>100122</v>
      </c>
      <c r="E216" s="39" t="n">
        <f aca="false">+'CCs # Master'!E84</f>
        <v>235</v>
      </c>
      <c r="F216" s="39" t="n">
        <f aca="false">+'CCs # Master'!F84</f>
        <v>0</v>
      </c>
      <c r="G216" s="39" t="n">
        <f aca="false">+'CCs # Master'!G84</f>
        <v>0</v>
      </c>
      <c r="H216" s="39" t="n">
        <f aca="false">+'CCs # Master'!H84</f>
        <v>0</v>
      </c>
      <c r="I216" s="39" t="n">
        <f aca="false">+'CCs # Master'!I84</f>
        <v>0</v>
      </c>
      <c r="J216" s="39" t="n">
        <f aca="false">+'CCs # Master'!J84</f>
        <v>0</v>
      </c>
      <c r="K216" s="71" t="n">
        <f aca="false">SUM(E216:J216)</f>
        <v>235</v>
      </c>
      <c r="L216" s="39"/>
      <c r="M216" s="39" t="str">
        <f aca="false">+'CCs # Master'!M84</f>
        <v>Included in benefits rate</v>
      </c>
      <c r="N216" s="39" t="n">
        <f aca="false">+'CCs # Master'!AW84</f>
        <v>24</v>
      </c>
      <c r="O216" s="39" t="n">
        <v>0</v>
      </c>
      <c r="P216" s="39" t="n">
        <f aca="false">+'CCs # Master'!N84</f>
        <v>4</v>
      </c>
      <c r="Q216" s="39" t="n">
        <f aca="false">+'CCs # Master'!O84</f>
        <v>7</v>
      </c>
      <c r="R216" s="39" t="n">
        <f aca="false">+'CCs # Master'!P84</f>
        <v>16</v>
      </c>
      <c r="S216" s="39" t="n">
        <f aca="false">+'CCs # Master'!Q84</f>
        <v>0</v>
      </c>
      <c r="T216" s="39" t="n">
        <f aca="false">+'CCs # Master'!R84</f>
        <v>1</v>
      </c>
      <c r="U216" s="39" t="n">
        <f aca="false">+'CCs # Master'!S84</f>
        <v>25</v>
      </c>
      <c r="V216" s="39" t="n">
        <f aca="false">+'CCs # Master'!T84</f>
        <v>4</v>
      </c>
      <c r="W216" s="39" t="n">
        <f aca="false">+'CCs # Master'!U84</f>
        <v>20</v>
      </c>
      <c r="X216" s="39" t="n">
        <f aca="false">+'CCs # Master'!V84</f>
        <v>8</v>
      </c>
      <c r="Y216" s="39" t="n">
        <f aca="false">+'CCs # Master'!W84</f>
        <v>0</v>
      </c>
      <c r="Z216" s="39" t="n">
        <f aca="false">+'CCs # Master'!X84</f>
        <v>38</v>
      </c>
      <c r="AA216" s="39" t="n">
        <f aca="false">+'CCs # Master'!Y84</f>
        <v>0</v>
      </c>
      <c r="AB216" s="39" t="n">
        <f aca="false">+'CCs # Master'!Z84</f>
        <v>4</v>
      </c>
      <c r="AC216" s="39" t="n">
        <f aca="false">+'CCs # Master'!AA84</f>
        <v>1</v>
      </c>
      <c r="AD216" s="39" t="n">
        <f aca="false">+'CCs # Master'!AB84</f>
        <v>1</v>
      </c>
      <c r="AE216" s="39" t="n">
        <f aca="false">+'CCs # Master'!AC84</f>
        <v>2</v>
      </c>
      <c r="AF216" s="39" t="n">
        <f aca="false">+'CCs # Master'!AD84</f>
        <v>22</v>
      </c>
      <c r="AG216" s="39" t="n">
        <f aca="false">+'CCs # Master'!AE84</f>
        <v>29</v>
      </c>
      <c r="AH216" s="39" t="n">
        <f aca="false">+'CCs # Master'!AF84</f>
        <v>0</v>
      </c>
      <c r="AI216" s="39" t="n">
        <f aca="false">+'CCs # Master'!AG84</f>
        <v>1</v>
      </c>
      <c r="AJ216" s="39" t="n">
        <f aca="false">+'CCs # Master'!AH84</f>
        <v>2</v>
      </c>
      <c r="AK216" s="39" t="n">
        <f aca="false">+'CCs # Master'!AI84</f>
        <v>1</v>
      </c>
      <c r="AL216" s="39" t="n">
        <f aca="false">+'CCs # Master'!AJ84</f>
        <v>1</v>
      </c>
      <c r="AM216" s="39" t="n">
        <f aca="false">+'CCs # Master'!AK84</f>
        <v>2</v>
      </c>
      <c r="AN216" s="39" t="n">
        <f aca="false">+'CCs # Master'!AL84</f>
        <v>4</v>
      </c>
      <c r="AO216" s="39" t="n">
        <f aca="false">+'CCs # Master'!AM84</f>
        <v>18</v>
      </c>
      <c r="AP216" s="39" t="n">
        <f aca="false">+'CCs # Master'!AN84</f>
        <v>0</v>
      </c>
      <c r="AQ216" s="39" t="n">
        <f aca="false">+'CCs # Master'!AO84</f>
        <v>0</v>
      </c>
      <c r="AR216" s="39" t="n">
        <f aca="false">+'CCs # Master'!AP84</f>
        <v>0</v>
      </c>
      <c r="AS216" s="39" t="n">
        <f aca="false">+'CCs # Master'!AQ84</f>
        <v>0</v>
      </c>
      <c r="AT216" s="39" t="n">
        <f aca="false">+'CCs # Master'!AR84</f>
        <v>0</v>
      </c>
      <c r="AU216" s="39" t="n">
        <f aca="false">+'CCs # Master'!AS84</f>
        <v>0</v>
      </c>
      <c r="AV216" s="39" t="n">
        <f aca="false">+'CCs # Master'!AT84</f>
        <v>0</v>
      </c>
      <c r="AW216" s="0"/>
      <c r="AX216" s="71" t="n">
        <f aca="false">SUM(N216:AW216)</f>
        <v>235</v>
      </c>
      <c r="AY216" s="71" t="n">
        <f aca="false">+K216-AX216</f>
        <v>0</v>
      </c>
      <c r="AZ216" s="39"/>
      <c r="BA216" s="39" t="n">
        <f aca="false">+P216+Q216+T216+U216+V216+W216+X216+Y216</f>
        <v>69</v>
      </c>
      <c r="BB216" s="39" t="n">
        <f aca="false">N216</f>
        <v>24</v>
      </c>
      <c r="BC216" s="39" t="n">
        <f aca="false">SUM(P216:AW216)</f>
        <v>211</v>
      </c>
      <c r="BD216" s="39"/>
      <c r="BE216" s="39" t="n">
        <f aca="false">SUM(BB216:BC216)</f>
        <v>235</v>
      </c>
      <c r="BF216" s="39"/>
      <c r="BG216" s="48" t="n">
        <f aca="false">SUM(N216:AW216)</f>
        <v>235</v>
      </c>
      <c r="BH216" s="39" t="n">
        <f aca="false">BE216-BG216</f>
        <v>0</v>
      </c>
      <c r="BI216" s="39"/>
      <c r="BJ216" s="39"/>
      <c r="BK216" s="39"/>
      <c r="BL216" s="39"/>
      <c r="BM216" s="39"/>
      <c r="BN216" s="39"/>
      <c r="BO216" s="39"/>
      <c r="BP216" s="39"/>
      <c r="BQ216" s="39"/>
      <c r="BR216" s="39"/>
      <c r="BS216" s="39"/>
      <c r="BT216" s="39"/>
      <c r="BU216" s="39"/>
      <c r="BV216" s="39"/>
      <c r="BW216" s="39"/>
      <c r="BX216" s="39"/>
      <c r="BY216" s="39"/>
      <c r="BZ216" s="39"/>
      <c r="CA216" s="39"/>
      <c r="CB216" s="39"/>
      <c r="CC216" s="39"/>
      <c r="CD216" s="39"/>
      <c r="CE216" s="39"/>
      <c r="CF216" s="39"/>
      <c r="CG216" s="39"/>
      <c r="CH216" s="39"/>
      <c r="CI216" s="39"/>
      <c r="CJ216" s="39"/>
      <c r="CK216" s="39"/>
      <c r="CL216" s="39"/>
      <c r="CM216" s="39"/>
      <c r="CN216" s="39"/>
      <c r="CO216" s="39"/>
      <c r="CP216" s="39"/>
      <c r="CQ216" s="39"/>
      <c r="CR216" s="39"/>
      <c r="CS216" s="39"/>
      <c r="CT216" s="39"/>
      <c r="CU216" s="39"/>
      <c r="CV216" s="39"/>
      <c r="CW216" s="39"/>
      <c r="CX216" s="39"/>
      <c r="CY216" s="39"/>
      <c r="CZ216" s="39"/>
      <c r="DA216" s="39"/>
      <c r="DB216" s="39"/>
      <c r="DC216" s="39"/>
      <c r="DD216" s="39"/>
      <c r="DE216" s="39"/>
      <c r="DF216" s="39"/>
      <c r="DG216" s="39"/>
      <c r="DH216" s="39"/>
      <c r="DI216" s="39"/>
      <c r="DJ216" s="39"/>
      <c r="DK216" s="39"/>
      <c r="DL216" s="39"/>
      <c r="DM216" s="39"/>
      <c r="DN216" s="39"/>
      <c r="DO216" s="39"/>
      <c r="DP216" s="39"/>
      <c r="DQ216" s="39"/>
      <c r="DR216" s="39"/>
      <c r="DS216" s="39"/>
      <c r="DT216" s="39"/>
      <c r="DU216" s="39"/>
      <c r="DV216" s="39"/>
      <c r="DW216" s="39"/>
      <c r="DX216" s="39"/>
      <c r="DY216" s="39"/>
      <c r="DZ216" s="39"/>
      <c r="EA216" s="39"/>
      <c r="EB216" s="39"/>
      <c r="EC216" s="39"/>
      <c r="ED216" s="39"/>
      <c r="EE216" s="39"/>
      <c r="EF216" s="39"/>
      <c r="EG216" s="39"/>
      <c r="EH216" s="39"/>
      <c r="EI216" s="39"/>
      <c r="EJ216" s="39"/>
      <c r="EK216" s="39"/>
      <c r="EL216" s="39"/>
      <c r="EM216" s="39"/>
      <c r="EN216" s="39"/>
      <c r="EO216" s="39"/>
      <c r="EP216" s="39"/>
      <c r="EQ216" s="39"/>
      <c r="ER216" s="39"/>
      <c r="ES216" s="39"/>
      <c r="ET216" s="39"/>
      <c r="EU216" s="39"/>
      <c r="EV216" s="39"/>
      <c r="EW216" s="39"/>
      <c r="EX216" s="39"/>
      <c r="EY216" s="39"/>
      <c r="EZ216" s="39"/>
      <c r="FA216" s="39"/>
      <c r="FB216" s="39"/>
      <c r="FC216" s="39"/>
      <c r="FD216" s="39"/>
      <c r="FE216" s="39"/>
      <c r="FF216" s="39"/>
      <c r="FG216" s="39"/>
      <c r="FH216" s="39"/>
      <c r="FI216" s="39"/>
      <c r="FJ216" s="39"/>
      <c r="FK216" s="39"/>
      <c r="FL216" s="39"/>
      <c r="FM216" s="39"/>
      <c r="FN216" s="39"/>
      <c r="FO216" s="39"/>
      <c r="FP216" s="39"/>
      <c r="FQ216" s="39"/>
      <c r="FR216" s="39"/>
      <c r="FS216" s="39"/>
      <c r="FT216" s="39"/>
      <c r="FU216" s="39"/>
      <c r="FV216" s="39"/>
      <c r="FW216" s="39"/>
      <c r="FX216" s="39"/>
      <c r="FY216" s="39"/>
      <c r="FZ216" s="39"/>
      <c r="GA216" s="39"/>
      <c r="GB216" s="39"/>
      <c r="GC216" s="39"/>
      <c r="GD216" s="39"/>
      <c r="GE216" s="39"/>
      <c r="GF216" s="39"/>
      <c r="GG216" s="39"/>
      <c r="GH216" s="39"/>
      <c r="GI216" s="39"/>
      <c r="GJ216" s="39"/>
      <c r="GK216" s="39"/>
      <c r="GL216" s="39"/>
      <c r="GM216" s="39"/>
      <c r="GN216" s="39"/>
      <c r="GO216" s="39"/>
      <c r="GP216" s="39"/>
      <c r="GQ216" s="39"/>
      <c r="GR216" s="39"/>
      <c r="GS216" s="39"/>
      <c r="GT216" s="39"/>
      <c r="GU216" s="39"/>
      <c r="GV216" s="39"/>
      <c r="GW216" s="39"/>
      <c r="GX216" s="39"/>
      <c r="GY216" s="39"/>
      <c r="GZ216" s="39"/>
      <c r="HA216" s="39"/>
      <c r="HB216" s="39"/>
      <c r="HC216" s="39"/>
      <c r="HD216" s="39"/>
      <c r="HE216" s="39"/>
      <c r="HF216" s="39"/>
      <c r="HG216" s="39"/>
      <c r="HH216" s="39"/>
      <c r="HI216" s="39"/>
      <c r="HJ216" s="39"/>
      <c r="HK216" s="39"/>
      <c r="HL216" s="39"/>
      <c r="HM216" s="39"/>
      <c r="HN216" s="39"/>
      <c r="HO216" s="39"/>
      <c r="HP216" s="39"/>
      <c r="HQ216" s="39"/>
      <c r="HR216" s="39"/>
      <c r="HS216" s="39"/>
      <c r="HT216" s="39"/>
      <c r="HU216" s="39"/>
      <c r="HV216" s="39"/>
      <c r="HW216" s="39"/>
      <c r="HX216" s="39"/>
      <c r="HY216" s="39"/>
      <c r="HZ216" s="39"/>
      <c r="IA216" s="39"/>
      <c r="IB216" s="39"/>
      <c r="IC216" s="39"/>
      <c r="ID216" s="39"/>
      <c r="IE216" s="39"/>
      <c r="IF216" s="39"/>
      <c r="IG216" s="39"/>
      <c r="IH216" s="39"/>
      <c r="II216" s="39"/>
      <c r="IJ216" s="39"/>
      <c r="IK216" s="39"/>
      <c r="IL216" s="39"/>
      <c r="IM216" s="39"/>
      <c r="IN216" s="39"/>
      <c r="IO216" s="39"/>
      <c r="IP216" s="39"/>
      <c r="IQ216" s="39"/>
      <c r="IR216" s="39"/>
      <c r="IS216" s="39"/>
      <c r="IT216" s="39"/>
      <c r="IU216" s="39"/>
      <c r="IV216" s="39"/>
      <c r="IW216" s="39"/>
    </row>
    <row r="217" customFormat="false" ht="12.95" hidden="false" customHeight="true" outlineLevel="0" collapsed="false">
      <c r="A217" s="37" t="str">
        <f aca="false">+'CCs # Master'!A85</f>
        <v>0011</v>
      </c>
      <c r="B217" s="39" t="str">
        <f aca="false">+'CCs # Master'!B85</f>
        <v>Inactive Medical FAS 106</v>
      </c>
      <c r="C217" s="39" t="str">
        <f aca="false">+'CCs # Master'!C85</f>
        <v>Joyce, Mary</v>
      </c>
      <c r="D217" s="96" t="n">
        <f aca="false">+'CCs # Master'!D85</f>
        <v>100123</v>
      </c>
      <c r="E217" s="39" t="n">
        <f aca="false">+'CCs # Master'!E85</f>
        <v>14086</v>
      </c>
      <c r="F217" s="39" t="n">
        <f aca="false">+'CCs # Master'!F85</f>
        <v>0</v>
      </c>
      <c r="G217" s="39" t="n">
        <f aca="false">+'CCs # Master'!G85</f>
        <v>0</v>
      </c>
      <c r="H217" s="39" t="n">
        <f aca="false">+'CCs # Master'!H85</f>
        <v>0</v>
      </c>
      <c r="I217" s="39" t="n">
        <f aca="false">+'CCs # Master'!I85</f>
        <v>0</v>
      </c>
      <c r="J217" s="39" t="n">
        <f aca="false">+'CCs # Master'!J85</f>
        <v>0</v>
      </c>
      <c r="K217" s="71" t="n">
        <f aca="false">SUM(E217:J217)</f>
        <v>14086</v>
      </c>
      <c r="L217" s="39"/>
      <c r="M217" s="39" t="str">
        <f aca="false">+'CCs # Master'!M85</f>
        <v>Included in benefits rate</v>
      </c>
      <c r="N217" s="39" t="n">
        <f aca="false">+'CCs # Master'!AW85</f>
        <v>781</v>
      </c>
      <c r="O217" s="39" t="n">
        <v>0</v>
      </c>
      <c r="P217" s="39" t="n">
        <f aca="false">+'CCs # Master'!N85</f>
        <v>525</v>
      </c>
      <c r="Q217" s="39" t="n">
        <f aca="false">+'CCs # Master'!O85</f>
        <v>1191</v>
      </c>
      <c r="R217" s="39" t="n">
        <f aca="false">+'CCs # Master'!P85</f>
        <v>678</v>
      </c>
      <c r="S217" s="39" t="n">
        <f aca="false">+'CCs # Master'!Q85</f>
        <v>0</v>
      </c>
      <c r="T217" s="39" t="n">
        <f aca="false">+'CCs # Master'!R85</f>
        <v>26</v>
      </c>
      <c r="U217" s="39" t="n">
        <f aca="false">+'CCs # Master'!S85</f>
        <v>0</v>
      </c>
      <c r="V217" s="39" t="n">
        <f aca="false">+'CCs # Master'!T85</f>
        <v>267</v>
      </c>
      <c r="W217" s="39" t="n">
        <f aca="false">+'CCs # Master'!U85</f>
        <v>4391</v>
      </c>
      <c r="X217" s="39" t="n">
        <f aca="false">+'CCs # Master'!V85</f>
        <v>344</v>
      </c>
      <c r="Y217" s="39" t="n">
        <f aca="false">+'CCs # Master'!W85</f>
        <v>0</v>
      </c>
      <c r="Z217" s="39" t="n">
        <f aca="false">+'CCs # Master'!X85</f>
        <v>1699</v>
      </c>
      <c r="AA217" s="39" t="n">
        <f aca="false">+'CCs # Master'!Y85</f>
        <v>21</v>
      </c>
      <c r="AB217" s="39" t="n">
        <f aca="false">+'CCs # Master'!Z85</f>
        <v>149</v>
      </c>
      <c r="AC217" s="39" t="n">
        <f aca="false">+'CCs # Master'!AA85</f>
        <v>39</v>
      </c>
      <c r="AD217" s="39" t="n">
        <f aca="false">+'CCs # Master'!AB85</f>
        <v>38</v>
      </c>
      <c r="AE217" s="39" t="n">
        <f aca="false">+'CCs # Master'!AC85</f>
        <v>57</v>
      </c>
      <c r="AF217" s="39" t="n">
        <f aca="false">+'CCs # Master'!AD85</f>
        <v>1023</v>
      </c>
      <c r="AG217" s="39" t="n">
        <f aca="false">+'CCs # Master'!AE85</f>
        <v>1298</v>
      </c>
      <c r="AH217" s="39" t="n">
        <f aca="false">+'CCs # Master'!AF85</f>
        <v>0</v>
      </c>
      <c r="AI217" s="39" t="n">
        <f aca="false">+'CCs # Master'!AG85</f>
        <v>100</v>
      </c>
      <c r="AJ217" s="39" t="n">
        <f aca="false">+'CCs # Master'!AH85</f>
        <v>131</v>
      </c>
      <c r="AK217" s="39" t="n">
        <f aca="false">+'CCs # Master'!AI85</f>
        <v>93</v>
      </c>
      <c r="AL217" s="39" t="n">
        <f aca="false">+'CCs # Master'!AJ85</f>
        <v>74</v>
      </c>
      <c r="AM217" s="39" t="n">
        <f aca="false">+'CCs # Master'!AK85</f>
        <v>125</v>
      </c>
      <c r="AN217" s="39" t="n">
        <f aca="false">+'CCs # Master'!AL85</f>
        <v>242</v>
      </c>
      <c r="AO217" s="39" t="n">
        <f aca="false">+'CCs # Master'!AM85</f>
        <v>794</v>
      </c>
      <c r="AP217" s="39" t="n">
        <f aca="false">+'CCs # Master'!AN85</f>
        <v>0</v>
      </c>
      <c r="AQ217" s="39" t="n">
        <f aca="false">+'CCs # Master'!AO85</f>
        <v>0</v>
      </c>
      <c r="AR217" s="39" t="n">
        <f aca="false">+'CCs # Master'!AP85</f>
        <v>0</v>
      </c>
      <c r="AS217" s="39" t="n">
        <f aca="false">+'CCs # Master'!AQ85</f>
        <v>0</v>
      </c>
      <c r="AT217" s="39" t="n">
        <f aca="false">+'CCs # Master'!AR85</f>
        <v>0</v>
      </c>
      <c r="AU217" s="39" t="n">
        <f aca="false">+'CCs # Master'!AS85</f>
        <v>0</v>
      </c>
      <c r="AV217" s="39" t="n">
        <f aca="false">+'CCs # Master'!AT85</f>
        <v>0</v>
      </c>
      <c r="AW217" s="0"/>
      <c r="AX217" s="71" t="n">
        <f aca="false">SUM(N217:AW217)</f>
        <v>14086</v>
      </c>
      <c r="AY217" s="71" t="n">
        <f aca="false">+K217-AX217</f>
        <v>0</v>
      </c>
      <c r="AZ217" s="39"/>
      <c r="BA217" s="39" t="n">
        <f aca="false">+P217+Q217+T217+U217+V217+W217+X217+Y217</f>
        <v>6744</v>
      </c>
      <c r="BB217" s="39" t="n">
        <f aca="false">N217</f>
        <v>781</v>
      </c>
      <c r="BC217" s="39" t="n">
        <f aca="false">SUM(P217:AW217)</f>
        <v>13305</v>
      </c>
      <c r="BD217" s="39"/>
      <c r="BE217" s="39" t="n">
        <f aca="false">SUM(BB217:BC217)</f>
        <v>14086</v>
      </c>
      <c r="BF217" s="39"/>
      <c r="BG217" s="48" t="n">
        <f aca="false">SUM(N217:AW217)</f>
        <v>14086</v>
      </c>
      <c r="BH217" s="39" t="n">
        <f aca="false">BE217-BG217</f>
        <v>0</v>
      </c>
      <c r="BI217" s="39"/>
      <c r="BJ217" s="39"/>
      <c r="BK217" s="39"/>
      <c r="BL217" s="39"/>
      <c r="BM217" s="39"/>
      <c r="BN217" s="39"/>
      <c r="BO217" s="39"/>
      <c r="BP217" s="39"/>
      <c r="BQ217" s="39"/>
      <c r="BR217" s="39"/>
      <c r="BS217" s="39"/>
      <c r="BT217" s="39"/>
      <c r="BU217" s="39"/>
      <c r="BV217" s="39"/>
      <c r="BW217" s="39"/>
      <c r="BX217" s="39"/>
      <c r="BY217" s="39"/>
      <c r="BZ217" s="39"/>
      <c r="CA217" s="39"/>
      <c r="CB217" s="39"/>
      <c r="CC217" s="39"/>
      <c r="CD217" s="39"/>
      <c r="CE217" s="39"/>
      <c r="CF217" s="39"/>
      <c r="CG217" s="39"/>
      <c r="CH217" s="39"/>
      <c r="CI217" s="39"/>
      <c r="CJ217" s="39"/>
      <c r="CK217" s="39"/>
      <c r="CL217" s="39"/>
      <c r="CM217" s="39"/>
      <c r="CN217" s="39"/>
      <c r="CO217" s="39"/>
      <c r="CP217" s="39"/>
      <c r="CQ217" s="39"/>
      <c r="CR217" s="39"/>
      <c r="CS217" s="39"/>
      <c r="CT217" s="39"/>
      <c r="CU217" s="39"/>
      <c r="CV217" s="39"/>
      <c r="CW217" s="39"/>
      <c r="CX217" s="39"/>
      <c r="CY217" s="39"/>
      <c r="CZ217" s="39"/>
      <c r="DA217" s="39"/>
      <c r="DB217" s="39"/>
      <c r="DC217" s="39"/>
      <c r="DD217" s="39"/>
      <c r="DE217" s="39"/>
      <c r="DF217" s="39"/>
      <c r="DG217" s="39"/>
      <c r="DH217" s="39"/>
      <c r="DI217" s="39"/>
      <c r="DJ217" s="39"/>
      <c r="DK217" s="39"/>
      <c r="DL217" s="39"/>
      <c r="DM217" s="39"/>
      <c r="DN217" s="39"/>
      <c r="DO217" s="39"/>
      <c r="DP217" s="39"/>
      <c r="DQ217" s="39"/>
      <c r="DR217" s="39"/>
      <c r="DS217" s="39"/>
      <c r="DT217" s="39"/>
      <c r="DU217" s="39"/>
      <c r="DV217" s="39"/>
      <c r="DW217" s="39"/>
      <c r="DX217" s="39"/>
      <c r="DY217" s="39"/>
      <c r="DZ217" s="39"/>
      <c r="EA217" s="39"/>
      <c r="EB217" s="39"/>
      <c r="EC217" s="39"/>
      <c r="ED217" s="39"/>
      <c r="EE217" s="39"/>
      <c r="EF217" s="39"/>
      <c r="EG217" s="39"/>
      <c r="EH217" s="39"/>
      <c r="EI217" s="39"/>
      <c r="EJ217" s="39"/>
      <c r="EK217" s="39"/>
      <c r="EL217" s="39"/>
      <c r="EM217" s="39"/>
      <c r="EN217" s="39"/>
      <c r="EO217" s="39"/>
      <c r="EP217" s="39"/>
      <c r="EQ217" s="39"/>
      <c r="ER217" s="39"/>
      <c r="ES217" s="39"/>
      <c r="ET217" s="39"/>
      <c r="EU217" s="39"/>
      <c r="EV217" s="39"/>
      <c r="EW217" s="39"/>
      <c r="EX217" s="39"/>
      <c r="EY217" s="39"/>
      <c r="EZ217" s="39"/>
      <c r="FA217" s="39"/>
      <c r="FB217" s="39"/>
      <c r="FC217" s="39"/>
      <c r="FD217" s="39"/>
      <c r="FE217" s="39"/>
      <c r="FF217" s="39"/>
      <c r="FG217" s="39"/>
      <c r="FH217" s="39"/>
      <c r="FI217" s="39"/>
      <c r="FJ217" s="39"/>
      <c r="FK217" s="39"/>
      <c r="FL217" s="39"/>
      <c r="FM217" s="39"/>
      <c r="FN217" s="39"/>
      <c r="FO217" s="39"/>
      <c r="FP217" s="39"/>
      <c r="FQ217" s="39"/>
      <c r="FR217" s="39"/>
      <c r="FS217" s="39"/>
      <c r="FT217" s="39"/>
      <c r="FU217" s="39"/>
      <c r="FV217" s="39"/>
      <c r="FW217" s="39"/>
      <c r="FX217" s="39"/>
      <c r="FY217" s="39"/>
      <c r="FZ217" s="39"/>
      <c r="GA217" s="39"/>
      <c r="GB217" s="39"/>
      <c r="GC217" s="39"/>
      <c r="GD217" s="39"/>
      <c r="GE217" s="39"/>
      <c r="GF217" s="39"/>
      <c r="GG217" s="39"/>
      <c r="GH217" s="39"/>
      <c r="GI217" s="39"/>
      <c r="GJ217" s="39"/>
      <c r="GK217" s="39"/>
      <c r="GL217" s="39"/>
      <c r="GM217" s="39"/>
      <c r="GN217" s="39"/>
      <c r="GO217" s="39"/>
      <c r="GP217" s="39"/>
      <c r="GQ217" s="39"/>
      <c r="GR217" s="39"/>
      <c r="GS217" s="39"/>
      <c r="GT217" s="39"/>
      <c r="GU217" s="39"/>
      <c r="GV217" s="39"/>
      <c r="GW217" s="39"/>
      <c r="GX217" s="39"/>
      <c r="GY217" s="39"/>
      <c r="GZ217" s="39"/>
      <c r="HA217" s="39"/>
      <c r="HB217" s="39"/>
      <c r="HC217" s="39"/>
      <c r="HD217" s="39"/>
      <c r="HE217" s="39"/>
      <c r="HF217" s="39"/>
      <c r="HG217" s="39"/>
      <c r="HH217" s="39"/>
      <c r="HI217" s="39"/>
      <c r="HJ217" s="39"/>
      <c r="HK217" s="39"/>
      <c r="HL217" s="39"/>
      <c r="HM217" s="39"/>
      <c r="HN217" s="39"/>
      <c r="HO217" s="39"/>
      <c r="HP217" s="39"/>
      <c r="HQ217" s="39"/>
      <c r="HR217" s="39"/>
      <c r="HS217" s="39"/>
      <c r="HT217" s="39"/>
      <c r="HU217" s="39"/>
      <c r="HV217" s="39"/>
      <c r="HW217" s="39"/>
      <c r="HX217" s="39"/>
      <c r="HY217" s="39"/>
      <c r="HZ217" s="39"/>
      <c r="IA217" s="39"/>
      <c r="IB217" s="39"/>
      <c r="IC217" s="39"/>
      <c r="ID217" s="39"/>
      <c r="IE217" s="39"/>
      <c r="IF217" s="39"/>
      <c r="IG217" s="39"/>
      <c r="IH217" s="39"/>
      <c r="II217" s="39"/>
      <c r="IJ217" s="39"/>
      <c r="IK217" s="39"/>
      <c r="IL217" s="39"/>
      <c r="IM217" s="39"/>
      <c r="IN217" s="39"/>
      <c r="IO217" s="39"/>
      <c r="IP217" s="39"/>
      <c r="IQ217" s="39"/>
      <c r="IR217" s="39"/>
      <c r="IS217" s="39"/>
      <c r="IT217" s="39"/>
      <c r="IU217" s="39"/>
      <c r="IV217" s="39"/>
      <c r="IW217" s="39"/>
    </row>
    <row r="218" customFormat="false" ht="12.95" hidden="false" customHeight="true" outlineLevel="0" collapsed="false">
      <c r="A218" s="37" t="str">
        <f aca="false">+'CCs # Master'!A86</f>
        <v>0011</v>
      </c>
      <c r="B218" s="39" t="str">
        <f aca="false">+'CCs # Master'!B86</f>
        <v>Active Medical/Dental</v>
      </c>
      <c r="C218" s="39" t="str">
        <f aca="false">+'CCs # Master'!C86</f>
        <v>Joyce, Mary</v>
      </c>
      <c r="D218" s="96" t="n">
        <f aca="false">+'CCs # Master'!D86</f>
        <v>100124</v>
      </c>
      <c r="E218" s="39" t="n">
        <f aca="false">+'CCs # Master'!E86</f>
        <v>41752</v>
      </c>
      <c r="F218" s="39" t="n">
        <f aca="false">+'CCs # Master'!F86</f>
        <v>0</v>
      </c>
      <c r="G218" s="39" t="n">
        <f aca="false">+'CCs # Master'!G86</f>
        <v>0</v>
      </c>
      <c r="H218" s="39" t="n">
        <f aca="false">+'CCs # Master'!H86</f>
        <v>0</v>
      </c>
      <c r="I218" s="39" t="n">
        <f aca="false">+'CCs # Master'!I86</f>
        <v>0</v>
      </c>
      <c r="J218" s="39" t="n">
        <f aca="false">+'CCs # Master'!J86</f>
        <v>0</v>
      </c>
      <c r="K218" s="71" t="n">
        <f aca="false">SUM(E218:J218)</f>
        <v>41752</v>
      </c>
      <c r="L218" s="39"/>
      <c r="M218" s="39" t="str">
        <f aca="false">+'CCs # Master'!M86</f>
        <v>Included in benefits rate</v>
      </c>
      <c r="N218" s="39" t="n">
        <f aca="false">+'CCs # Master'!AW86</f>
        <v>4940</v>
      </c>
      <c r="O218" s="39" t="n">
        <v>0</v>
      </c>
      <c r="P218" s="39" t="n">
        <f aca="false">+'CCs # Master'!N86</f>
        <v>777</v>
      </c>
      <c r="Q218" s="39" t="n">
        <f aca="false">+'CCs # Master'!O86</f>
        <v>1474</v>
      </c>
      <c r="R218" s="39" t="n">
        <f aca="false">+'CCs # Master'!P86</f>
        <v>3232</v>
      </c>
      <c r="S218" s="39" t="n">
        <f aca="false">+'CCs # Master'!Q86</f>
        <v>0</v>
      </c>
      <c r="T218" s="39" t="n">
        <f aca="false">+'CCs # Master'!R86</f>
        <v>150</v>
      </c>
      <c r="U218" s="39" t="n">
        <f aca="false">+'CCs # Master'!S86</f>
        <v>0</v>
      </c>
      <c r="V218" s="39" t="n">
        <f aca="false">+'CCs # Master'!T86</f>
        <v>885</v>
      </c>
      <c r="W218" s="39" t="n">
        <f aca="false">+'CCs # Master'!U86</f>
        <v>4151</v>
      </c>
      <c r="X218" s="39" t="n">
        <f aca="false">+'CCs # Master'!V86</f>
        <v>1545</v>
      </c>
      <c r="Y218" s="39" t="n">
        <f aca="false">+'CCs # Master'!W86</f>
        <v>0</v>
      </c>
      <c r="Z218" s="39" t="n">
        <f aca="false">+'CCs # Master'!X86</f>
        <v>6745</v>
      </c>
      <c r="AA218" s="39" t="n">
        <f aca="false">+'CCs # Master'!Y86</f>
        <v>71</v>
      </c>
      <c r="AB218" s="39" t="n">
        <f aca="false">+'CCs # Master'!Z86</f>
        <v>889</v>
      </c>
      <c r="AC218" s="39" t="n">
        <f aca="false">+'CCs # Master'!AA86</f>
        <v>180</v>
      </c>
      <c r="AD218" s="39" t="n">
        <f aca="false">+'CCs # Master'!AB86</f>
        <v>175</v>
      </c>
      <c r="AE218" s="39" t="n">
        <f aca="false">+'CCs # Master'!AC86</f>
        <v>359</v>
      </c>
      <c r="AF218" s="39" t="n">
        <f aca="false">+'CCs # Master'!AD86</f>
        <v>4356</v>
      </c>
      <c r="AG218" s="39" t="n">
        <f aca="false">+'CCs # Master'!AE86</f>
        <v>5638</v>
      </c>
      <c r="AH218" s="39" t="n">
        <f aca="false">+'CCs # Master'!AF86</f>
        <v>0</v>
      </c>
      <c r="AI218" s="39" t="n">
        <f aca="false">+'CCs # Master'!AG86</f>
        <v>292</v>
      </c>
      <c r="AJ218" s="39" t="n">
        <f aca="false">+'CCs # Master'!AH86</f>
        <v>393</v>
      </c>
      <c r="AK218" s="39" t="n">
        <f aca="false">+'CCs # Master'!AI86</f>
        <v>271</v>
      </c>
      <c r="AL218" s="39" t="n">
        <f aca="false">+'CCs # Master'!AJ86</f>
        <v>230</v>
      </c>
      <c r="AM218" s="39" t="n">
        <f aca="false">+'CCs # Master'!AK86</f>
        <v>472</v>
      </c>
      <c r="AN218" s="39" t="n">
        <f aca="false">+'CCs # Master'!AL86</f>
        <v>881</v>
      </c>
      <c r="AO218" s="39" t="n">
        <f aca="false">+'CCs # Master'!AM86</f>
        <v>3646</v>
      </c>
      <c r="AP218" s="39" t="n">
        <f aca="false">+'CCs # Master'!AN86</f>
        <v>0</v>
      </c>
      <c r="AQ218" s="39" t="n">
        <f aca="false">+'CCs # Master'!AO86</f>
        <v>0</v>
      </c>
      <c r="AR218" s="39" t="n">
        <f aca="false">+'CCs # Master'!AP86</f>
        <v>0</v>
      </c>
      <c r="AS218" s="39" t="n">
        <f aca="false">+'CCs # Master'!AQ86</f>
        <v>0</v>
      </c>
      <c r="AT218" s="39" t="n">
        <f aca="false">+'CCs # Master'!AR86</f>
        <v>0</v>
      </c>
      <c r="AU218" s="39" t="n">
        <f aca="false">+'CCs # Master'!AS86</f>
        <v>0</v>
      </c>
      <c r="AV218" s="39" t="n">
        <f aca="false">+'CCs # Master'!AT86</f>
        <v>0</v>
      </c>
      <c r="AW218" s="0"/>
      <c r="AX218" s="71" t="n">
        <f aca="false">SUM(N218:AW218)</f>
        <v>41752</v>
      </c>
      <c r="AY218" s="71" t="n">
        <f aca="false">+K218-AX218</f>
        <v>0</v>
      </c>
      <c r="AZ218" s="39"/>
      <c r="BA218" s="39" t="n">
        <f aca="false">+P218+Q218+T218+U218+V218+W218+X218+Y218</f>
        <v>8982</v>
      </c>
      <c r="BB218" s="39" t="n">
        <f aca="false">N218</f>
        <v>4940</v>
      </c>
      <c r="BC218" s="39" t="n">
        <f aca="false">SUM(P218:AW218)</f>
        <v>36812</v>
      </c>
      <c r="BD218" s="39"/>
      <c r="BE218" s="39" t="n">
        <f aca="false">SUM(BB218:BC218)</f>
        <v>41752</v>
      </c>
      <c r="BF218" s="39"/>
      <c r="BG218" s="48" t="n">
        <f aca="false">SUM(N218:AW218)</f>
        <v>41752</v>
      </c>
      <c r="BH218" s="39" t="n">
        <f aca="false">BE218-BG218</f>
        <v>0</v>
      </c>
      <c r="BI218" s="39"/>
      <c r="BJ218" s="39"/>
      <c r="BK218" s="39"/>
      <c r="BL218" s="39"/>
      <c r="BM218" s="39"/>
      <c r="BN218" s="39"/>
      <c r="BO218" s="39"/>
      <c r="BP218" s="39"/>
      <c r="BQ218" s="39"/>
      <c r="BR218" s="39"/>
      <c r="BS218" s="39"/>
      <c r="BT218" s="39"/>
      <c r="BU218" s="39"/>
      <c r="BV218" s="39"/>
      <c r="BW218" s="39"/>
      <c r="BX218" s="39"/>
      <c r="BY218" s="39"/>
      <c r="BZ218" s="39"/>
      <c r="CA218" s="39"/>
      <c r="CB218" s="39"/>
      <c r="CC218" s="39"/>
      <c r="CD218" s="39"/>
      <c r="CE218" s="39"/>
      <c r="CF218" s="39"/>
      <c r="CG218" s="39"/>
      <c r="CH218" s="39"/>
      <c r="CI218" s="39"/>
      <c r="CJ218" s="39"/>
      <c r="CK218" s="39"/>
      <c r="CL218" s="39"/>
      <c r="CM218" s="39"/>
      <c r="CN218" s="39"/>
      <c r="CO218" s="39"/>
      <c r="CP218" s="39"/>
      <c r="CQ218" s="39"/>
      <c r="CR218" s="39"/>
      <c r="CS218" s="39"/>
      <c r="CT218" s="39"/>
      <c r="CU218" s="39"/>
      <c r="CV218" s="39"/>
      <c r="CW218" s="39"/>
      <c r="CX218" s="39"/>
      <c r="CY218" s="39"/>
      <c r="CZ218" s="39"/>
      <c r="DA218" s="39"/>
      <c r="DB218" s="39"/>
      <c r="DC218" s="39"/>
      <c r="DD218" s="39"/>
      <c r="DE218" s="39"/>
      <c r="DF218" s="39"/>
      <c r="DG218" s="39"/>
      <c r="DH218" s="39"/>
      <c r="DI218" s="39"/>
      <c r="DJ218" s="39"/>
      <c r="DK218" s="39"/>
      <c r="DL218" s="39"/>
      <c r="DM218" s="39"/>
      <c r="DN218" s="39"/>
      <c r="DO218" s="39"/>
      <c r="DP218" s="39"/>
      <c r="DQ218" s="39"/>
      <c r="DR218" s="39"/>
      <c r="DS218" s="39"/>
      <c r="DT218" s="39"/>
      <c r="DU218" s="39"/>
      <c r="DV218" s="39"/>
      <c r="DW218" s="39"/>
      <c r="DX218" s="39"/>
      <c r="DY218" s="39"/>
      <c r="DZ218" s="39"/>
      <c r="EA218" s="39"/>
      <c r="EB218" s="39"/>
      <c r="EC218" s="39"/>
      <c r="ED218" s="39"/>
      <c r="EE218" s="39"/>
      <c r="EF218" s="39"/>
      <c r="EG218" s="39"/>
      <c r="EH218" s="39"/>
      <c r="EI218" s="39"/>
      <c r="EJ218" s="39"/>
      <c r="EK218" s="39"/>
      <c r="EL218" s="39"/>
      <c r="EM218" s="39"/>
      <c r="EN218" s="39"/>
      <c r="EO218" s="39"/>
      <c r="EP218" s="39"/>
      <c r="EQ218" s="39"/>
      <c r="ER218" s="39"/>
      <c r="ES218" s="39"/>
      <c r="ET218" s="39"/>
      <c r="EU218" s="39"/>
      <c r="EV218" s="39"/>
      <c r="EW218" s="39"/>
      <c r="EX218" s="39"/>
      <c r="EY218" s="39"/>
      <c r="EZ218" s="39"/>
      <c r="FA218" s="39"/>
      <c r="FB218" s="39"/>
      <c r="FC218" s="39"/>
      <c r="FD218" s="39"/>
      <c r="FE218" s="39"/>
      <c r="FF218" s="39"/>
      <c r="FG218" s="39"/>
      <c r="FH218" s="39"/>
      <c r="FI218" s="39"/>
      <c r="FJ218" s="39"/>
      <c r="FK218" s="39"/>
      <c r="FL218" s="39"/>
      <c r="FM218" s="39"/>
      <c r="FN218" s="39"/>
      <c r="FO218" s="39"/>
      <c r="FP218" s="39"/>
      <c r="FQ218" s="39"/>
      <c r="FR218" s="39"/>
      <c r="FS218" s="39"/>
      <c r="FT218" s="39"/>
      <c r="FU218" s="39"/>
      <c r="FV218" s="39"/>
      <c r="FW218" s="39"/>
      <c r="FX218" s="39"/>
      <c r="FY218" s="39"/>
      <c r="FZ218" s="39"/>
      <c r="GA218" s="39"/>
      <c r="GB218" s="39"/>
      <c r="GC218" s="39"/>
      <c r="GD218" s="39"/>
      <c r="GE218" s="39"/>
      <c r="GF218" s="39"/>
      <c r="GG218" s="39"/>
      <c r="GH218" s="39"/>
      <c r="GI218" s="39"/>
      <c r="GJ218" s="39"/>
      <c r="GK218" s="39"/>
      <c r="GL218" s="39"/>
      <c r="GM218" s="39"/>
      <c r="GN218" s="39"/>
      <c r="GO218" s="39"/>
      <c r="GP218" s="39"/>
      <c r="GQ218" s="39"/>
      <c r="GR218" s="39"/>
      <c r="GS218" s="39"/>
      <c r="GT218" s="39"/>
      <c r="GU218" s="39"/>
      <c r="GV218" s="39"/>
      <c r="GW218" s="39"/>
      <c r="GX218" s="39"/>
      <c r="GY218" s="39"/>
      <c r="GZ218" s="39"/>
      <c r="HA218" s="39"/>
      <c r="HB218" s="39"/>
      <c r="HC218" s="39"/>
      <c r="HD218" s="39"/>
      <c r="HE218" s="39"/>
      <c r="HF218" s="39"/>
      <c r="HG218" s="39"/>
      <c r="HH218" s="39"/>
      <c r="HI218" s="39"/>
      <c r="HJ218" s="39"/>
      <c r="HK218" s="39"/>
      <c r="HL218" s="39"/>
      <c r="HM218" s="39"/>
      <c r="HN218" s="39"/>
      <c r="HO218" s="39"/>
      <c r="HP218" s="39"/>
      <c r="HQ218" s="39"/>
      <c r="HR218" s="39"/>
      <c r="HS218" s="39"/>
      <c r="HT218" s="39"/>
      <c r="HU218" s="39"/>
      <c r="HV218" s="39"/>
      <c r="HW218" s="39"/>
      <c r="HX218" s="39"/>
      <c r="HY218" s="39"/>
      <c r="HZ218" s="39"/>
      <c r="IA218" s="39"/>
      <c r="IB218" s="39"/>
      <c r="IC218" s="39"/>
      <c r="ID218" s="39"/>
      <c r="IE218" s="39"/>
      <c r="IF218" s="39"/>
      <c r="IG218" s="39"/>
      <c r="IH218" s="39"/>
      <c r="II218" s="39"/>
      <c r="IJ218" s="39"/>
      <c r="IK218" s="39"/>
      <c r="IL218" s="39"/>
      <c r="IM218" s="39"/>
      <c r="IN218" s="39"/>
      <c r="IO218" s="39"/>
      <c r="IP218" s="39"/>
      <c r="IQ218" s="39"/>
      <c r="IR218" s="39"/>
      <c r="IS218" s="39"/>
      <c r="IT218" s="39"/>
      <c r="IU218" s="39"/>
      <c r="IV218" s="39"/>
      <c r="IW218" s="39"/>
    </row>
    <row r="219" customFormat="false" ht="12.95" hidden="false" customHeight="true" outlineLevel="0" collapsed="false">
      <c r="A219" s="37" t="str">
        <f aca="false">+'CCs # Master'!A87</f>
        <v>0011</v>
      </c>
      <c r="B219" s="39" t="str">
        <f aca="false">+'CCs # Master'!B87</f>
        <v>Flex Admin/BTA</v>
      </c>
      <c r="C219" s="39" t="str">
        <f aca="false">+'CCs # Master'!C87</f>
        <v>Joyce, Mary</v>
      </c>
      <c r="D219" s="96" t="n">
        <f aca="false">+'CCs # Master'!D87</f>
        <v>100125</v>
      </c>
      <c r="E219" s="39" t="n">
        <f aca="false">+'CCs # Master'!E87</f>
        <v>4107</v>
      </c>
      <c r="F219" s="39" t="n">
        <f aca="false">+'CCs # Master'!F87</f>
        <v>0</v>
      </c>
      <c r="G219" s="39" t="n">
        <f aca="false">+'CCs # Master'!G87</f>
        <v>0</v>
      </c>
      <c r="H219" s="39" t="n">
        <f aca="false">+'CCs # Master'!H87</f>
        <v>0</v>
      </c>
      <c r="I219" s="39" t="n">
        <f aca="false">+'CCs # Master'!I87</f>
        <v>0</v>
      </c>
      <c r="J219" s="39" t="n">
        <f aca="false">+'CCs # Master'!J87</f>
        <v>0</v>
      </c>
      <c r="K219" s="71" t="n">
        <f aca="false">SUM(E219:J219)</f>
        <v>4107</v>
      </c>
      <c r="L219" s="39"/>
      <c r="M219" s="39" t="str">
        <f aca="false">+'CCs # Master'!M87</f>
        <v>Included in benefits rate</v>
      </c>
      <c r="N219" s="39" t="n">
        <f aca="false">+'CCs # Master'!AW87</f>
        <v>490</v>
      </c>
      <c r="O219" s="39" t="n">
        <v>0</v>
      </c>
      <c r="P219" s="39" t="n">
        <f aca="false">+'CCs # Master'!N87</f>
        <v>75</v>
      </c>
      <c r="Q219" s="39" t="n">
        <f aca="false">+'CCs # Master'!O87</f>
        <v>142</v>
      </c>
      <c r="R219" s="39" t="n">
        <f aca="false">+'CCs # Master'!P87</f>
        <v>311</v>
      </c>
      <c r="S219" s="39" t="n">
        <f aca="false">+'CCs # Master'!Q87</f>
        <v>0</v>
      </c>
      <c r="T219" s="39" t="n">
        <f aca="false">+'CCs # Master'!R87</f>
        <v>14</v>
      </c>
      <c r="U219" s="39" t="n">
        <f aca="false">+'CCs # Master'!S87</f>
        <v>0</v>
      </c>
      <c r="V219" s="39" t="n">
        <f aca="false">+'CCs # Master'!T87</f>
        <v>85</v>
      </c>
      <c r="W219" s="39" t="n">
        <f aca="false">+'CCs # Master'!U87</f>
        <v>400</v>
      </c>
      <c r="X219" s="39" t="n">
        <f aca="false">+'CCs # Master'!V87</f>
        <v>149</v>
      </c>
      <c r="Y219" s="39" t="n">
        <f aca="false">+'CCs # Master'!W87</f>
        <v>0</v>
      </c>
      <c r="Z219" s="39" t="n">
        <f aca="false">+'CCs # Master'!X87</f>
        <v>736</v>
      </c>
      <c r="AA219" s="39" t="n">
        <f aca="false">+'CCs # Master'!Y87</f>
        <v>7</v>
      </c>
      <c r="AB219" s="39" t="n">
        <f aca="false">+'CCs # Master'!Z87</f>
        <v>86</v>
      </c>
      <c r="AC219" s="39" t="n">
        <f aca="false">+'CCs # Master'!AA87</f>
        <v>17</v>
      </c>
      <c r="AD219" s="39" t="n">
        <f aca="false">+'CCs # Master'!AB87</f>
        <v>17</v>
      </c>
      <c r="AE219" s="39" t="n">
        <f aca="false">+'CCs # Master'!AC87</f>
        <v>35</v>
      </c>
      <c r="AF219" s="39" t="n">
        <f aca="false">+'CCs # Master'!AD87</f>
        <v>419</v>
      </c>
      <c r="AG219" s="39" t="n">
        <f aca="false">+'CCs # Master'!AE87</f>
        <v>543</v>
      </c>
      <c r="AH219" s="39" t="n">
        <f aca="false">+'CCs # Master'!AF87</f>
        <v>0</v>
      </c>
      <c r="AI219" s="39" t="n">
        <f aca="false">+'CCs # Master'!AG87</f>
        <v>14</v>
      </c>
      <c r="AJ219" s="39" t="n">
        <f aca="false">+'CCs # Master'!AH87</f>
        <v>38</v>
      </c>
      <c r="AK219" s="39" t="n">
        <f aca="false">+'CCs # Master'!AI87</f>
        <v>26</v>
      </c>
      <c r="AL219" s="39" t="n">
        <f aca="false">+'CCs # Master'!AJ87</f>
        <v>22</v>
      </c>
      <c r="AM219" s="39" t="n">
        <f aca="false">+'CCs # Master'!AK87</f>
        <v>45</v>
      </c>
      <c r="AN219" s="39" t="n">
        <f aca="false">+'CCs # Master'!AL87</f>
        <v>85</v>
      </c>
      <c r="AO219" s="39" t="n">
        <f aca="false">+'CCs # Master'!AM87</f>
        <v>351</v>
      </c>
      <c r="AP219" s="39" t="n">
        <f aca="false">+'CCs # Master'!AN87</f>
        <v>0</v>
      </c>
      <c r="AQ219" s="39" t="n">
        <f aca="false">+'CCs # Master'!AO87</f>
        <v>0</v>
      </c>
      <c r="AR219" s="39" t="n">
        <f aca="false">+'CCs # Master'!AP87</f>
        <v>0</v>
      </c>
      <c r="AS219" s="39" t="n">
        <f aca="false">+'CCs # Master'!AQ87</f>
        <v>0</v>
      </c>
      <c r="AT219" s="39" t="n">
        <f aca="false">+'CCs # Master'!AR87</f>
        <v>0</v>
      </c>
      <c r="AU219" s="39" t="n">
        <f aca="false">+'CCs # Master'!AS87</f>
        <v>0</v>
      </c>
      <c r="AV219" s="39" t="n">
        <f aca="false">+'CCs # Master'!AT87</f>
        <v>0</v>
      </c>
      <c r="AW219" s="0"/>
      <c r="AX219" s="71" t="n">
        <f aca="false">SUM(N219:AW219)</f>
        <v>4107</v>
      </c>
      <c r="AY219" s="71" t="n">
        <f aca="false">+K219-AX219</f>
        <v>0</v>
      </c>
      <c r="AZ219" s="39"/>
      <c r="BA219" s="39" t="n">
        <f aca="false">+P219+Q219+T219+U219+V219+W219+X219+Y219</f>
        <v>865</v>
      </c>
      <c r="BB219" s="39" t="n">
        <f aca="false">N219</f>
        <v>490</v>
      </c>
      <c r="BC219" s="39" t="n">
        <f aca="false">SUM(P219:AW219)</f>
        <v>3617</v>
      </c>
      <c r="BD219" s="39"/>
      <c r="BE219" s="39" t="n">
        <f aca="false">SUM(BB219:BC219)</f>
        <v>4107</v>
      </c>
      <c r="BF219" s="39"/>
      <c r="BG219" s="48" t="n">
        <f aca="false">SUM(N219:AW219)</f>
        <v>4107</v>
      </c>
      <c r="BH219" s="39" t="n">
        <f aca="false">BE219-BG219</f>
        <v>0</v>
      </c>
      <c r="BI219" s="39"/>
      <c r="BJ219" s="39"/>
      <c r="BK219" s="39"/>
      <c r="BL219" s="39"/>
      <c r="BM219" s="39"/>
      <c r="BN219" s="39"/>
      <c r="BO219" s="39"/>
      <c r="BP219" s="39"/>
      <c r="BQ219" s="39"/>
      <c r="BR219" s="39"/>
      <c r="BS219" s="39"/>
      <c r="BT219" s="39"/>
      <c r="BU219" s="39"/>
      <c r="BV219" s="39"/>
      <c r="BW219" s="39"/>
      <c r="BX219" s="39"/>
      <c r="BY219" s="39"/>
      <c r="BZ219" s="39"/>
      <c r="CA219" s="39"/>
      <c r="CB219" s="39"/>
      <c r="CC219" s="39"/>
      <c r="CD219" s="39"/>
      <c r="CE219" s="39"/>
      <c r="CF219" s="39"/>
      <c r="CG219" s="39"/>
      <c r="CH219" s="39"/>
      <c r="CI219" s="39"/>
      <c r="CJ219" s="39"/>
      <c r="CK219" s="39"/>
      <c r="CL219" s="39"/>
      <c r="CM219" s="39"/>
      <c r="CN219" s="39"/>
      <c r="CO219" s="39"/>
      <c r="CP219" s="39"/>
      <c r="CQ219" s="39"/>
      <c r="CR219" s="39"/>
      <c r="CS219" s="39"/>
      <c r="CT219" s="39"/>
      <c r="CU219" s="39"/>
      <c r="CV219" s="39"/>
      <c r="CW219" s="39"/>
      <c r="CX219" s="39"/>
      <c r="CY219" s="39"/>
      <c r="CZ219" s="39"/>
      <c r="DA219" s="39"/>
      <c r="DB219" s="39"/>
      <c r="DC219" s="39"/>
      <c r="DD219" s="39"/>
      <c r="DE219" s="39"/>
      <c r="DF219" s="39"/>
      <c r="DG219" s="39"/>
      <c r="DH219" s="39"/>
      <c r="DI219" s="39"/>
      <c r="DJ219" s="39"/>
      <c r="DK219" s="39"/>
      <c r="DL219" s="39"/>
      <c r="DM219" s="39"/>
      <c r="DN219" s="39"/>
      <c r="DO219" s="39"/>
      <c r="DP219" s="39"/>
      <c r="DQ219" s="39"/>
      <c r="DR219" s="39"/>
      <c r="DS219" s="39"/>
      <c r="DT219" s="39"/>
      <c r="DU219" s="39"/>
      <c r="DV219" s="39"/>
      <c r="DW219" s="39"/>
      <c r="DX219" s="39"/>
      <c r="DY219" s="39"/>
      <c r="DZ219" s="39"/>
      <c r="EA219" s="39"/>
      <c r="EB219" s="39"/>
      <c r="EC219" s="39"/>
      <c r="ED219" s="39"/>
      <c r="EE219" s="39"/>
      <c r="EF219" s="39"/>
      <c r="EG219" s="39"/>
      <c r="EH219" s="39"/>
      <c r="EI219" s="39"/>
      <c r="EJ219" s="39"/>
      <c r="EK219" s="39"/>
      <c r="EL219" s="39"/>
      <c r="EM219" s="39"/>
      <c r="EN219" s="39"/>
      <c r="EO219" s="39"/>
      <c r="EP219" s="39"/>
      <c r="EQ219" s="39"/>
      <c r="ER219" s="39"/>
      <c r="ES219" s="39"/>
      <c r="ET219" s="39"/>
      <c r="EU219" s="39"/>
      <c r="EV219" s="39"/>
      <c r="EW219" s="39"/>
      <c r="EX219" s="39"/>
      <c r="EY219" s="39"/>
      <c r="EZ219" s="39"/>
      <c r="FA219" s="39"/>
      <c r="FB219" s="39"/>
      <c r="FC219" s="39"/>
      <c r="FD219" s="39"/>
      <c r="FE219" s="39"/>
      <c r="FF219" s="39"/>
      <c r="FG219" s="39"/>
      <c r="FH219" s="39"/>
      <c r="FI219" s="39"/>
      <c r="FJ219" s="39"/>
      <c r="FK219" s="39"/>
      <c r="FL219" s="39"/>
      <c r="FM219" s="39"/>
      <c r="FN219" s="39"/>
      <c r="FO219" s="39"/>
      <c r="FP219" s="39"/>
      <c r="FQ219" s="39"/>
      <c r="FR219" s="39"/>
      <c r="FS219" s="39"/>
      <c r="FT219" s="39"/>
      <c r="FU219" s="39"/>
      <c r="FV219" s="39"/>
      <c r="FW219" s="39"/>
      <c r="FX219" s="39"/>
      <c r="FY219" s="39"/>
      <c r="FZ219" s="39"/>
      <c r="GA219" s="39"/>
      <c r="GB219" s="39"/>
      <c r="GC219" s="39"/>
      <c r="GD219" s="39"/>
      <c r="GE219" s="39"/>
      <c r="GF219" s="39"/>
      <c r="GG219" s="39"/>
      <c r="GH219" s="39"/>
      <c r="GI219" s="39"/>
      <c r="GJ219" s="39"/>
      <c r="GK219" s="39"/>
      <c r="GL219" s="39"/>
      <c r="GM219" s="39"/>
      <c r="GN219" s="39"/>
      <c r="GO219" s="39"/>
      <c r="GP219" s="39"/>
      <c r="GQ219" s="39"/>
      <c r="GR219" s="39"/>
      <c r="GS219" s="39"/>
      <c r="GT219" s="39"/>
      <c r="GU219" s="39"/>
      <c r="GV219" s="39"/>
      <c r="GW219" s="39"/>
      <c r="GX219" s="39"/>
      <c r="GY219" s="39"/>
      <c r="GZ219" s="39"/>
      <c r="HA219" s="39"/>
      <c r="HB219" s="39"/>
      <c r="HC219" s="39"/>
      <c r="HD219" s="39"/>
      <c r="HE219" s="39"/>
      <c r="HF219" s="39"/>
      <c r="HG219" s="39"/>
      <c r="HH219" s="39"/>
      <c r="HI219" s="39"/>
      <c r="HJ219" s="39"/>
      <c r="HK219" s="39"/>
      <c r="HL219" s="39"/>
      <c r="HM219" s="39"/>
      <c r="HN219" s="39"/>
      <c r="HO219" s="39"/>
      <c r="HP219" s="39"/>
      <c r="HQ219" s="39"/>
      <c r="HR219" s="39"/>
      <c r="HS219" s="39"/>
      <c r="HT219" s="39"/>
      <c r="HU219" s="39"/>
      <c r="HV219" s="39"/>
      <c r="HW219" s="39"/>
      <c r="HX219" s="39"/>
      <c r="HY219" s="39"/>
      <c r="HZ219" s="39"/>
      <c r="IA219" s="39"/>
      <c r="IB219" s="39"/>
      <c r="IC219" s="39"/>
      <c r="ID219" s="39"/>
      <c r="IE219" s="39"/>
      <c r="IF219" s="39"/>
      <c r="IG219" s="39"/>
      <c r="IH219" s="39"/>
      <c r="II219" s="39"/>
      <c r="IJ219" s="39"/>
      <c r="IK219" s="39"/>
      <c r="IL219" s="39"/>
      <c r="IM219" s="39"/>
      <c r="IN219" s="39"/>
      <c r="IO219" s="39"/>
      <c r="IP219" s="39"/>
      <c r="IQ219" s="39"/>
      <c r="IR219" s="39"/>
      <c r="IS219" s="39"/>
      <c r="IT219" s="39"/>
      <c r="IU219" s="39"/>
      <c r="IV219" s="39"/>
      <c r="IW219" s="39"/>
    </row>
    <row r="220" customFormat="false" ht="12.95" hidden="false" customHeight="true" outlineLevel="0" collapsed="false">
      <c r="A220" s="37" t="str">
        <f aca="false">+'CCs # Master'!A90</f>
        <v>0011</v>
      </c>
      <c r="B220" s="39" t="str">
        <f aca="false">+'CCs # Master'!B90</f>
        <v>ASO Charges</v>
      </c>
      <c r="C220" s="39" t="str">
        <f aca="false">+'CCs # Master'!C90</f>
        <v>Jones, Robert</v>
      </c>
      <c r="D220" s="96" t="n">
        <f aca="false">+'CCs # Master'!D90</f>
        <v>100128</v>
      </c>
      <c r="E220" s="39" t="n">
        <f aca="false">+'CCs # Master'!E90</f>
        <v>4715</v>
      </c>
      <c r="F220" s="39" t="n">
        <f aca="false">+'CCs # Master'!F90</f>
        <v>0</v>
      </c>
      <c r="G220" s="39" t="n">
        <f aca="false">+'CCs # Master'!G90</f>
        <v>0</v>
      </c>
      <c r="H220" s="39" t="n">
        <f aca="false">+'CCs # Master'!H90</f>
        <v>0</v>
      </c>
      <c r="I220" s="39" t="n">
        <f aca="false">+'CCs # Master'!I90</f>
        <v>0</v>
      </c>
      <c r="J220" s="39" t="n">
        <f aca="false">+'CCs # Master'!J90</f>
        <v>0</v>
      </c>
      <c r="K220" s="71" t="n">
        <f aca="false">SUM(E220:J220)</f>
        <v>4715</v>
      </c>
      <c r="L220" s="39"/>
      <c r="M220" s="39" t="str">
        <f aca="false">+'CCs # Master'!M90</f>
        <v>Included in benefits rate</v>
      </c>
      <c r="N220" s="39" t="n">
        <f aca="false">+'CCs # Master'!AW90</f>
        <v>546</v>
      </c>
      <c r="O220" s="39" t="n">
        <v>0</v>
      </c>
      <c r="P220" s="39" t="n">
        <f aca="false">+'CCs # Master'!N90</f>
        <v>86</v>
      </c>
      <c r="Q220" s="39" t="n">
        <f aca="false">+'CCs # Master'!O90</f>
        <v>163</v>
      </c>
      <c r="R220" s="39" t="n">
        <f aca="false">+'CCs # Master'!P90</f>
        <v>357</v>
      </c>
      <c r="S220" s="39" t="n">
        <f aca="false">+'CCs # Master'!Q90</f>
        <v>0</v>
      </c>
      <c r="T220" s="39" t="n">
        <f aca="false">+'CCs # Master'!R90</f>
        <v>17</v>
      </c>
      <c r="U220" s="39" t="n">
        <f aca="false">+'CCs # Master'!S90</f>
        <v>0</v>
      </c>
      <c r="V220" s="39" t="n">
        <f aca="false">+'CCs # Master'!T90</f>
        <v>98</v>
      </c>
      <c r="W220" s="39" t="n">
        <f aca="false">+'CCs # Master'!U90</f>
        <v>459</v>
      </c>
      <c r="X220" s="39" t="n">
        <f aca="false">+'CCs # Master'!V90</f>
        <v>171</v>
      </c>
      <c r="Y220" s="39" t="n">
        <f aca="false">+'CCs # Master'!W90</f>
        <v>0</v>
      </c>
      <c r="Z220" s="39" t="n">
        <f aca="false">+'CCs # Master'!X90</f>
        <v>847</v>
      </c>
      <c r="AA220" s="39" t="n">
        <f aca="false">+'CCs # Master'!Y90</f>
        <v>8</v>
      </c>
      <c r="AB220" s="39" t="n">
        <f aca="false">+'CCs # Master'!Z90</f>
        <v>98</v>
      </c>
      <c r="AC220" s="39" t="n">
        <f aca="false">+'CCs # Master'!AA90</f>
        <v>20</v>
      </c>
      <c r="AD220" s="39" t="n">
        <f aca="false">+'CCs # Master'!AB90</f>
        <v>19</v>
      </c>
      <c r="AE220" s="39" t="n">
        <f aca="false">+'CCs # Master'!AC90</f>
        <v>40</v>
      </c>
      <c r="AF220" s="39" t="n">
        <f aca="false">+'CCs # Master'!AD90</f>
        <v>481</v>
      </c>
      <c r="AG220" s="39" t="n">
        <f aca="false">+'CCs # Master'!AE90</f>
        <v>623</v>
      </c>
      <c r="AH220" s="39" t="n">
        <f aca="false">+'CCs # Master'!AF90</f>
        <v>0</v>
      </c>
      <c r="AI220" s="39" t="n">
        <f aca="false">+'CCs # Master'!AG90</f>
        <v>32</v>
      </c>
      <c r="AJ220" s="39" t="n">
        <f aca="false">+'CCs # Master'!AH90</f>
        <v>43</v>
      </c>
      <c r="AK220" s="39" t="n">
        <f aca="false">+'CCs # Master'!AI90</f>
        <v>30</v>
      </c>
      <c r="AL220" s="39" t="n">
        <f aca="false">+'CCs # Master'!AJ90</f>
        <v>25</v>
      </c>
      <c r="AM220" s="39" t="n">
        <f aca="false">+'CCs # Master'!AK90</f>
        <v>52</v>
      </c>
      <c r="AN220" s="39" t="n">
        <f aca="false">+'CCs # Master'!AL90</f>
        <v>97</v>
      </c>
      <c r="AO220" s="39" t="n">
        <f aca="false">+'CCs # Master'!AM90</f>
        <v>403</v>
      </c>
      <c r="AP220" s="39" t="n">
        <f aca="false">+'CCs # Master'!AN90</f>
        <v>0</v>
      </c>
      <c r="AQ220" s="39" t="n">
        <f aca="false">+'CCs # Master'!AO90</f>
        <v>0</v>
      </c>
      <c r="AR220" s="39" t="n">
        <f aca="false">+'CCs # Master'!AP90</f>
        <v>0</v>
      </c>
      <c r="AS220" s="39" t="n">
        <f aca="false">+'CCs # Master'!AQ90</f>
        <v>0</v>
      </c>
      <c r="AT220" s="39" t="n">
        <f aca="false">+'CCs # Master'!AR90</f>
        <v>0</v>
      </c>
      <c r="AU220" s="39" t="n">
        <f aca="false">+'CCs # Master'!AS90</f>
        <v>0</v>
      </c>
      <c r="AV220" s="39" t="n">
        <f aca="false">+'CCs # Master'!AT90</f>
        <v>0</v>
      </c>
      <c r="AW220" s="30"/>
      <c r="AX220" s="71" t="n">
        <f aca="false">SUM(N220:AW220)</f>
        <v>4715</v>
      </c>
      <c r="AY220" s="71" t="n">
        <f aca="false">+K220-AX220</f>
        <v>0</v>
      </c>
      <c r="AZ220" s="39"/>
      <c r="BA220" s="39" t="n">
        <f aca="false">+P220+Q220+T220+U220+V220+W220+X220+Y220</f>
        <v>994</v>
      </c>
      <c r="BB220" s="39" t="n">
        <f aca="false">N220</f>
        <v>546</v>
      </c>
      <c r="BC220" s="97" t="n">
        <f aca="false">SUM(P220:AW220)</f>
        <v>4169</v>
      </c>
      <c r="BD220" s="39"/>
      <c r="BE220" s="97" t="n">
        <f aca="false">SUM(BB220:BC220)</f>
        <v>4715</v>
      </c>
      <c r="BF220" s="39"/>
      <c r="BG220" s="98" t="n">
        <f aca="false">SUM(N220:AW220)</f>
        <v>4715</v>
      </c>
      <c r="BH220" s="39" t="n">
        <f aca="false">BE220-BG220</f>
        <v>0</v>
      </c>
      <c r="BI220" s="39"/>
      <c r="BJ220" s="39"/>
      <c r="BK220" s="39"/>
      <c r="BL220" s="39"/>
      <c r="BM220" s="39"/>
      <c r="BN220" s="39"/>
      <c r="BO220" s="39"/>
      <c r="BP220" s="39"/>
      <c r="BQ220" s="39"/>
      <c r="BR220" s="39"/>
      <c r="BS220" s="39"/>
      <c r="BT220" s="39"/>
      <c r="BU220" s="39"/>
      <c r="BV220" s="39"/>
      <c r="BW220" s="39"/>
      <c r="BX220" s="39"/>
      <c r="BY220" s="39"/>
      <c r="BZ220" s="39"/>
      <c r="CA220" s="39"/>
      <c r="CB220" s="39"/>
      <c r="CC220" s="39"/>
      <c r="CD220" s="39"/>
      <c r="CE220" s="39"/>
      <c r="CF220" s="39"/>
      <c r="CG220" s="39"/>
      <c r="CH220" s="39"/>
      <c r="CI220" s="39"/>
      <c r="CJ220" s="39"/>
      <c r="CK220" s="39"/>
      <c r="CL220" s="39"/>
      <c r="CM220" s="39"/>
      <c r="CN220" s="39"/>
      <c r="CO220" s="39"/>
      <c r="CP220" s="39"/>
      <c r="CQ220" s="39"/>
      <c r="CR220" s="39"/>
      <c r="CS220" s="39"/>
      <c r="CT220" s="39"/>
      <c r="CU220" s="39"/>
      <c r="CV220" s="39"/>
      <c r="CW220" s="39"/>
      <c r="CX220" s="39"/>
      <c r="CY220" s="39"/>
      <c r="CZ220" s="39"/>
      <c r="DA220" s="39"/>
      <c r="DB220" s="39"/>
      <c r="DC220" s="39"/>
      <c r="DD220" s="39"/>
      <c r="DE220" s="39"/>
      <c r="DF220" s="39"/>
      <c r="DG220" s="39"/>
      <c r="DH220" s="39"/>
      <c r="DI220" s="39"/>
      <c r="DJ220" s="39"/>
      <c r="DK220" s="39"/>
      <c r="DL220" s="39"/>
      <c r="DM220" s="39"/>
      <c r="DN220" s="39"/>
      <c r="DO220" s="39"/>
      <c r="DP220" s="39"/>
      <c r="DQ220" s="39"/>
      <c r="DR220" s="39"/>
      <c r="DS220" s="39"/>
      <c r="DT220" s="39"/>
      <c r="DU220" s="39"/>
      <c r="DV220" s="39"/>
      <c r="DW220" s="39"/>
      <c r="DX220" s="39"/>
      <c r="DY220" s="39"/>
      <c r="DZ220" s="39"/>
      <c r="EA220" s="39"/>
      <c r="EB220" s="39"/>
      <c r="EC220" s="39"/>
      <c r="ED220" s="39"/>
      <c r="EE220" s="39"/>
      <c r="EF220" s="39"/>
      <c r="EG220" s="39"/>
      <c r="EH220" s="39"/>
      <c r="EI220" s="39"/>
      <c r="EJ220" s="39"/>
      <c r="EK220" s="39"/>
      <c r="EL220" s="39"/>
      <c r="EM220" s="39"/>
      <c r="EN220" s="39"/>
      <c r="EO220" s="39"/>
      <c r="EP220" s="39"/>
      <c r="EQ220" s="39"/>
      <c r="ER220" s="39"/>
      <c r="ES220" s="39"/>
      <c r="ET220" s="39"/>
      <c r="EU220" s="39"/>
      <c r="EV220" s="39"/>
      <c r="EW220" s="39"/>
      <c r="EX220" s="39"/>
      <c r="EY220" s="39"/>
      <c r="EZ220" s="39"/>
      <c r="FA220" s="39"/>
      <c r="FB220" s="39"/>
      <c r="FC220" s="39"/>
      <c r="FD220" s="39"/>
      <c r="FE220" s="39"/>
      <c r="FF220" s="39"/>
      <c r="FG220" s="39"/>
      <c r="FH220" s="39"/>
      <c r="FI220" s="39"/>
      <c r="FJ220" s="39"/>
      <c r="FK220" s="39"/>
      <c r="FL220" s="39"/>
      <c r="FM220" s="39"/>
      <c r="FN220" s="39"/>
      <c r="FO220" s="39"/>
      <c r="FP220" s="39"/>
      <c r="FQ220" s="39"/>
      <c r="FR220" s="39"/>
      <c r="FS220" s="39"/>
      <c r="FT220" s="39"/>
      <c r="FU220" s="39"/>
      <c r="FV220" s="39"/>
      <c r="FW220" s="39"/>
      <c r="FX220" s="39"/>
      <c r="FY220" s="39"/>
      <c r="FZ220" s="39"/>
      <c r="GA220" s="39"/>
      <c r="GB220" s="39"/>
      <c r="GC220" s="39"/>
      <c r="GD220" s="39"/>
      <c r="GE220" s="39"/>
      <c r="GF220" s="39"/>
      <c r="GG220" s="39"/>
      <c r="GH220" s="39"/>
      <c r="GI220" s="39"/>
      <c r="GJ220" s="39"/>
      <c r="GK220" s="39"/>
      <c r="GL220" s="39"/>
      <c r="GM220" s="39"/>
      <c r="GN220" s="39"/>
      <c r="GO220" s="39"/>
      <c r="GP220" s="39"/>
      <c r="GQ220" s="39"/>
      <c r="GR220" s="39"/>
      <c r="GS220" s="39"/>
      <c r="GT220" s="39"/>
      <c r="GU220" s="39"/>
      <c r="GV220" s="39"/>
      <c r="GW220" s="39"/>
      <c r="GX220" s="39"/>
      <c r="GY220" s="39"/>
      <c r="GZ220" s="39"/>
      <c r="HA220" s="39"/>
      <c r="HB220" s="39"/>
      <c r="HC220" s="39"/>
      <c r="HD220" s="39"/>
      <c r="HE220" s="39"/>
      <c r="HF220" s="39"/>
      <c r="HG220" s="39"/>
      <c r="HH220" s="39"/>
      <c r="HI220" s="39"/>
      <c r="HJ220" s="39"/>
      <c r="HK220" s="39"/>
      <c r="HL220" s="39"/>
      <c r="HM220" s="39"/>
      <c r="HN220" s="39"/>
      <c r="HO220" s="39"/>
      <c r="HP220" s="39"/>
      <c r="HQ220" s="39"/>
      <c r="HR220" s="39"/>
      <c r="HS220" s="39"/>
      <c r="HT220" s="39"/>
      <c r="HU220" s="39"/>
      <c r="HV220" s="39"/>
      <c r="HW220" s="39"/>
      <c r="HX220" s="39"/>
      <c r="HY220" s="39"/>
      <c r="HZ220" s="39"/>
      <c r="IA220" s="39"/>
      <c r="IB220" s="39"/>
      <c r="IC220" s="39"/>
      <c r="ID220" s="39"/>
      <c r="IE220" s="39"/>
      <c r="IF220" s="39"/>
      <c r="IG220" s="39"/>
      <c r="IH220" s="39"/>
      <c r="II220" s="39"/>
      <c r="IJ220" s="39"/>
      <c r="IK220" s="39"/>
      <c r="IL220" s="39"/>
      <c r="IM220" s="39"/>
      <c r="IN220" s="39"/>
      <c r="IO220" s="39"/>
      <c r="IP220" s="39"/>
      <c r="IQ220" s="39"/>
      <c r="IR220" s="39"/>
      <c r="IS220" s="39"/>
      <c r="IT220" s="39"/>
      <c r="IU220" s="39"/>
      <c r="IV220" s="39"/>
      <c r="IW220" s="39"/>
    </row>
    <row r="221" customFormat="false" ht="8.1" hidden="false" customHeight="true" outlineLevel="0" collapsed="false">
      <c r="A221" s="37"/>
      <c r="B221" s="39"/>
      <c r="C221" s="39"/>
      <c r="D221" s="96"/>
      <c r="E221" s="91"/>
      <c r="F221" s="91"/>
      <c r="G221" s="91"/>
      <c r="H221" s="91"/>
      <c r="I221" s="91"/>
      <c r="J221" s="91"/>
      <c r="K221" s="91"/>
      <c r="L221" s="39"/>
      <c r="M221" s="39"/>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91"/>
      <c r="AN221" s="91"/>
      <c r="AO221" s="91"/>
      <c r="AP221" s="91"/>
      <c r="AQ221" s="91"/>
      <c r="AR221" s="91"/>
      <c r="AS221" s="91"/>
      <c r="AT221" s="91"/>
      <c r="AU221" s="91"/>
      <c r="AV221" s="91"/>
      <c r="AW221" s="30"/>
      <c r="AX221" s="91"/>
      <c r="AY221" s="91"/>
      <c r="AZ221" s="39"/>
      <c r="BA221" s="91"/>
      <c r="BB221" s="91"/>
      <c r="BC221" s="39"/>
      <c r="BD221" s="39"/>
      <c r="BE221" s="39"/>
      <c r="BF221" s="39"/>
      <c r="BG221" s="48"/>
      <c r="BH221" s="39"/>
      <c r="BI221" s="39"/>
      <c r="BJ221" s="39"/>
      <c r="BK221" s="39"/>
      <c r="BL221" s="39"/>
      <c r="BM221" s="39"/>
      <c r="BN221" s="39"/>
      <c r="BO221" s="39"/>
      <c r="BP221" s="39"/>
      <c r="BQ221" s="39"/>
      <c r="BR221" s="39"/>
      <c r="BS221" s="39"/>
      <c r="BT221" s="39"/>
      <c r="BU221" s="39"/>
      <c r="BV221" s="39"/>
      <c r="BW221" s="39"/>
      <c r="BX221" s="39"/>
      <c r="BY221" s="39"/>
      <c r="BZ221" s="39"/>
      <c r="CA221" s="39"/>
      <c r="CB221" s="39"/>
      <c r="CC221" s="39"/>
      <c r="CD221" s="39"/>
      <c r="CE221" s="39"/>
      <c r="CF221" s="39"/>
      <c r="CG221" s="39"/>
      <c r="CH221" s="39"/>
      <c r="CI221" s="39"/>
      <c r="CJ221" s="39"/>
      <c r="CK221" s="39"/>
      <c r="CL221" s="39"/>
      <c r="CM221" s="39"/>
      <c r="CN221" s="39"/>
      <c r="CO221" s="39"/>
      <c r="CP221" s="39"/>
      <c r="CQ221" s="39"/>
      <c r="CR221" s="39"/>
      <c r="CS221" s="39"/>
      <c r="CT221" s="39"/>
      <c r="CU221" s="39"/>
      <c r="CV221" s="39"/>
      <c r="CW221" s="39"/>
      <c r="CX221" s="39"/>
      <c r="CY221" s="39"/>
      <c r="CZ221" s="39"/>
      <c r="DA221" s="39"/>
      <c r="DB221" s="39"/>
      <c r="DC221" s="39"/>
      <c r="DD221" s="39"/>
      <c r="DE221" s="39"/>
      <c r="DF221" s="39"/>
      <c r="DG221" s="39"/>
      <c r="DH221" s="39"/>
      <c r="DI221" s="39"/>
      <c r="DJ221" s="39"/>
      <c r="DK221" s="39"/>
      <c r="DL221" s="39"/>
      <c r="DM221" s="39"/>
      <c r="DN221" s="39"/>
      <c r="DO221" s="39"/>
      <c r="DP221" s="39"/>
      <c r="DQ221" s="39"/>
      <c r="DR221" s="39"/>
      <c r="DS221" s="39"/>
      <c r="DT221" s="39"/>
      <c r="DU221" s="39"/>
      <c r="DV221" s="39"/>
      <c r="DW221" s="39"/>
      <c r="DX221" s="39"/>
      <c r="DY221" s="39"/>
      <c r="DZ221" s="39"/>
      <c r="EA221" s="39"/>
      <c r="EB221" s="39"/>
      <c r="EC221" s="39"/>
      <c r="ED221" s="39"/>
      <c r="EE221" s="39"/>
      <c r="EF221" s="39"/>
      <c r="EG221" s="39"/>
      <c r="EH221" s="39"/>
      <c r="EI221" s="39"/>
      <c r="EJ221" s="39"/>
      <c r="EK221" s="39"/>
      <c r="EL221" s="39"/>
      <c r="EM221" s="39"/>
      <c r="EN221" s="39"/>
      <c r="EO221" s="39"/>
      <c r="EP221" s="39"/>
      <c r="EQ221" s="39"/>
      <c r="ER221" s="39"/>
      <c r="ES221" s="39"/>
      <c r="ET221" s="39"/>
      <c r="EU221" s="39"/>
      <c r="EV221" s="39"/>
      <c r="EW221" s="39"/>
      <c r="EX221" s="39"/>
      <c r="EY221" s="39"/>
      <c r="EZ221" s="39"/>
      <c r="FA221" s="39"/>
      <c r="FB221" s="39"/>
      <c r="FC221" s="39"/>
      <c r="FD221" s="39"/>
      <c r="FE221" s="39"/>
      <c r="FF221" s="39"/>
      <c r="FG221" s="39"/>
      <c r="FH221" s="39"/>
      <c r="FI221" s="39"/>
      <c r="FJ221" s="39"/>
      <c r="FK221" s="39"/>
      <c r="FL221" s="39"/>
      <c r="FM221" s="39"/>
      <c r="FN221" s="39"/>
      <c r="FO221" s="39"/>
      <c r="FP221" s="39"/>
      <c r="FQ221" s="39"/>
      <c r="FR221" s="39"/>
      <c r="FS221" s="39"/>
      <c r="FT221" s="39"/>
      <c r="FU221" s="39"/>
      <c r="FV221" s="39"/>
      <c r="FW221" s="39"/>
      <c r="FX221" s="39"/>
      <c r="FY221" s="39"/>
      <c r="FZ221" s="39"/>
      <c r="GA221" s="39"/>
      <c r="GB221" s="39"/>
      <c r="GC221" s="39"/>
      <c r="GD221" s="39"/>
      <c r="GE221" s="39"/>
      <c r="GF221" s="39"/>
      <c r="GG221" s="39"/>
      <c r="GH221" s="39"/>
      <c r="GI221" s="39"/>
      <c r="GJ221" s="39"/>
      <c r="GK221" s="39"/>
      <c r="GL221" s="39"/>
      <c r="GM221" s="39"/>
      <c r="GN221" s="39"/>
      <c r="GO221" s="39"/>
      <c r="GP221" s="39"/>
      <c r="GQ221" s="39"/>
      <c r="GR221" s="39"/>
      <c r="GS221" s="39"/>
      <c r="GT221" s="39"/>
      <c r="GU221" s="39"/>
      <c r="GV221" s="39"/>
      <c r="GW221" s="39"/>
      <c r="GX221" s="39"/>
      <c r="GY221" s="39"/>
      <c r="GZ221" s="39"/>
      <c r="HA221" s="39"/>
      <c r="HB221" s="39"/>
      <c r="HC221" s="39"/>
      <c r="HD221" s="39"/>
      <c r="HE221" s="39"/>
      <c r="HF221" s="39"/>
      <c r="HG221" s="39"/>
      <c r="HH221" s="39"/>
      <c r="HI221" s="39"/>
      <c r="HJ221" s="39"/>
      <c r="HK221" s="39"/>
      <c r="HL221" s="39"/>
      <c r="HM221" s="39"/>
      <c r="HN221" s="39"/>
      <c r="HO221" s="39"/>
      <c r="HP221" s="39"/>
      <c r="HQ221" s="39"/>
      <c r="HR221" s="39"/>
      <c r="HS221" s="39"/>
      <c r="HT221" s="39"/>
      <c r="HU221" s="39"/>
      <c r="HV221" s="39"/>
      <c r="HW221" s="39"/>
      <c r="HX221" s="39"/>
      <c r="HY221" s="39"/>
      <c r="HZ221" s="39"/>
      <c r="IA221" s="39"/>
      <c r="IB221" s="39"/>
      <c r="IC221" s="39"/>
      <c r="ID221" s="39"/>
      <c r="IE221" s="39"/>
      <c r="IF221" s="39"/>
      <c r="IG221" s="39"/>
      <c r="IH221" s="39"/>
      <c r="II221" s="39"/>
      <c r="IJ221" s="39"/>
      <c r="IK221" s="39"/>
      <c r="IL221" s="39"/>
      <c r="IM221" s="39"/>
      <c r="IN221" s="39"/>
      <c r="IO221" s="39"/>
      <c r="IP221" s="39"/>
      <c r="IQ221" s="39"/>
      <c r="IR221" s="39"/>
      <c r="IS221" s="39"/>
      <c r="IT221" s="39"/>
      <c r="IU221" s="39"/>
      <c r="IV221" s="39"/>
      <c r="IW221" s="39"/>
    </row>
    <row r="222" customFormat="false" ht="12.95" hidden="false" customHeight="true" outlineLevel="0" collapsed="false">
      <c r="A222" s="37"/>
      <c r="B222" s="39"/>
      <c r="C222" s="39"/>
      <c r="D222" s="96"/>
      <c r="E222" s="97" t="n">
        <f aca="false">SUM(E212:E221)</f>
        <v>112036</v>
      </c>
      <c r="F222" s="97" t="n">
        <f aca="false">SUM(F212:F221)</f>
        <v>0</v>
      </c>
      <c r="G222" s="97" t="n">
        <f aca="false">SUM(G212:G221)</f>
        <v>0</v>
      </c>
      <c r="H222" s="97" t="n">
        <f aca="false">SUM(H212:H221)</f>
        <v>0</v>
      </c>
      <c r="I222" s="97" t="n">
        <f aca="false">SUM(I212:I221)</f>
        <v>0</v>
      </c>
      <c r="J222" s="97" t="n">
        <f aca="false">SUM(J212:J221)</f>
        <v>0</v>
      </c>
      <c r="K222" s="97" t="n">
        <f aca="false">SUM(K212:K221)</f>
        <v>112036</v>
      </c>
      <c r="L222" s="39"/>
      <c r="M222" s="39"/>
      <c r="N222" s="97" t="n">
        <f aca="false">SUM(N212:N221)</f>
        <v>9010</v>
      </c>
      <c r="O222" s="97" t="n">
        <f aca="false">SUM(O212:O221)</f>
        <v>0</v>
      </c>
      <c r="P222" s="97" t="n">
        <f aca="false">SUM(P212:P221)</f>
        <v>1746</v>
      </c>
      <c r="Q222" s="97" t="n">
        <f aca="false">SUM(Q212:Q221)</f>
        <v>4289</v>
      </c>
      <c r="R222" s="97" t="n">
        <f aca="false">SUM(R212:R221)</f>
        <v>8143</v>
      </c>
      <c r="S222" s="97" t="n">
        <f aca="false">SUM(S212:S221)</f>
        <v>0</v>
      </c>
      <c r="T222" s="97" t="n">
        <f aca="false">SUM(T212:T221)</f>
        <v>374</v>
      </c>
      <c r="U222" s="97" t="n">
        <f aca="false">SUM(U212:U221)</f>
        <v>2260</v>
      </c>
      <c r="V222" s="97" t="n">
        <f aca="false">SUM(V212:V221)</f>
        <v>2165</v>
      </c>
      <c r="W222" s="97" t="n">
        <f aca="false">SUM(W212:W221)</f>
        <v>15366</v>
      </c>
      <c r="X222" s="97" t="n">
        <f aca="false">SUM(X212:X221)</f>
        <v>2801</v>
      </c>
      <c r="Y222" s="97" t="n">
        <f aca="false">SUM(Y212:Y221)</f>
        <v>0</v>
      </c>
      <c r="Z222" s="97" t="n">
        <f aca="false">SUM(Z212:Z221)</f>
        <v>18761</v>
      </c>
      <c r="AA222" s="97" t="n">
        <f aca="false">SUM(AA212:AA221)</f>
        <v>215</v>
      </c>
      <c r="AB222" s="97" t="n">
        <f aca="false">SUM(AB212:AB221)</f>
        <v>2033</v>
      </c>
      <c r="AC222" s="97" t="n">
        <f aca="false">SUM(AC212:AC221)</f>
        <v>460</v>
      </c>
      <c r="AD222" s="97" t="n">
        <f aca="false">SUM(AD212:AD221)</f>
        <v>448</v>
      </c>
      <c r="AE222" s="97" t="n">
        <f aca="false">SUM(AE212:AE221)</f>
        <v>806</v>
      </c>
      <c r="AF222" s="97" t="n">
        <f aca="false">SUM(AF212:AF221)</f>
        <v>11571</v>
      </c>
      <c r="AG222" s="97" t="n">
        <f aca="false">SUM(AG212:AG221)</f>
        <v>14831</v>
      </c>
      <c r="AH222" s="97" t="n">
        <f aca="false">SUM(AH212:AH221)</f>
        <v>0</v>
      </c>
      <c r="AI222" s="97" t="n">
        <f aca="false">SUM(AI212:AI221)</f>
        <v>675</v>
      </c>
      <c r="AJ222" s="97" t="n">
        <f aca="false">SUM(AJ212:AJ221)</f>
        <v>1259</v>
      </c>
      <c r="AK222" s="97" t="n">
        <f aca="false">SUM(AK212:AK221)</f>
        <v>884</v>
      </c>
      <c r="AL222" s="97" t="n">
        <f aca="false">SUM(AL212:AL221)</f>
        <v>723</v>
      </c>
      <c r="AM222" s="97" t="n">
        <f aca="false">SUM(AM212:AM221)</f>
        <v>1333</v>
      </c>
      <c r="AN222" s="97" t="n">
        <f aca="false">SUM(AN212:AN221)</f>
        <v>2536</v>
      </c>
      <c r="AO222" s="97" t="n">
        <f aca="false">SUM(AO212:AO221)</f>
        <v>9347</v>
      </c>
      <c r="AP222" s="97" t="n">
        <f aca="false">SUM(AP212:AP221)</f>
        <v>0</v>
      </c>
      <c r="AQ222" s="97" t="n">
        <f aca="false">SUM(AQ212:AQ221)</f>
        <v>0</v>
      </c>
      <c r="AR222" s="97" t="n">
        <f aca="false">SUM(AR212:AR221)</f>
        <v>0</v>
      </c>
      <c r="AS222" s="97" t="n">
        <f aca="false">SUM(AS212:AS221)</f>
        <v>0</v>
      </c>
      <c r="AT222" s="97" t="n">
        <f aca="false">SUM(AT212:AT221)</f>
        <v>0</v>
      </c>
      <c r="AU222" s="97" t="n">
        <f aca="false">SUM(AU212:AU221)</f>
        <v>0</v>
      </c>
      <c r="AV222" s="97" t="n">
        <f aca="false">SUM(AV212:AV221)</f>
        <v>0</v>
      </c>
      <c r="AW222" s="39"/>
      <c r="AX222" s="97" t="n">
        <f aca="false">SUM(AX212:AX221)</f>
        <v>112036</v>
      </c>
      <c r="AY222" s="97" t="n">
        <f aca="false">SUM(AY212:AY221)</f>
        <v>0</v>
      </c>
      <c r="AZ222" s="39"/>
      <c r="BA222" s="97" t="n">
        <f aca="false">SUM(BA212:BA221)</f>
        <v>29001</v>
      </c>
      <c r="BB222" s="97" t="n">
        <f aca="false">SUM(BB212:BB221)</f>
        <v>9010</v>
      </c>
      <c r="BC222" s="97" t="n">
        <f aca="false">SUM(BC212:BC221)</f>
        <v>103026</v>
      </c>
      <c r="BD222" s="39"/>
      <c r="BE222" s="97" t="n">
        <f aca="false">SUM(BE212:BE221)</f>
        <v>112036</v>
      </c>
      <c r="BF222" s="39"/>
      <c r="BG222" s="98" t="n">
        <f aca="false">SUM(BG212:BG221)</f>
        <v>112036</v>
      </c>
      <c r="BH222" s="39" t="n">
        <f aca="false">SUM(BH212:BH221)</f>
        <v>0</v>
      </c>
      <c r="BI222" s="39"/>
      <c r="BJ222" s="39"/>
      <c r="BK222" s="39"/>
      <c r="BL222" s="39"/>
      <c r="BM222" s="39"/>
      <c r="BN222" s="39"/>
      <c r="BO222" s="39"/>
      <c r="BP222" s="39"/>
      <c r="BQ222" s="39"/>
      <c r="BR222" s="39"/>
      <c r="BS222" s="39"/>
      <c r="BT222" s="39"/>
      <c r="BU222" s="39"/>
      <c r="BV222" s="39"/>
      <c r="BW222" s="39"/>
      <c r="BX222" s="39"/>
      <c r="BY222" s="39"/>
      <c r="BZ222" s="39"/>
      <c r="CA222" s="39"/>
      <c r="CB222" s="39"/>
      <c r="CC222" s="39"/>
      <c r="CD222" s="39"/>
      <c r="CE222" s="39"/>
      <c r="CF222" s="39"/>
      <c r="CG222" s="39"/>
      <c r="CH222" s="39"/>
      <c r="CI222" s="39"/>
      <c r="CJ222" s="39"/>
      <c r="CK222" s="39"/>
      <c r="CL222" s="39"/>
      <c r="CM222" s="39"/>
      <c r="CN222" s="39"/>
      <c r="CO222" s="39"/>
      <c r="CP222" s="39"/>
      <c r="CQ222" s="39"/>
      <c r="CR222" s="39"/>
      <c r="CS222" s="39"/>
      <c r="CT222" s="39"/>
      <c r="CU222" s="39"/>
      <c r="CV222" s="39"/>
      <c r="CW222" s="39"/>
      <c r="CX222" s="39"/>
      <c r="CY222" s="39"/>
      <c r="CZ222" s="39"/>
      <c r="DA222" s="39"/>
      <c r="DB222" s="39"/>
      <c r="DC222" s="39"/>
      <c r="DD222" s="39"/>
      <c r="DE222" s="39"/>
      <c r="DF222" s="39"/>
      <c r="DG222" s="39"/>
      <c r="DH222" s="39"/>
      <c r="DI222" s="39"/>
      <c r="DJ222" s="39"/>
      <c r="DK222" s="39"/>
      <c r="DL222" s="39"/>
      <c r="DM222" s="39"/>
      <c r="DN222" s="39"/>
      <c r="DO222" s="39"/>
      <c r="DP222" s="39"/>
      <c r="DQ222" s="39"/>
      <c r="DR222" s="39"/>
      <c r="DS222" s="39"/>
      <c r="DT222" s="39"/>
      <c r="DU222" s="39"/>
      <c r="DV222" s="39"/>
      <c r="DW222" s="39"/>
      <c r="DX222" s="39"/>
      <c r="DY222" s="39"/>
      <c r="DZ222" s="39"/>
      <c r="EA222" s="39"/>
      <c r="EB222" s="39"/>
      <c r="EC222" s="39"/>
      <c r="ED222" s="39"/>
      <c r="EE222" s="39"/>
      <c r="EF222" s="39"/>
      <c r="EG222" s="39"/>
      <c r="EH222" s="39"/>
      <c r="EI222" s="39"/>
      <c r="EJ222" s="39"/>
      <c r="EK222" s="39"/>
      <c r="EL222" s="39"/>
      <c r="EM222" s="39"/>
      <c r="EN222" s="39"/>
      <c r="EO222" s="39"/>
      <c r="EP222" s="39"/>
      <c r="EQ222" s="39"/>
      <c r="ER222" s="39"/>
      <c r="ES222" s="39"/>
      <c r="ET222" s="39"/>
      <c r="EU222" s="39"/>
      <c r="EV222" s="39"/>
      <c r="EW222" s="39"/>
      <c r="EX222" s="39"/>
      <c r="EY222" s="39"/>
      <c r="EZ222" s="39"/>
      <c r="FA222" s="39"/>
      <c r="FB222" s="39"/>
      <c r="FC222" s="39"/>
      <c r="FD222" s="39"/>
      <c r="FE222" s="39"/>
      <c r="FF222" s="39"/>
      <c r="FG222" s="39"/>
      <c r="FH222" s="39"/>
      <c r="FI222" s="39"/>
      <c r="FJ222" s="39"/>
      <c r="FK222" s="39"/>
      <c r="FL222" s="39"/>
      <c r="FM222" s="39"/>
      <c r="FN222" s="39"/>
      <c r="FO222" s="39"/>
      <c r="FP222" s="39"/>
      <c r="FQ222" s="39"/>
      <c r="FR222" s="39"/>
      <c r="FS222" s="39"/>
      <c r="FT222" s="39"/>
      <c r="FU222" s="39"/>
      <c r="FV222" s="39"/>
      <c r="FW222" s="39"/>
      <c r="FX222" s="39"/>
      <c r="FY222" s="39"/>
      <c r="FZ222" s="39"/>
      <c r="GA222" s="39"/>
      <c r="GB222" s="39"/>
      <c r="GC222" s="39"/>
      <c r="GD222" s="39"/>
      <c r="GE222" s="39"/>
      <c r="GF222" s="39"/>
      <c r="GG222" s="39"/>
      <c r="GH222" s="39"/>
      <c r="GI222" s="39"/>
      <c r="GJ222" s="39"/>
      <c r="GK222" s="39"/>
      <c r="GL222" s="39"/>
      <c r="GM222" s="39"/>
      <c r="GN222" s="39"/>
      <c r="GO222" s="39"/>
      <c r="GP222" s="39"/>
      <c r="GQ222" s="39"/>
      <c r="GR222" s="39"/>
      <c r="GS222" s="39"/>
      <c r="GT222" s="39"/>
      <c r="GU222" s="39"/>
      <c r="GV222" s="39"/>
      <c r="GW222" s="39"/>
      <c r="GX222" s="39"/>
      <c r="GY222" s="39"/>
      <c r="GZ222" s="39"/>
      <c r="HA222" s="39"/>
      <c r="HB222" s="39"/>
      <c r="HC222" s="39"/>
      <c r="HD222" s="39"/>
      <c r="HE222" s="39"/>
      <c r="HF222" s="39"/>
      <c r="HG222" s="39"/>
      <c r="HH222" s="39"/>
      <c r="HI222" s="39"/>
      <c r="HJ222" s="39"/>
      <c r="HK222" s="39"/>
      <c r="HL222" s="39"/>
      <c r="HM222" s="39"/>
      <c r="HN222" s="39"/>
      <c r="HO222" s="39"/>
      <c r="HP222" s="39"/>
      <c r="HQ222" s="39"/>
      <c r="HR222" s="39"/>
      <c r="HS222" s="39"/>
      <c r="HT222" s="39"/>
      <c r="HU222" s="39"/>
      <c r="HV222" s="39"/>
      <c r="HW222" s="39"/>
      <c r="HX222" s="39"/>
      <c r="HY222" s="39"/>
      <c r="HZ222" s="39"/>
      <c r="IA222" s="39"/>
      <c r="IB222" s="39"/>
      <c r="IC222" s="39"/>
      <c r="ID222" s="39"/>
      <c r="IE222" s="39"/>
      <c r="IF222" s="39"/>
      <c r="IG222" s="39"/>
      <c r="IH222" s="39"/>
      <c r="II222" s="39"/>
      <c r="IJ222" s="39"/>
      <c r="IK222" s="39"/>
      <c r="IL222" s="39"/>
      <c r="IM222" s="39"/>
      <c r="IN222" s="39"/>
      <c r="IO222" s="39"/>
      <c r="IP222" s="39"/>
      <c r="IQ222" s="39"/>
      <c r="IR222" s="39"/>
      <c r="IS222" s="39"/>
      <c r="IT222" s="39"/>
      <c r="IU222" s="39"/>
      <c r="IV222" s="39"/>
      <c r="IW222" s="39"/>
    </row>
    <row r="223" customFormat="false" ht="8.1" hidden="false" customHeight="true" outlineLevel="0" collapsed="false">
      <c r="A223" s="37"/>
      <c r="B223" s="39"/>
      <c r="C223" s="39"/>
      <c r="D223" s="96"/>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0"/>
      <c r="AX223" s="71"/>
      <c r="AY223" s="71"/>
      <c r="AZ223" s="39"/>
      <c r="BA223" s="39"/>
      <c r="BB223" s="39"/>
      <c r="BC223" s="39"/>
      <c r="BD223" s="39"/>
      <c r="BE223" s="39"/>
      <c r="BF223" s="39"/>
      <c r="BG223" s="48"/>
      <c r="BH223" s="39"/>
      <c r="BI223" s="39"/>
      <c r="BJ223" s="39"/>
      <c r="BK223" s="39"/>
      <c r="BL223" s="39"/>
      <c r="BM223" s="39"/>
      <c r="BN223" s="39"/>
      <c r="BO223" s="39"/>
      <c r="BP223" s="39"/>
      <c r="BQ223" s="39"/>
      <c r="BR223" s="39"/>
      <c r="BS223" s="39"/>
      <c r="BT223" s="39"/>
      <c r="BU223" s="39"/>
      <c r="BV223" s="39"/>
      <c r="BW223" s="39"/>
      <c r="BX223" s="39"/>
      <c r="BY223" s="39"/>
      <c r="BZ223" s="39"/>
      <c r="CA223" s="39"/>
      <c r="CB223" s="39"/>
      <c r="CC223" s="39"/>
      <c r="CD223" s="39"/>
      <c r="CE223" s="39"/>
      <c r="CF223" s="39"/>
      <c r="CG223" s="39"/>
      <c r="CH223" s="39"/>
      <c r="CI223" s="39"/>
      <c r="CJ223" s="39"/>
      <c r="CK223" s="39"/>
      <c r="CL223" s="39"/>
      <c r="CM223" s="39"/>
      <c r="CN223" s="39"/>
      <c r="CO223" s="39"/>
      <c r="CP223" s="39"/>
      <c r="CQ223" s="39"/>
      <c r="CR223" s="39"/>
      <c r="CS223" s="39"/>
      <c r="CT223" s="39"/>
      <c r="CU223" s="39"/>
      <c r="CV223" s="39"/>
      <c r="CW223" s="39"/>
      <c r="CX223" s="39"/>
      <c r="CY223" s="39"/>
      <c r="CZ223" s="39"/>
      <c r="DA223" s="39"/>
      <c r="DB223" s="39"/>
      <c r="DC223" s="39"/>
      <c r="DD223" s="39"/>
      <c r="DE223" s="39"/>
      <c r="DF223" s="39"/>
      <c r="DG223" s="39"/>
      <c r="DH223" s="39"/>
      <c r="DI223" s="39"/>
      <c r="DJ223" s="39"/>
      <c r="DK223" s="39"/>
      <c r="DL223" s="39"/>
      <c r="DM223" s="39"/>
      <c r="DN223" s="39"/>
      <c r="DO223" s="39"/>
      <c r="DP223" s="39"/>
      <c r="DQ223" s="39"/>
      <c r="DR223" s="39"/>
      <c r="DS223" s="39"/>
      <c r="DT223" s="39"/>
      <c r="DU223" s="39"/>
      <c r="DV223" s="39"/>
      <c r="DW223" s="39"/>
      <c r="DX223" s="39"/>
      <c r="DY223" s="39"/>
      <c r="DZ223" s="39"/>
      <c r="EA223" s="39"/>
      <c r="EB223" s="39"/>
      <c r="EC223" s="39"/>
      <c r="ED223" s="39"/>
      <c r="EE223" s="39"/>
      <c r="EF223" s="39"/>
      <c r="EG223" s="39"/>
      <c r="EH223" s="39"/>
      <c r="EI223" s="39"/>
      <c r="EJ223" s="39"/>
      <c r="EK223" s="39"/>
      <c r="EL223" s="39"/>
      <c r="EM223" s="39"/>
      <c r="EN223" s="39"/>
      <c r="EO223" s="39"/>
      <c r="EP223" s="39"/>
      <c r="EQ223" s="39"/>
      <c r="ER223" s="39"/>
      <c r="ES223" s="39"/>
      <c r="ET223" s="39"/>
      <c r="EU223" s="39"/>
      <c r="EV223" s="39"/>
      <c r="EW223" s="39"/>
      <c r="EX223" s="39"/>
      <c r="EY223" s="39"/>
      <c r="EZ223" s="39"/>
      <c r="FA223" s="39"/>
      <c r="FB223" s="39"/>
      <c r="FC223" s="39"/>
      <c r="FD223" s="39"/>
      <c r="FE223" s="39"/>
      <c r="FF223" s="39"/>
      <c r="FG223" s="39"/>
      <c r="FH223" s="39"/>
      <c r="FI223" s="39"/>
      <c r="FJ223" s="39"/>
      <c r="FK223" s="39"/>
      <c r="FL223" s="39"/>
      <c r="FM223" s="39"/>
      <c r="FN223" s="39"/>
      <c r="FO223" s="39"/>
      <c r="FP223" s="39"/>
      <c r="FQ223" s="39"/>
      <c r="FR223" s="39"/>
      <c r="FS223" s="39"/>
      <c r="FT223" s="39"/>
      <c r="FU223" s="39"/>
      <c r="FV223" s="39"/>
      <c r="FW223" s="39"/>
      <c r="FX223" s="39"/>
      <c r="FY223" s="39"/>
      <c r="FZ223" s="39"/>
      <c r="GA223" s="39"/>
      <c r="GB223" s="39"/>
      <c r="GC223" s="39"/>
      <c r="GD223" s="39"/>
      <c r="GE223" s="39"/>
      <c r="GF223" s="39"/>
      <c r="GG223" s="39"/>
      <c r="GH223" s="39"/>
      <c r="GI223" s="39"/>
      <c r="GJ223" s="39"/>
      <c r="GK223" s="39"/>
      <c r="GL223" s="39"/>
      <c r="GM223" s="39"/>
      <c r="GN223" s="39"/>
      <c r="GO223" s="39"/>
      <c r="GP223" s="39"/>
      <c r="GQ223" s="39"/>
      <c r="GR223" s="39"/>
      <c r="GS223" s="39"/>
      <c r="GT223" s="39"/>
      <c r="GU223" s="39"/>
      <c r="GV223" s="39"/>
      <c r="GW223" s="39"/>
      <c r="GX223" s="39"/>
      <c r="GY223" s="39"/>
      <c r="GZ223" s="39"/>
      <c r="HA223" s="39"/>
      <c r="HB223" s="39"/>
      <c r="HC223" s="39"/>
      <c r="HD223" s="39"/>
      <c r="HE223" s="39"/>
      <c r="HF223" s="39"/>
      <c r="HG223" s="39"/>
      <c r="HH223" s="39"/>
      <c r="HI223" s="39"/>
      <c r="HJ223" s="39"/>
      <c r="HK223" s="39"/>
      <c r="HL223" s="39"/>
      <c r="HM223" s="39"/>
      <c r="HN223" s="39"/>
      <c r="HO223" s="39"/>
      <c r="HP223" s="39"/>
      <c r="HQ223" s="39"/>
      <c r="HR223" s="39"/>
      <c r="HS223" s="39"/>
      <c r="HT223" s="39"/>
      <c r="HU223" s="39"/>
      <c r="HV223" s="39"/>
      <c r="HW223" s="39"/>
      <c r="HX223" s="39"/>
      <c r="HY223" s="39"/>
      <c r="HZ223" s="39"/>
      <c r="IA223" s="39"/>
      <c r="IB223" s="39"/>
      <c r="IC223" s="39"/>
      <c r="ID223" s="39"/>
      <c r="IE223" s="39"/>
      <c r="IF223" s="39"/>
      <c r="IG223" s="39"/>
      <c r="IH223" s="39"/>
      <c r="II223" s="39"/>
      <c r="IJ223" s="39"/>
      <c r="IK223" s="39"/>
      <c r="IL223" s="39"/>
      <c r="IM223" s="39"/>
      <c r="IN223" s="39"/>
      <c r="IO223" s="39"/>
      <c r="IP223" s="39"/>
      <c r="IQ223" s="39"/>
      <c r="IR223" s="39"/>
      <c r="IS223" s="39"/>
      <c r="IT223" s="39"/>
      <c r="IU223" s="39"/>
      <c r="IV223" s="39"/>
      <c r="IW223" s="39"/>
    </row>
    <row r="224" customFormat="false" ht="12.95" hidden="false" customHeight="true" outlineLevel="0" collapsed="false">
      <c r="A224" s="95" t="s">
        <v>429</v>
      </c>
      <c r="B224" s="39"/>
      <c r="C224" s="39"/>
      <c r="D224" s="96"/>
      <c r="E224" s="39"/>
      <c r="F224" s="39"/>
      <c r="G224" s="39"/>
      <c r="H224" s="39"/>
      <c r="I224" s="39"/>
      <c r="J224" s="39"/>
      <c r="K224" s="71"/>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0"/>
      <c r="AX224" s="71"/>
      <c r="AY224" s="71"/>
      <c r="AZ224" s="39"/>
      <c r="BA224" s="39"/>
      <c r="BB224" s="39"/>
      <c r="BC224" s="39"/>
      <c r="BD224" s="39"/>
      <c r="BE224" s="39"/>
      <c r="BF224" s="39"/>
      <c r="BG224" s="48"/>
      <c r="BH224" s="39"/>
      <c r="BI224" s="39"/>
      <c r="BJ224" s="39"/>
      <c r="BK224" s="39"/>
      <c r="BL224" s="39"/>
      <c r="BM224" s="39"/>
      <c r="BN224" s="39"/>
      <c r="BO224" s="39"/>
      <c r="BP224" s="39"/>
      <c r="BQ224" s="39"/>
      <c r="BR224" s="39"/>
      <c r="BS224" s="39"/>
      <c r="BT224" s="39"/>
      <c r="BU224" s="39"/>
      <c r="BV224" s="39"/>
      <c r="BW224" s="39"/>
      <c r="BX224" s="39"/>
      <c r="BY224" s="39"/>
      <c r="BZ224" s="39"/>
      <c r="CA224" s="39"/>
      <c r="CB224" s="39"/>
      <c r="CC224" s="39"/>
      <c r="CD224" s="39"/>
      <c r="CE224" s="39"/>
      <c r="CF224" s="39"/>
      <c r="CG224" s="39"/>
      <c r="CH224" s="39"/>
      <c r="CI224" s="39"/>
      <c r="CJ224" s="39"/>
      <c r="CK224" s="39"/>
      <c r="CL224" s="39"/>
      <c r="CM224" s="39"/>
      <c r="CN224" s="39"/>
      <c r="CO224" s="39"/>
      <c r="CP224" s="39"/>
      <c r="CQ224" s="39"/>
      <c r="CR224" s="39"/>
      <c r="CS224" s="39"/>
      <c r="CT224" s="39"/>
      <c r="CU224" s="39"/>
      <c r="CV224" s="39"/>
      <c r="CW224" s="39"/>
      <c r="CX224" s="39"/>
      <c r="CY224" s="39"/>
      <c r="CZ224" s="39"/>
      <c r="DA224" s="39"/>
      <c r="DB224" s="39"/>
      <c r="DC224" s="39"/>
      <c r="DD224" s="39"/>
      <c r="DE224" s="39"/>
      <c r="DF224" s="39"/>
      <c r="DG224" s="39"/>
      <c r="DH224" s="39"/>
      <c r="DI224" s="39"/>
      <c r="DJ224" s="39"/>
      <c r="DK224" s="39"/>
      <c r="DL224" s="39"/>
      <c r="DM224" s="39"/>
      <c r="DN224" s="39"/>
      <c r="DO224" s="39"/>
      <c r="DP224" s="39"/>
      <c r="DQ224" s="39"/>
      <c r="DR224" s="39"/>
      <c r="DS224" s="39"/>
      <c r="DT224" s="39"/>
      <c r="DU224" s="39"/>
      <c r="DV224" s="39"/>
      <c r="DW224" s="39"/>
      <c r="DX224" s="39"/>
      <c r="DY224" s="39"/>
      <c r="DZ224" s="39"/>
      <c r="EA224" s="39"/>
      <c r="EB224" s="39"/>
      <c r="EC224" s="39"/>
      <c r="ED224" s="39"/>
      <c r="EE224" s="39"/>
      <c r="EF224" s="39"/>
      <c r="EG224" s="39"/>
      <c r="EH224" s="39"/>
      <c r="EI224" s="39"/>
      <c r="EJ224" s="39"/>
      <c r="EK224" s="39"/>
      <c r="EL224" s="39"/>
      <c r="EM224" s="39"/>
      <c r="EN224" s="39"/>
      <c r="EO224" s="39"/>
      <c r="EP224" s="39"/>
      <c r="EQ224" s="39"/>
      <c r="ER224" s="39"/>
      <c r="ES224" s="39"/>
      <c r="ET224" s="39"/>
      <c r="EU224" s="39"/>
      <c r="EV224" s="39"/>
      <c r="EW224" s="39"/>
      <c r="EX224" s="39"/>
      <c r="EY224" s="39"/>
      <c r="EZ224" s="39"/>
      <c r="FA224" s="39"/>
      <c r="FB224" s="39"/>
      <c r="FC224" s="39"/>
      <c r="FD224" s="39"/>
      <c r="FE224" s="39"/>
      <c r="FF224" s="39"/>
      <c r="FG224" s="39"/>
      <c r="FH224" s="39"/>
      <c r="FI224" s="39"/>
      <c r="FJ224" s="39"/>
      <c r="FK224" s="39"/>
      <c r="FL224" s="39"/>
      <c r="FM224" s="39"/>
      <c r="FN224" s="39"/>
      <c r="FO224" s="39"/>
      <c r="FP224" s="39"/>
      <c r="FQ224" s="39"/>
      <c r="FR224" s="39"/>
      <c r="FS224" s="39"/>
      <c r="FT224" s="39"/>
      <c r="FU224" s="39"/>
      <c r="FV224" s="39"/>
      <c r="FW224" s="39"/>
      <c r="FX224" s="39"/>
      <c r="FY224" s="39"/>
      <c r="FZ224" s="39"/>
      <c r="GA224" s="39"/>
      <c r="GB224" s="39"/>
      <c r="GC224" s="39"/>
      <c r="GD224" s="39"/>
      <c r="GE224" s="39"/>
      <c r="GF224" s="39"/>
      <c r="GG224" s="39"/>
      <c r="GH224" s="39"/>
      <c r="GI224" s="39"/>
      <c r="GJ224" s="39"/>
      <c r="GK224" s="39"/>
      <c r="GL224" s="39"/>
      <c r="GM224" s="39"/>
      <c r="GN224" s="39"/>
      <c r="GO224" s="39"/>
      <c r="GP224" s="39"/>
      <c r="GQ224" s="39"/>
      <c r="GR224" s="39"/>
      <c r="GS224" s="39"/>
      <c r="GT224" s="39"/>
      <c r="GU224" s="39"/>
      <c r="GV224" s="39"/>
      <c r="GW224" s="39"/>
      <c r="GX224" s="39"/>
      <c r="GY224" s="39"/>
      <c r="GZ224" s="39"/>
      <c r="HA224" s="39"/>
      <c r="HB224" s="39"/>
      <c r="HC224" s="39"/>
      <c r="HD224" s="39"/>
      <c r="HE224" s="39"/>
      <c r="HF224" s="39"/>
      <c r="HG224" s="39"/>
      <c r="HH224" s="39"/>
      <c r="HI224" s="39"/>
      <c r="HJ224" s="39"/>
      <c r="HK224" s="39"/>
      <c r="HL224" s="39"/>
      <c r="HM224" s="39"/>
      <c r="HN224" s="39"/>
      <c r="HO224" s="39"/>
      <c r="HP224" s="39"/>
      <c r="HQ224" s="39"/>
      <c r="HR224" s="39"/>
      <c r="HS224" s="39"/>
      <c r="HT224" s="39"/>
      <c r="HU224" s="39"/>
      <c r="HV224" s="39"/>
      <c r="HW224" s="39"/>
      <c r="HX224" s="39"/>
      <c r="HY224" s="39"/>
      <c r="HZ224" s="39"/>
      <c r="IA224" s="39"/>
      <c r="IB224" s="39"/>
      <c r="IC224" s="39"/>
      <c r="ID224" s="39"/>
      <c r="IE224" s="39"/>
      <c r="IF224" s="39"/>
      <c r="IG224" s="39"/>
      <c r="IH224" s="39"/>
      <c r="II224" s="39"/>
      <c r="IJ224" s="39"/>
      <c r="IK224" s="39"/>
      <c r="IL224" s="39"/>
      <c r="IM224" s="39"/>
      <c r="IN224" s="39"/>
      <c r="IO224" s="39"/>
      <c r="IP224" s="39"/>
      <c r="IQ224" s="39"/>
      <c r="IR224" s="39"/>
      <c r="IS224" s="39"/>
      <c r="IT224" s="39"/>
      <c r="IU224" s="39"/>
      <c r="IV224" s="39"/>
      <c r="IW224" s="39"/>
    </row>
    <row r="225" customFormat="false" ht="12.95" hidden="false" customHeight="true" outlineLevel="0" collapsed="false">
      <c r="A225" s="37" t="n">
        <f aca="false">+'CCs # Master'!A11</f>
        <v>1</v>
      </c>
      <c r="B225" s="39" t="str">
        <f aca="false">+'CCs # Master'!B11</f>
        <v>EMI Billing R/C  (ECM)</v>
      </c>
      <c r="C225" s="39" t="str">
        <f aca="false">+'CCs # Master'!C11</f>
        <v>Lindsey, Mark</v>
      </c>
      <c r="D225" s="96" t="n">
        <f aca="false">+'CCs # Master'!D11</f>
        <v>100003</v>
      </c>
      <c r="E225" s="39" t="n">
        <f aca="false">+'CCs # Master'!E11</f>
        <v>0</v>
      </c>
      <c r="F225" s="39" t="n">
        <f aca="false">+'CCs # Master'!F11</f>
        <v>0</v>
      </c>
      <c r="G225" s="39" t="n">
        <f aca="false">+'CCs # Master'!G11</f>
        <v>0</v>
      </c>
      <c r="H225" s="39" t="n">
        <f aca="false">+'CCs # Master'!H11</f>
        <v>0</v>
      </c>
      <c r="I225" s="39" t="n">
        <f aca="false">+'CCs # Master'!I11</f>
        <v>0</v>
      </c>
      <c r="J225" s="39" t="n">
        <f aca="false">+'CCs # Master'!J11</f>
        <v>0</v>
      </c>
      <c r="K225" s="71" t="n">
        <f aca="false">SUM(E225:J225)</f>
        <v>0</v>
      </c>
      <c r="L225" s="39"/>
      <c r="M225" s="39" t="str">
        <f aca="false">+'CCs # Master'!M11</f>
        <v>Retained At EMI</v>
      </c>
      <c r="N225" s="39" t="n">
        <f aca="false">+'CCs # Master'!AW11</f>
        <v>0</v>
      </c>
      <c r="O225" s="39" t="n">
        <v>0</v>
      </c>
      <c r="P225" s="39" t="n">
        <f aca="false">+'CCs # Master'!N11</f>
        <v>0</v>
      </c>
      <c r="Q225" s="39" t="n">
        <f aca="false">+'CCs # Master'!O11</f>
        <v>0</v>
      </c>
      <c r="R225" s="39" t="n">
        <f aca="false">+'CCs # Master'!P11</f>
        <v>0</v>
      </c>
      <c r="S225" s="39" t="n">
        <f aca="false">+'CCs # Master'!Q11</f>
        <v>0</v>
      </c>
      <c r="T225" s="39" t="n">
        <f aca="false">+'CCs # Master'!R11</f>
        <v>0</v>
      </c>
      <c r="U225" s="39" t="n">
        <f aca="false">+'CCs # Master'!S11</f>
        <v>0</v>
      </c>
      <c r="V225" s="39" t="n">
        <f aca="false">+'CCs # Master'!T11</f>
        <v>0</v>
      </c>
      <c r="W225" s="39" t="n">
        <f aca="false">+'CCs # Master'!U11</f>
        <v>0</v>
      </c>
      <c r="X225" s="39" t="n">
        <f aca="false">+'CCs # Master'!V11</f>
        <v>0</v>
      </c>
      <c r="Y225" s="39" t="n">
        <f aca="false">+'CCs # Master'!W11</f>
        <v>0</v>
      </c>
      <c r="Z225" s="39" t="n">
        <f aca="false">+'CCs # Master'!X11</f>
        <v>0</v>
      </c>
      <c r="AA225" s="39" t="n">
        <f aca="false">+'CCs # Master'!Y11</f>
        <v>0</v>
      </c>
      <c r="AB225" s="39" t="n">
        <f aca="false">+'CCs # Master'!Z11</f>
        <v>0</v>
      </c>
      <c r="AC225" s="39" t="n">
        <f aca="false">+'CCs # Master'!AA11</f>
        <v>0</v>
      </c>
      <c r="AD225" s="39" t="n">
        <f aca="false">+'CCs # Master'!AB11</f>
        <v>0</v>
      </c>
      <c r="AE225" s="39" t="n">
        <f aca="false">+'CCs # Master'!AC11</f>
        <v>0</v>
      </c>
      <c r="AF225" s="39" t="n">
        <f aca="false">+'CCs # Master'!AD11</f>
        <v>0</v>
      </c>
      <c r="AG225" s="39" t="n">
        <f aca="false">+'CCs # Master'!AE11</f>
        <v>0</v>
      </c>
      <c r="AH225" s="39" t="n">
        <f aca="false">+'CCs # Master'!AF11</f>
        <v>0</v>
      </c>
      <c r="AI225" s="39" t="n">
        <f aca="false">+'CCs # Master'!AG11</f>
        <v>0</v>
      </c>
      <c r="AJ225" s="39" t="n">
        <f aca="false">+'CCs # Master'!AH11</f>
        <v>0</v>
      </c>
      <c r="AK225" s="39" t="n">
        <f aca="false">+'CCs # Master'!AI11</f>
        <v>0</v>
      </c>
      <c r="AL225" s="39" t="n">
        <f aca="false">+'CCs # Master'!AJ11</f>
        <v>0</v>
      </c>
      <c r="AM225" s="39" t="n">
        <f aca="false">+'CCs # Master'!AK11</f>
        <v>0</v>
      </c>
      <c r="AN225" s="39" t="n">
        <f aca="false">+'CCs # Master'!AL11</f>
        <v>0</v>
      </c>
      <c r="AO225" s="39" t="n">
        <f aca="false">+'CCs # Master'!AM11</f>
        <v>0</v>
      </c>
      <c r="AP225" s="39" t="n">
        <f aca="false">+'CCs # Master'!AN11</f>
        <v>0</v>
      </c>
      <c r="AQ225" s="39" t="n">
        <f aca="false">+'CCs # Master'!AO11</f>
        <v>0</v>
      </c>
      <c r="AR225" s="39" t="n">
        <f aca="false">+'CCs # Master'!AP11</f>
        <v>0</v>
      </c>
      <c r="AS225" s="39" t="n">
        <f aca="false">+'CCs # Master'!AQ11</f>
        <v>0</v>
      </c>
      <c r="AT225" s="39" t="n">
        <f aca="false">+'CCs # Master'!AR11</f>
        <v>0</v>
      </c>
      <c r="AU225" s="39" t="n">
        <f aca="false">+'CCs # Master'!AS11</f>
        <v>0</v>
      </c>
      <c r="AV225" s="39" t="n">
        <f aca="false">+'CCs # Master'!AT11</f>
        <v>0</v>
      </c>
      <c r="AW225" s="0"/>
      <c r="AX225" s="71" t="n">
        <f aca="false">SUM(N225:AW225)</f>
        <v>0</v>
      </c>
      <c r="AY225" s="71" t="n">
        <f aca="false">+K225-AX225</f>
        <v>0</v>
      </c>
      <c r="AZ225" s="39"/>
      <c r="BA225" s="39" t="n">
        <f aca="false">+P225+Q225+T225+U225+V225+W225+X225+Y225</f>
        <v>0</v>
      </c>
      <c r="BB225" s="39" t="n">
        <f aca="false">N225</f>
        <v>0</v>
      </c>
      <c r="BC225" s="39" t="n">
        <f aca="false">SUM(P225:AW225)</f>
        <v>0</v>
      </c>
      <c r="BD225" s="39"/>
      <c r="BE225" s="39" t="n">
        <f aca="false">SUM(BB225:BC225)</f>
        <v>0</v>
      </c>
      <c r="BF225" s="39"/>
      <c r="BG225" s="48" t="n">
        <f aca="false">SUM(N225:AW225)</f>
        <v>0</v>
      </c>
      <c r="BH225" s="39" t="n">
        <f aca="false">BE225-BG225</f>
        <v>0</v>
      </c>
      <c r="BI225" s="39"/>
      <c r="BJ225" s="39"/>
      <c r="BK225" s="39"/>
      <c r="BL225" s="39"/>
      <c r="BM225" s="39"/>
      <c r="BN225" s="39"/>
      <c r="BO225" s="39"/>
      <c r="BP225" s="39"/>
      <c r="BQ225" s="39"/>
      <c r="BR225" s="39"/>
      <c r="BS225" s="39"/>
      <c r="BT225" s="39"/>
      <c r="BU225" s="39"/>
      <c r="BV225" s="39"/>
      <c r="BW225" s="39"/>
      <c r="BX225" s="39"/>
      <c r="BY225" s="39"/>
      <c r="BZ225" s="39"/>
      <c r="CA225" s="39"/>
      <c r="CB225" s="39"/>
      <c r="CC225" s="39"/>
      <c r="CD225" s="39"/>
      <c r="CE225" s="39"/>
      <c r="CF225" s="39"/>
      <c r="CG225" s="39"/>
      <c r="CH225" s="39"/>
      <c r="CI225" s="39"/>
      <c r="CJ225" s="39"/>
      <c r="CK225" s="39"/>
      <c r="CL225" s="39"/>
      <c r="CM225" s="39"/>
      <c r="CN225" s="39"/>
      <c r="CO225" s="39"/>
      <c r="CP225" s="39"/>
      <c r="CQ225" s="39"/>
      <c r="CR225" s="39"/>
      <c r="CS225" s="39"/>
      <c r="CT225" s="39"/>
      <c r="CU225" s="39"/>
      <c r="CV225" s="39"/>
      <c r="CW225" s="39"/>
      <c r="CX225" s="39"/>
      <c r="CY225" s="39"/>
      <c r="CZ225" s="39"/>
      <c r="DA225" s="39"/>
      <c r="DB225" s="39"/>
      <c r="DC225" s="39"/>
      <c r="DD225" s="39"/>
      <c r="DE225" s="39"/>
      <c r="DF225" s="39"/>
      <c r="DG225" s="39"/>
      <c r="DH225" s="39"/>
      <c r="DI225" s="39"/>
      <c r="DJ225" s="39"/>
      <c r="DK225" s="39"/>
      <c r="DL225" s="39"/>
      <c r="DM225" s="39"/>
      <c r="DN225" s="39"/>
      <c r="DO225" s="39"/>
      <c r="DP225" s="39"/>
      <c r="DQ225" s="39"/>
      <c r="DR225" s="39"/>
      <c r="DS225" s="39"/>
      <c r="DT225" s="39"/>
      <c r="DU225" s="39"/>
      <c r="DV225" s="39"/>
      <c r="DW225" s="39"/>
      <c r="DX225" s="39"/>
      <c r="DY225" s="39"/>
      <c r="DZ225" s="39"/>
      <c r="EA225" s="39"/>
      <c r="EB225" s="39"/>
      <c r="EC225" s="39"/>
      <c r="ED225" s="39"/>
      <c r="EE225" s="39"/>
      <c r="EF225" s="39"/>
      <c r="EG225" s="39"/>
      <c r="EH225" s="39"/>
      <c r="EI225" s="39"/>
      <c r="EJ225" s="39"/>
      <c r="EK225" s="39"/>
      <c r="EL225" s="39"/>
      <c r="EM225" s="39"/>
      <c r="EN225" s="39"/>
      <c r="EO225" s="39"/>
      <c r="EP225" s="39"/>
      <c r="EQ225" s="39"/>
      <c r="ER225" s="39"/>
      <c r="ES225" s="39"/>
      <c r="ET225" s="39"/>
      <c r="EU225" s="39"/>
      <c r="EV225" s="39"/>
      <c r="EW225" s="39"/>
      <c r="EX225" s="39"/>
      <c r="EY225" s="39"/>
      <c r="EZ225" s="39"/>
      <c r="FA225" s="39"/>
      <c r="FB225" s="39"/>
      <c r="FC225" s="39"/>
      <c r="FD225" s="39"/>
      <c r="FE225" s="39"/>
      <c r="FF225" s="39"/>
      <c r="FG225" s="39"/>
      <c r="FH225" s="39"/>
      <c r="FI225" s="39"/>
      <c r="FJ225" s="39"/>
      <c r="FK225" s="39"/>
      <c r="FL225" s="39"/>
      <c r="FM225" s="39"/>
      <c r="FN225" s="39"/>
      <c r="FO225" s="39"/>
      <c r="FP225" s="39"/>
      <c r="FQ225" s="39"/>
      <c r="FR225" s="39"/>
      <c r="FS225" s="39"/>
      <c r="FT225" s="39"/>
      <c r="FU225" s="39"/>
      <c r="FV225" s="39"/>
      <c r="FW225" s="39"/>
      <c r="FX225" s="39"/>
      <c r="FY225" s="39"/>
      <c r="FZ225" s="39"/>
      <c r="GA225" s="39"/>
      <c r="GB225" s="39"/>
      <c r="GC225" s="39"/>
      <c r="GD225" s="39"/>
      <c r="GE225" s="39"/>
      <c r="GF225" s="39"/>
      <c r="GG225" s="39"/>
      <c r="GH225" s="39"/>
      <c r="GI225" s="39"/>
      <c r="GJ225" s="39"/>
      <c r="GK225" s="39"/>
      <c r="GL225" s="39"/>
      <c r="GM225" s="39"/>
      <c r="GN225" s="39"/>
      <c r="GO225" s="39"/>
      <c r="GP225" s="39"/>
      <c r="GQ225" s="39"/>
      <c r="GR225" s="39"/>
      <c r="GS225" s="39"/>
      <c r="GT225" s="39"/>
      <c r="GU225" s="39"/>
      <c r="GV225" s="39"/>
      <c r="GW225" s="39"/>
      <c r="GX225" s="39"/>
      <c r="GY225" s="39"/>
      <c r="GZ225" s="39"/>
      <c r="HA225" s="39"/>
      <c r="HB225" s="39"/>
      <c r="HC225" s="39"/>
      <c r="HD225" s="39"/>
      <c r="HE225" s="39"/>
      <c r="HF225" s="39"/>
      <c r="HG225" s="39"/>
      <c r="HH225" s="39"/>
      <c r="HI225" s="39"/>
      <c r="HJ225" s="39"/>
      <c r="HK225" s="39"/>
      <c r="HL225" s="39"/>
      <c r="HM225" s="39"/>
      <c r="HN225" s="39"/>
      <c r="HO225" s="39"/>
      <c r="HP225" s="39"/>
      <c r="HQ225" s="39"/>
      <c r="HR225" s="39"/>
      <c r="HS225" s="39"/>
      <c r="HT225" s="39"/>
      <c r="HU225" s="39"/>
      <c r="HV225" s="39"/>
      <c r="HW225" s="39"/>
      <c r="HX225" s="39"/>
      <c r="HY225" s="39"/>
      <c r="HZ225" s="39"/>
      <c r="IA225" s="39"/>
      <c r="IB225" s="39"/>
      <c r="IC225" s="39"/>
      <c r="ID225" s="39"/>
      <c r="IE225" s="39"/>
      <c r="IF225" s="39"/>
      <c r="IG225" s="39"/>
      <c r="IH225" s="39"/>
      <c r="II225" s="39"/>
      <c r="IJ225" s="39"/>
      <c r="IK225" s="39"/>
      <c r="IL225" s="39"/>
      <c r="IM225" s="39"/>
      <c r="IN225" s="39"/>
      <c r="IO225" s="39"/>
      <c r="IP225" s="39"/>
      <c r="IQ225" s="39"/>
      <c r="IR225" s="39"/>
      <c r="IS225" s="39"/>
      <c r="IT225" s="39"/>
      <c r="IU225" s="39"/>
      <c r="IV225" s="39"/>
      <c r="IW225" s="39"/>
    </row>
    <row r="226" customFormat="false" ht="12.95" hidden="false" customHeight="true" outlineLevel="0" collapsed="false">
      <c r="A226" s="37" t="n">
        <f aca="false">+'CCs # Master'!A32</f>
        <v>11</v>
      </c>
      <c r="B226" s="39" t="str">
        <f aca="false">+'CCs # Master'!B32</f>
        <v>Credit Union</v>
      </c>
      <c r="C226" s="39" t="str">
        <f aca="false">+'CCs # Master'!C32</f>
        <v>Lindsey, Mark</v>
      </c>
      <c r="D226" s="96" t="n">
        <f aca="false">+'CCs # Master'!D32</f>
        <v>100032</v>
      </c>
      <c r="E226" s="39" t="n">
        <f aca="false">+'CCs # Master'!E32</f>
        <v>0</v>
      </c>
      <c r="F226" s="39" t="n">
        <f aca="false">+'CCs # Master'!F32</f>
        <v>0</v>
      </c>
      <c r="G226" s="39" t="n">
        <f aca="false">+'CCs # Master'!G32</f>
        <v>0</v>
      </c>
      <c r="H226" s="39" t="n">
        <f aca="false">+'CCs # Master'!H32</f>
        <v>0</v>
      </c>
      <c r="I226" s="39" t="n">
        <f aca="false">+'CCs # Master'!I32</f>
        <v>0</v>
      </c>
      <c r="J226" s="39" t="n">
        <f aca="false">+'CCs # Master'!J32</f>
        <v>0</v>
      </c>
      <c r="K226" s="71" t="n">
        <f aca="false">SUM(E226:J226)</f>
        <v>0</v>
      </c>
      <c r="L226" s="39"/>
      <c r="M226" s="39" t="str">
        <f aca="false">+'CCs # Master'!M32</f>
        <v>Retained At Corp</v>
      </c>
      <c r="N226" s="39" t="n">
        <f aca="false">+'CCs # Master'!AW32</f>
        <v>0</v>
      </c>
      <c r="O226" s="39" t="n">
        <v>0</v>
      </c>
      <c r="P226" s="39" t="n">
        <f aca="false">+'CCs # Master'!N32</f>
        <v>0</v>
      </c>
      <c r="Q226" s="39" t="n">
        <f aca="false">+'CCs # Master'!O32</f>
        <v>0</v>
      </c>
      <c r="R226" s="39" t="n">
        <f aca="false">+'CCs # Master'!P32</f>
        <v>0</v>
      </c>
      <c r="S226" s="39" t="n">
        <f aca="false">+'CCs # Master'!Q32</f>
        <v>0</v>
      </c>
      <c r="T226" s="39" t="n">
        <f aca="false">+'CCs # Master'!R32</f>
        <v>0</v>
      </c>
      <c r="U226" s="39" t="n">
        <f aca="false">+'CCs # Master'!S32</f>
        <v>0</v>
      </c>
      <c r="V226" s="39" t="n">
        <f aca="false">+'CCs # Master'!T32</f>
        <v>0</v>
      </c>
      <c r="W226" s="39" t="n">
        <f aca="false">+'CCs # Master'!U32</f>
        <v>0</v>
      </c>
      <c r="X226" s="39" t="n">
        <f aca="false">+'CCs # Master'!V32</f>
        <v>0</v>
      </c>
      <c r="Y226" s="39" t="n">
        <f aca="false">+'CCs # Master'!W32</f>
        <v>0</v>
      </c>
      <c r="Z226" s="39" t="n">
        <f aca="false">+'CCs # Master'!X32</f>
        <v>0</v>
      </c>
      <c r="AA226" s="39" t="n">
        <f aca="false">+'CCs # Master'!Y32</f>
        <v>0</v>
      </c>
      <c r="AB226" s="39" t="n">
        <f aca="false">+'CCs # Master'!Z32</f>
        <v>0</v>
      </c>
      <c r="AC226" s="39" t="n">
        <f aca="false">+'CCs # Master'!AA32</f>
        <v>0</v>
      </c>
      <c r="AD226" s="39" t="n">
        <f aca="false">+'CCs # Master'!AB32</f>
        <v>0</v>
      </c>
      <c r="AE226" s="39" t="n">
        <f aca="false">+'CCs # Master'!AC32</f>
        <v>0</v>
      </c>
      <c r="AF226" s="39" t="n">
        <f aca="false">+'CCs # Master'!AD32</f>
        <v>0</v>
      </c>
      <c r="AG226" s="39" t="n">
        <f aca="false">+'CCs # Master'!AE32</f>
        <v>0</v>
      </c>
      <c r="AH226" s="39" t="n">
        <f aca="false">+'CCs # Master'!AF32</f>
        <v>0</v>
      </c>
      <c r="AI226" s="39" t="n">
        <f aca="false">+'CCs # Master'!AG32</f>
        <v>0</v>
      </c>
      <c r="AJ226" s="39" t="n">
        <f aca="false">+'CCs # Master'!AH32</f>
        <v>0</v>
      </c>
      <c r="AK226" s="39" t="n">
        <f aca="false">+'CCs # Master'!AI32</f>
        <v>0</v>
      </c>
      <c r="AL226" s="39" t="n">
        <f aca="false">+'CCs # Master'!AJ32</f>
        <v>0</v>
      </c>
      <c r="AM226" s="39" t="n">
        <f aca="false">+'CCs # Master'!AK32</f>
        <v>0</v>
      </c>
      <c r="AN226" s="39" t="n">
        <f aca="false">+'CCs # Master'!AL32</f>
        <v>0</v>
      </c>
      <c r="AO226" s="39" t="n">
        <f aca="false">+'CCs # Master'!AM32</f>
        <v>0</v>
      </c>
      <c r="AP226" s="39" t="n">
        <f aca="false">+'CCs # Master'!AN32</f>
        <v>0</v>
      </c>
      <c r="AQ226" s="39" t="n">
        <f aca="false">+'CCs # Master'!AO32</f>
        <v>0</v>
      </c>
      <c r="AR226" s="39" t="n">
        <f aca="false">+'CCs # Master'!AP32</f>
        <v>0</v>
      </c>
      <c r="AS226" s="39" t="n">
        <f aca="false">+'CCs # Master'!AQ32</f>
        <v>0</v>
      </c>
      <c r="AT226" s="39" t="n">
        <f aca="false">+'CCs # Master'!AR32</f>
        <v>0</v>
      </c>
      <c r="AU226" s="39" t="n">
        <f aca="false">+'CCs # Master'!AS32</f>
        <v>0</v>
      </c>
      <c r="AV226" s="39" t="n">
        <f aca="false">+'CCs # Master'!AT32</f>
        <v>0</v>
      </c>
      <c r="AW226" s="0"/>
      <c r="AX226" s="71" t="n">
        <f aca="false">SUM(N226:AW226)</f>
        <v>0</v>
      </c>
      <c r="AY226" s="71" t="n">
        <f aca="false">+K226-AX226</f>
        <v>0</v>
      </c>
      <c r="AZ226" s="39"/>
      <c r="BA226" s="39" t="n">
        <f aca="false">+P226+Q226+T226+U226+V226+W226+X226+Y226</f>
        <v>0</v>
      </c>
      <c r="BB226" s="39" t="n">
        <f aca="false">N226</f>
        <v>0</v>
      </c>
      <c r="BC226" s="39" t="n">
        <f aca="false">SUM(P226:AW226)</f>
        <v>0</v>
      </c>
      <c r="BD226" s="39"/>
      <c r="BE226" s="39" t="n">
        <f aca="false">SUM(BB226:BC226)</f>
        <v>0</v>
      </c>
      <c r="BF226" s="39"/>
      <c r="BG226" s="48" t="n">
        <f aca="false">SUM(N226:AW226)</f>
        <v>0</v>
      </c>
      <c r="BH226" s="39" t="n">
        <f aca="false">BE226-BG226</f>
        <v>0</v>
      </c>
      <c r="BI226" s="39"/>
      <c r="BJ226" s="39"/>
      <c r="BK226" s="39"/>
      <c r="BL226" s="39"/>
      <c r="BM226" s="39"/>
      <c r="BN226" s="39"/>
      <c r="BO226" s="39"/>
      <c r="BP226" s="39"/>
      <c r="BQ226" s="39"/>
      <c r="BR226" s="39"/>
      <c r="BS226" s="39"/>
      <c r="BT226" s="39"/>
      <c r="BU226" s="39"/>
      <c r="BV226" s="39"/>
      <c r="BW226" s="39"/>
      <c r="BX226" s="39"/>
      <c r="BY226" s="39"/>
      <c r="BZ226" s="39"/>
      <c r="CA226" s="39"/>
      <c r="CB226" s="39"/>
      <c r="CC226" s="39"/>
      <c r="CD226" s="39"/>
      <c r="CE226" s="39"/>
      <c r="CF226" s="39"/>
      <c r="CG226" s="39"/>
      <c r="CH226" s="39"/>
      <c r="CI226" s="39"/>
      <c r="CJ226" s="39"/>
      <c r="CK226" s="39"/>
      <c r="CL226" s="39"/>
      <c r="CM226" s="39"/>
      <c r="CN226" s="39"/>
      <c r="CO226" s="39"/>
      <c r="CP226" s="39"/>
      <c r="CQ226" s="39"/>
      <c r="CR226" s="39"/>
      <c r="CS226" s="39"/>
      <c r="CT226" s="39"/>
      <c r="CU226" s="39"/>
      <c r="CV226" s="39"/>
      <c r="CW226" s="39"/>
      <c r="CX226" s="39"/>
      <c r="CY226" s="39"/>
      <c r="CZ226" s="39"/>
      <c r="DA226" s="39"/>
      <c r="DB226" s="39"/>
      <c r="DC226" s="39"/>
      <c r="DD226" s="39"/>
      <c r="DE226" s="39"/>
      <c r="DF226" s="39"/>
      <c r="DG226" s="39"/>
      <c r="DH226" s="39"/>
      <c r="DI226" s="39"/>
      <c r="DJ226" s="39"/>
      <c r="DK226" s="39"/>
      <c r="DL226" s="39"/>
      <c r="DM226" s="39"/>
      <c r="DN226" s="39"/>
      <c r="DO226" s="39"/>
      <c r="DP226" s="39"/>
      <c r="DQ226" s="39"/>
      <c r="DR226" s="39"/>
      <c r="DS226" s="39"/>
      <c r="DT226" s="39"/>
      <c r="DU226" s="39"/>
      <c r="DV226" s="39"/>
      <c r="DW226" s="39"/>
      <c r="DX226" s="39"/>
      <c r="DY226" s="39"/>
      <c r="DZ226" s="39"/>
      <c r="EA226" s="39"/>
      <c r="EB226" s="39"/>
      <c r="EC226" s="39"/>
      <c r="ED226" s="39"/>
      <c r="EE226" s="39"/>
      <c r="EF226" s="39"/>
      <c r="EG226" s="39"/>
      <c r="EH226" s="39"/>
      <c r="EI226" s="39"/>
      <c r="EJ226" s="39"/>
      <c r="EK226" s="39"/>
      <c r="EL226" s="39"/>
      <c r="EM226" s="39"/>
      <c r="EN226" s="39"/>
      <c r="EO226" s="39"/>
      <c r="EP226" s="39"/>
      <c r="EQ226" s="39"/>
      <c r="ER226" s="39"/>
      <c r="ES226" s="39"/>
      <c r="ET226" s="39"/>
      <c r="EU226" s="39"/>
      <c r="EV226" s="39"/>
      <c r="EW226" s="39"/>
      <c r="EX226" s="39"/>
      <c r="EY226" s="39"/>
      <c r="EZ226" s="39"/>
      <c r="FA226" s="39"/>
      <c r="FB226" s="39"/>
      <c r="FC226" s="39"/>
      <c r="FD226" s="39"/>
      <c r="FE226" s="39"/>
      <c r="FF226" s="39"/>
      <c r="FG226" s="39"/>
      <c r="FH226" s="39"/>
      <c r="FI226" s="39"/>
      <c r="FJ226" s="39"/>
      <c r="FK226" s="39"/>
      <c r="FL226" s="39"/>
      <c r="FM226" s="39"/>
      <c r="FN226" s="39"/>
      <c r="FO226" s="39"/>
      <c r="FP226" s="39"/>
      <c r="FQ226" s="39"/>
      <c r="FR226" s="39"/>
      <c r="FS226" s="39"/>
      <c r="FT226" s="39"/>
      <c r="FU226" s="39"/>
      <c r="FV226" s="39"/>
      <c r="FW226" s="39"/>
      <c r="FX226" s="39"/>
      <c r="FY226" s="39"/>
      <c r="FZ226" s="39"/>
      <c r="GA226" s="39"/>
      <c r="GB226" s="39"/>
      <c r="GC226" s="39"/>
      <c r="GD226" s="39"/>
      <c r="GE226" s="39"/>
      <c r="GF226" s="39"/>
      <c r="GG226" s="39"/>
      <c r="GH226" s="39"/>
      <c r="GI226" s="39"/>
      <c r="GJ226" s="39"/>
      <c r="GK226" s="39"/>
      <c r="GL226" s="39"/>
      <c r="GM226" s="39"/>
      <c r="GN226" s="39"/>
      <c r="GO226" s="39"/>
      <c r="GP226" s="39"/>
      <c r="GQ226" s="39"/>
      <c r="GR226" s="39"/>
      <c r="GS226" s="39"/>
      <c r="GT226" s="39"/>
      <c r="GU226" s="39"/>
      <c r="GV226" s="39"/>
      <c r="GW226" s="39"/>
      <c r="GX226" s="39"/>
      <c r="GY226" s="39"/>
      <c r="GZ226" s="39"/>
      <c r="HA226" s="39"/>
      <c r="HB226" s="39"/>
      <c r="HC226" s="39"/>
      <c r="HD226" s="39"/>
      <c r="HE226" s="39"/>
      <c r="HF226" s="39"/>
      <c r="HG226" s="39"/>
      <c r="HH226" s="39"/>
      <c r="HI226" s="39"/>
      <c r="HJ226" s="39"/>
      <c r="HK226" s="39"/>
      <c r="HL226" s="39"/>
      <c r="HM226" s="39"/>
      <c r="HN226" s="39"/>
      <c r="HO226" s="39"/>
      <c r="HP226" s="39"/>
      <c r="HQ226" s="39"/>
      <c r="HR226" s="39"/>
      <c r="HS226" s="39"/>
      <c r="HT226" s="39"/>
      <c r="HU226" s="39"/>
      <c r="HV226" s="39"/>
      <c r="HW226" s="39"/>
      <c r="HX226" s="39"/>
      <c r="HY226" s="39"/>
      <c r="HZ226" s="39"/>
      <c r="IA226" s="39"/>
      <c r="IB226" s="39"/>
      <c r="IC226" s="39"/>
      <c r="ID226" s="39"/>
      <c r="IE226" s="39"/>
      <c r="IF226" s="39"/>
      <c r="IG226" s="39"/>
      <c r="IH226" s="39"/>
      <c r="II226" s="39"/>
      <c r="IJ226" s="39"/>
      <c r="IK226" s="39"/>
      <c r="IL226" s="39"/>
      <c r="IM226" s="39"/>
      <c r="IN226" s="39"/>
      <c r="IO226" s="39"/>
      <c r="IP226" s="39"/>
      <c r="IQ226" s="39"/>
      <c r="IR226" s="39"/>
      <c r="IS226" s="39"/>
      <c r="IT226" s="39"/>
      <c r="IU226" s="39"/>
      <c r="IV226" s="39"/>
      <c r="IW226" s="39"/>
    </row>
    <row r="227" customFormat="false" ht="12.95" hidden="false" customHeight="true" outlineLevel="0" collapsed="false">
      <c r="A227" s="37" t="n">
        <f aca="false">+'CCs # Master'!A72</f>
        <v>11</v>
      </c>
      <c r="B227" s="39" t="str">
        <f aca="false">+'CCs # Master'!B72</f>
        <v>Wind Down - Omaha </v>
      </c>
      <c r="C227" s="39" t="str">
        <f aca="false">+'CCs # Master'!C72</f>
        <v>Lindsey, Mark</v>
      </c>
      <c r="D227" s="96" t="n">
        <f aca="false">+'CCs # Master'!D72</f>
        <v>100109</v>
      </c>
      <c r="E227" s="39" t="n">
        <f aca="false">+'CCs # Master'!E72</f>
        <v>0</v>
      </c>
      <c r="F227" s="39" t="n">
        <f aca="false">+'CCs # Master'!F72</f>
        <v>0</v>
      </c>
      <c r="G227" s="39" t="n">
        <f aca="false">+'CCs # Master'!G72</f>
        <v>0</v>
      </c>
      <c r="H227" s="39" t="n">
        <f aca="false">+'CCs # Master'!H72</f>
        <v>0</v>
      </c>
      <c r="I227" s="39" t="n">
        <f aca="false">+'CCs # Master'!I72</f>
        <v>0</v>
      </c>
      <c r="J227" s="39" t="n">
        <f aca="false">+'CCs # Master'!J72</f>
        <v>0</v>
      </c>
      <c r="K227" s="71" t="n">
        <f aca="false">SUM(E227:J227)</f>
        <v>0</v>
      </c>
      <c r="L227" s="39"/>
      <c r="M227" s="39" t="str">
        <f aca="false">+'CCs # Master'!M72</f>
        <v>Retained At Corp</v>
      </c>
      <c r="N227" s="39" t="n">
        <f aca="false">+'CCs # Master'!AW72</f>
        <v>0</v>
      </c>
      <c r="O227" s="39" t="n">
        <v>0</v>
      </c>
      <c r="P227" s="39" t="n">
        <f aca="false">+'CCs # Master'!N72</f>
        <v>0</v>
      </c>
      <c r="Q227" s="39" t="n">
        <f aca="false">+'CCs # Master'!O72</f>
        <v>0</v>
      </c>
      <c r="R227" s="39" t="n">
        <f aca="false">+'CCs # Master'!P72</f>
        <v>0</v>
      </c>
      <c r="S227" s="39" t="n">
        <f aca="false">+'CCs # Master'!Q72</f>
        <v>0</v>
      </c>
      <c r="T227" s="39" t="n">
        <f aca="false">+'CCs # Master'!R72</f>
        <v>0</v>
      </c>
      <c r="U227" s="39" t="n">
        <f aca="false">+'CCs # Master'!S72</f>
        <v>0</v>
      </c>
      <c r="V227" s="39" t="n">
        <f aca="false">+'CCs # Master'!T72</f>
        <v>0</v>
      </c>
      <c r="W227" s="39" t="n">
        <f aca="false">+'CCs # Master'!U72</f>
        <v>0</v>
      </c>
      <c r="X227" s="39" t="n">
        <f aca="false">+'CCs # Master'!V72</f>
        <v>0</v>
      </c>
      <c r="Y227" s="39" t="n">
        <f aca="false">+'CCs # Master'!W72</f>
        <v>0</v>
      </c>
      <c r="Z227" s="39" t="n">
        <f aca="false">+'CCs # Master'!X72</f>
        <v>0</v>
      </c>
      <c r="AA227" s="39" t="n">
        <f aca="false">+'CCs # Master'!Y72</f>
        <v>0</v>
      </c>
      <c r="AB227" s="39" t="n">
        <f aca="false">+'CCs # Master'!Z72</f>
        <v>0</v>
      </c>
      <c r="AC227" s="39" t="n">
        <f aca="false">+'CCs # Master'!AA72</f>
        <v>0</v>
      </c>
      <c r="AD227" s="39" t="n">
        <f aca="false">+'CCs # Master'!AB72</f>
        <v>0</v>
      </c>
      <c r="AE227" s="39" t="n">
        <f aca="false">+'CCs # Master'!AC72</f>
        <v>0</v>
      </c>
      <c r="AF227" s="39" t="n">
        <f aca="false">+'CCs # Master'!AD72</f>
        <v>0</v>
      </c>
      <c r="AG227" s="39" t="n">
        <f aca="false">+'CCs # Master'!AE72</f>
        <v>0</v>
      </c>
      <c r="AH227" s="39" t="n">
        <f aca="false">+'CCs # Master'!AF72</f>
        <v>0</v>
      </c>
      <c r="AI227" s="39" t="n">
        <f aca="false">+'CCs # Master'!AG72</f>
        <v>0</v>
      </c>
      <c r="AJ227" s="39" t="n">
        <f aca="false">+'CCs # Master'!AH72</f>
        <v>0</v>
      </c>
      <c r="AK227" s="39" t="n">
        <f aca="false">+'CCs # Master'!AI72</f>
        <v>0</v>
      </c>
      <c r="AL227" s="39" t="n">
        <f aca="false">+'CCs # Master'!AJ72</f>
        <v>0</v>
      </c>
      <c r="AM227" s="39" t="n">
        <f aca="false">+'CCs # Master'!AK72</f>
        <v>0</v>
      </c>
      <c r="AN227" s="39" t="n">
        <f aca="false">+'CCs # Master'!AL72</f>
        <v>0</v>
      </c>
      <c r="AO227" s="39" t="n">
        <f aca="false">+'CCs # Master'!AM72</f>
        <v>0</v>
      </c>
      <c r="AP227" s="39" t="n">
        <f aca="false">+'CCs # Master'!AN72</f>
        <v>0</v>
      </c>
      <c r="AQ227" s="39" t="n">
        <f aca="false">+'CCs # Master'!AO72</f>
        <v>0</v>
      </c>
      <c r="AR227" s="39" t="n">
        <f aca="false">+'CCs # Master'!AP72</f>
        <v>0</v>
      </c>
      <c r="AS227" s="39" t="n">
        <f aca="false">+'CCs # Master'!AQ72</f>
        <v>0</v>
      </c>
      <c r="AT227" s="39" t="n">
        <f aca="false">+'CCs # Master'!AR72</f>
        <v>0</v>
      </c>
      <c r="AU227" s="39" t="n">
        <f aca="false">+'CCs # Master'!AS72</f>
        <v>0</v>
      </c>
      <c r="AV227" s="39" t="n">
        <f aca="false">+'CCs # Master'!AT72</f>
        <v>0</v>
      </c>
      <c r="AW227" s="0"/>
      <c r="AX227" s="71" t="n">
        <f aca="false">SUM(N227:AW227)</f>
        <v>0</v>
      </c>
      <c r="AY227" s="71" t="n">
        <f aca="false">+K227-AX227</f>
        <v>0</v>
      </c>
      <c r="AZ227" s="39"/>
      <c r="BA227" s="39" t="n">
        <f aca="false">+P227+Q227+T227+U227+V227+W227+X227+Y227</f>
        <v>0</v>
      </c>
      <c r="BB227" s="39" t="n">
        <f aca="false">N227</f>
        <v>0</v>
      </c>
      <c r="BC227" s="39" t="n">
        <f aca="false">SUM(P227:AW227)</f>
        <v>0</v>
      </c>
      <c r="BD227" s="39"/>
      <c r="BE227" s="39" t="n">
        <f aca="false">SUM(BB227:BC227)</f>
        <v>0</v>
      </c>
      <c r="BF227" s="39"/>
      <c r="BG227" s="48" t="n">
        <f aca="false">SUM(N227:AW227)</f>
        <v>0</v>
      </c>
      <c r="BH227" s="39" t="n">
        <f aca="false">BE227-BG227</f>
        <v>0</v>
      </c>
      <c r="BI227" s="39"/>
      <c r="BJ227" s="39"/>
      <c r="BK227" s="39"/>
      <c r="BL227" s="39"/>
      <c r="BM227" s="39"/>
      <c r="BN227" s="39"/>
      <c r="BO227" s="39"/>
      <c r="BP227" s="39"/>
      <c r="BQ227" s="39"/>
      <c r="BR227" s="39"/>
      <c r="BS227" s="39"/>
      <c r="BT227" s="39"/>
      <c r="BU227" s="39"/>
      <c r="BV227" s="39"/>
      <c r="BW227" s="39"/>
      <c r="BX227" s="39"/>
      <c r="BY227" s="39"/>
      <c r="BZ227" s="39"/>
      <c r="CA227" s="39"/>
      <c r="CB227" s="39"/>
      <c r="CC227" s="39"/>
      <c r="CD227" s="39"/>
      <c r="CE227" s="39"/>
      <c r="CF227" s="39"/>
      <c r="CG227" s="39"/>
      <c r="CH227" s="39"/>
      <c r="CI227" s="39"/>
      <c r="CJ227" s="39"/>
      <c r="CK227" s="39"/>
      <c r="CL227" s="39"/>
      <c r="CM227" s="39"/>
      <c r="CN227" s="39"/>
      <c r="CO227" s="39"/>
      <c r="CP227" s="39"/>
      <c r="CQ227" s="39"/>
      <c r="CR227" s="39"/>
      <c r="CS227" s="39"/>
      <c r="CT227" s="39"/>
      <c r="CU227" s="39"/>
      <c r="CV227" s="39"/>
      <c r="CW227" s="39"/>
      <c r="CX227" s="39"/>
      <c r="CY227" s="39"/>
      <c r="CZ227" s="39"/>
      <c r="DA227" s="39"/>
      <c r="DB227" s="39"/>
      <c r="DC227" s="39"/>
      <c r="DD227" s="39"/>
      <c r="DE227" s="39"/>
      <c r="DF227" s="39"/>
      <c r="DG227" s="39"/>
      <c r="DH227" s="39"/>
      <c r="DI227" s="39"/>
      <c r="DJ227" s="39"/>
      <c r="DK227" s="39"/>
      <c r="DL227" s="39"/>
      <c r="DM227" s="39"/>
      <c r="DN227" s="39"/>
      <c r="DO227" s="39"/>
      <c r="DP227" s="39"/>
      <c r="DQ227" s="39"/>
      <c r="DR227" s="39"/>
      <c r="DS227" s="39"/>
      <c r="DT227" s="39"/>
      <c r="DU227" s="39"/>
      <c r="DV227" s="39"/>
      <c r="DW227" s="39"/>
      <c r="DX227" s="39"/>
      <c r="DY227" s="39"/>
      <c r="DZ227" s="39"/>
      <c r="EA227" s="39"/>
      <c r="EB227" s="39"/>
      <c r="EC227" s="39"/>
      <c r="ED227" s="39"/>
      <c r="EE227" s="39"/>
      <c r="EF227" s="39"/>
      <c r="EG227" s="39"/>
      <c r="EH227" s="39"/>
      <c r="EI227" s="39"/>
      <c r="EJ227" s="39"/>
      <c r="EK227" s="39"/>
      <c r="EL227" s="39"/>
      <c r="EM227" s="39"/>
      <c r="EN227" s="39"/>
      <c r="EO227" s="39"/>
      <c r="EP227" s="39"/>
      <c r="EQ227" s="39"/>
      <c r="ER227" s="39"/>
      <c r="ES227" s="39"/>
      <c r="ET227" s="39"/>
      <c r="EU227" s="39"/>
      <c r="EV227" s="39"/>
      <c r="EW227" s="39"/>
      <c r="EX227" s="39"/>
      <c r="EY227" s="39"/>
      <c r="EZ227" s="39"/>
      <c r="FA227" s="39"/>
      <c r="FB227" s="39"/>
      <c r="FC227" s="39"/>
      <c r="FD227" s="39"/>
      <c r="FE227" s="39"/>
      <c r="FF227" s="39"/>
      <c r="FG227" s="39"/>
      <c r="FH227" s="39"/>
      <c r="FI227" s="39"/>
      <c r="FJ227" s="39"/>
      <c r="FK227" s="39"/>
      <c r="FL227" s="39"/>
      <c r="FM227" s="39"/>
      <c r="FN227" s="39"/>
      <c r="FO227" s="39"/>
      <c r="FP227" s="39"/>
      <c r="FQ227" s="39"/>
      <c r="FR227" s="39"/>
      <c r="FS227" s="39"/>
      <c r="FT227" s="39"/>
      <c r="FU227" s="39"/>
      <c r="FV227" s="39"/>
      <c r="FW227" s="39"/>
      <c r="FX227" s="39"/>
      <c r="FY227" s="39"/>
      <c r="FZ227" s="39"/>
      <c r="GA227" s="39"/>
      <c r="GB227" s="39"/>
      <c r="GC227" s="39"/>
      <c r="GD227" s="39"/>
      <c r="GE227" s="39"/>
      <c r="GF227" s="39"/>
      <c r="GG227" s="39"/>
      <c r="GH227" s="39"/>
      <c r="GI227" s="39"/>
      <c r="GJ227" s="39"/>
      <c r="GK227" s="39"/>
      <c r="GL227" s="39"/>
      <c r="GM227" s="39"/>
      <c r="GN227" s="39"/>
      <c r="GO227" s="39"/>
      <c r="GP227" s="39"/>
      <c r="GQ227" s="39"/>
      <c r="GR227" s="39"/>
      <c r="GS227" s="39"/>
      <c r="GT227" s="39"/>
      <c r="GU227" s="39"/>
      <c r="GV227" s="39"/>
      <c r="GW227" s="39"/>
      <c r="GX227" s="39"/>
      <c r="GY227" s="39"/>
      <c r="GZ227" s="39"/>
      <c r="HA227" s="39"/>
      <c r="HB227" s="39"/>
      <c r="HC227" s="39"/>
      <c r="HD227" s="39"/>
      <c r="HE227" s="39"/>
      <c r="HF227" s="39"/>
      <c r="HG227" s="39"/>
      <c r="HH227" s="39"/>
      <c r="HI227" s="39"/>
      <c r="HJ227" s="39"/>
      <c r="HK227" s="39"/>
      <c r="HL227" s="39"/>
      <c r="HM227" s="39"/>
      <c r="HN227" s="39"/>
      <c r="HO227" s="39"/>
      <c r="HP227" s="39"/>
      <c r="HQ227" s="39"/>
      <c r="HR227" s="39"/>
      <c r="HS227" s="39"/>
      <c r="HT227" s="39"/>
      <c r="HU227" s="39"/>
      <c r="HV227" s="39"/>
      <c r="HW227" s="39"/>
      <c r="HX227" s="39"/>
      <c r="HY227" s="39"/>
      <c r="HZ227" s="39"/>
      <c r="IA227" s="39"/>
      <c r="IB227" s="39"/>
      <c r="IC227" s="39"/>
      <c r="ID227" s="39"/>
      <c r="IE227" s="39"/>
      <c r="IF227" s="39"/>
      <c r="IG227" s="39"/>
      <c r="IH227" s="39"/>
      <c r="II227" s="39"/>
      <c r="IJ227" s="39"/>
      <c r="IK227" s="39"/>
      <c r="IL227" s="39"/>
      <c r="IM227" s="39"/>
      <c r="IN227" s="39"/>
      <c r="IO227" s="39"/>
      <c r="IP227" s="39"/>
      <c r="IQ227" s="39"/>
      <c r="IR227" s="39"/>
      <c r="IS227" s="39"/>
      <c r="IT227" s="39"/>
      <c r="IU227" s="39"/>
      <c r="IV227" s="39"/>
      <c r="IW227" s="39"/>
    </row>
    <row r="228" customFormat="false" ht="12.95" hidden="false" customHeight="true" outlineLevel="0" collapsed="false">
      <c r="A228" s="37" t="n">
        <f aca="false">+'CCs # Master'!A101</f>
        <v>11</v>
      </c>
      <c r="B228" s="39" t="str">
        <f aca="false">+'CCs # Master'!B101</f>
        <v>Fuji Lease</v>
      </c>
      <c r="C228" s="39" t="str">
        <f aca="false">+'CCs # Master'!C101</f>
        <v>Lindsey, Mark</v>
      </c>
      <c r="D228" s="96" t="n">
        <f aca="false">+'CCs # Master'!D101</f>
        <v>100143</v>
      </c>
      <c r="E228" s="39" t="n">
        <f aca="false">+'CCs # Master'!E101</f>
        <v>0</v>
      </c>
      <c r="F228" s="39" t="n">
        <f aca="false">+'CCs # Master'!F101</f>
        <v>0</v>
      </c>
      <c r="G228" s="39" t="n">
        <f aca="false">+'CCs # Master'!G101</f>
        <v>0</v>
      </c>
      <c r="H228" s="39" t="n">
        <f aca="false">+'CCs # Master'!H101</f>
        <v>0</v>
      </c>
      <c r="I228" s="39" t="n">
        <f aca="false">+'CCs # Master'!I101</f>
        <v>0</v>
      </c>
      <c r="J228" s="39" t="n">
        <f aca="false">+'CCs # Master'!J101</f>
        <v>7835</v>
      </c>
      <c r="K228" s="71" t="n">
        <f aca="false">SUM(E228:J228)</f>
        <v>7835</v>
      </c>
      <c r="L228" s="39"/>
      <c r="M228" s="39" t="str">
        <f aca="false">+'CCs # Master'!M101</f>
        <v>Based on Sys depreciation before lease - BU</v>
      </c>
      <c r="N228" s="39" t="n">
        <f aca="false">+'CCs # Master'!AW101</f>
        <v>7835</v>
      </c>
      <c r="O228" s="39" t="n">
        <v>0</v>
      </c>
      <c r="P228" s="39" t="n">
        <f aca="false">+'CCs # Master'!N101</f>
        <v>0</v>
      </c>
      <c r="Q228" s="39" t="n">
        <f aca="false">+'CCs # Master'!O101</f>
        <v>0</v>
      </c>
      <c r="R228" s="39" t="n">
        <f aca="false">+'CCs # Master'!P101</f>
        <v>0</v>
      </c>
      <c r="S228" s="39" t="n">
        <f aca="false">+'CCs # Master'!Q101</f>
        <v>0</v>
      </c>
      <c r="T228" s="39" t="n">
        <f aca="false">+'CCs # Master'!R101</f>
        <v>0</v>
      </c>
      <c r="U228" s="39" t="n">
        <f aca="false">+'CCs # Master'!S101</f>
        <v>0</v>
      </c>
      <c r="V228" s="39" t="n">
        <f aca="false">+'CCs # Master'!T101</f>
        <v>0</v>
      </c>
      <c r="W228" s="39" t="n">
        <f aca="false">+'CCs # Master'!U101</f>
        <v>0</v>
      </c>
      <c r="X228" s="39" t="n">
        <f aca="false">+'CCs # Master'!V101</f>
        <v>0</v>
      </c>
      <c r="Y228" s="39" t="n">
        <f aca="false">+'CCs # Master'!W101</f>
        <v>0</v>
      </c>
      <c r="Z228" s="39" t="n">
        <f aca="false">+'CCs # Master'!X101</f>
        <v>0</v>
      </c>
      <c r="AA228" s="39" t="n">
        <f aca="false">+'CCs # Master'!Y101</f>
        <v>0</v>
      </c>
      <c r="AB228" s="39" t="n">
        <f aca="false">+'CCs # Master'!Z101</f>
        <v>0</v>
      </c>
      <c r="AC228" s="39" t="n">
        <f aca="false">+'CCs # Master'!AA101</f>
        <v>0</v>
      </c>
      <c r="AD228" s="39" t="n">
        <f aca="false">+'CCs # Master'!AB101</f>
        <v>0</v>
      </c>
      <c r="AE228" s="39" t="n">
        <f aca="false">+'CCs # Master'!AC101</f>
        <v>0</v>
      </c>
      <c r="AF228" s="39" t="n">
        <f aca="false">+'CCs # Master'!AD101</f>
        <v>0</v>
      </c>
      <c r="AG228" s="39" t="n">
        <f aca="false">+'CCs # Master'!AE101</f>
        <v>0</v>
      </c>
      <c r="AH228" s="39" t="n">
        <f aca="false">+'CCs # Master'!AF101</f>
        <v>0</v>
      </c>
      <c r="AI228" s="39" t="n">
        <f aca="false">+'CCs # Master'!AG101</f>
        <v>0</v>
      </c>
      <c r="AJ228" s="39" t="n">
        <f aca="false">+'CCs # Master'!AH101</f>
        <v>0</v>
      </c>
      <c r="AK228" s="39" t="n">
        <f aca="false">+'CCs # Master'!AI101</f>
        <v>0</v>
      </c>
      <c r="AL228" s="39" t="n">
        <f aca="false">+'CCs # Master'!AJ101</f>
        <v>0</v>
      </c>
      <c r="AM228" s="39" t="n">
        <f aca="false">+'CCs # Master'!AK101</f>
        <v>0</v>
      </c>
      <c r="AN228" s="39" t="n">
        <f aca="false">+'CCs # Master'!AL101</f>
        <v>0</v>
      </c>
      <c r="AO228" s="39" t="n">
        <f aca="false">+'CCs # Master'!AM101</f>
        <v>0</v>
      </c>
      <c r="AP228" s="39" t="n">
        <f aca="false">+'CCs # Master'!AN101</f>
        <v>0</v>
      </c>
      <c r="AQ228" s="39" t="n">
        <f aca="false">+'CCs # Master'!AO101</f>
        <v>0</v>
      </c>
      <c r="AR228" s="39" t="n">
        <f aca="false">+'CCs # Master'!AP101</f>
        <v>0</v>
      </c>
      <c r="AS228" s="39" t="n">
        <f aca="false">+'CCs # Master'!AQ101</f>
        <v>0</v>
      </c>
      <c r="AT228" s="39" t="n">
        <f aca="false">+'CCs # Master'!AR101</f>
        <v>0</v>
      </c>
      <c r="AU228" s="39" t="n">
        <f aca="false">+'CCs # Master'!AS101</f>
        <v>0</v>
      </c>
      <c r="AV228" s="39" t="n">
        <f aca="false">+'CCs # Master'!AT101</f>
        <v>0</v>
      </c>
      <c r="AW228" s="0"/>
      <c r="AX228" s="71" t="n">
        <f aca="false">SUM(N228:AW228)</f>
        <v>7835</v>
      </c>
      <c r="AY228" s="71" t="n">
        <f aca="false">+K228-AX228</f>
        <v>0</v>
      </c>
      <c r="AZ228" s="39"/>
      <c r="BA228" s="39" t="n">
        <f aca="false">+P228+Q228+T228+U228+V228+W228+X228+Y228</f>
        <v>0</v>
      </c>
      <c r="BB228" s="39" t="n">
        <f aca="false">N228</f>
        <v>7835</v>
      </c>
      <c r="BC228" s="39" t="n">
        <f aca="false">SUM(P228:AW228)</f>
        <v>0</v>
      </c>
      <c r="BD228" s="39"/>
      <c r="BE228" s="39" t="n">
        <f aca="false">SUM(BB228:BC228)</f>
        <v>7835</v>
      </c>
      <c r="BF228" s="39"/>
      <c r="BG228" s="48" t="n">
        <f aca="false">SUM(N228:AW228)</f>
        <v>7835</v>
      </c>
      <c r="BH228" s="39" t="n">
        <f aca="false">BE228-BG228</f>
        <v>0</v>
      </c>
      <c r="BI228" s="39"/>
      <c r="BJ228" s="39"/>
      <c r="BK228" s="39"/>
      <c r="BL228" s="39"/>
      <c r="BM228" s="39"/>
      <c r="BN228" s="39"/>
      <c r="BO228" s="39"/>
      <c r="BP228" s="39"/>
      <c r="BQ228" s="39"/>
      <c r="BR228" s="39"/>
      <c r="BS228" s="39"/>
      <c r="BT228" s="39"/>
      <c r="BU228" s="39"/>
      <c r="BV228" s="39"/>
      <c r="BW228" s="39"/>
      <c r="BX228" s="39"/>
      <c r="BY228" s="39"/>
      <c r="BZ228" s="39"/>
      <c r="CA228" s="39"/>
      <c r="CB228" s="39"/>
      <c r="CC228" s="39"/>
      <c r="CD228" s="39"/>
      <c r="CE228" s="39"/>
      <c r="CF228" s="39"/>
      <c r="CG228" s="39"/>
      <c r="CH228" s="39"/>
      <c r="CI228" s="39"/>
      <c r="CJ228" s="39"/>
      <c r="CK228" s="39"/>
      <c r="CL228" s="39"/>
      <c r="CM228" s="39"/>
      <c r="CN228" s="39"/>
      <c r="CO228" s="39"/>
      <c r="CP228" s="39"/>
      <c r="CQ228" s="39"/>
      <c r="CR228" s="39"/>
      <c r="CS228" s="39"/>
      <c r="CT228" s="39"/>
      <c r="CU228" s="39"/>
      <c r="CV228" s="39"/>
      <c r="CW228" s="39"/>
      <c r="CX228" s="39"/>
      <c r="CY228" s="39"/>
      <c r="CZ228" s="39"/>
      <c r="DA228" s="39"/>
      <c r="DB228" s="39"/>
      <c r="DC228" s="39"/>
      <c r="DD228" s="39"/>
      <c r="DE228" s="39"/>
      <c r="DF228" s="39"/>
      <c r="DG228" s="39"/>
      <c r="DH228" s="39"/>
      <c r="DI228" s="39"/>
      <c r="DJ228" s="39"/>
      <c r="DK228" s="39"/>
      <c r="DL228" s="39"/>
      <c r="DM228" s="39"/>
      <c r="DN228" s="39"/>
      <c r="DO228" s="39"/>
      <c r="DP228" s="39"/>
      <c r="DQ228" s="39"/>
      <c r="DR228" s="39"/>
      <c r="DS228" s="39"/>
      <c r="DT228" s="39"/>
      <c r="DU228" s="39"/>
      <c r="DV228" s="39"/>
      <c r="DW228" s="39"/>
      <c r="DX228" s="39"/>
      <c r="DY228" s="39"/>
      <c r="DZ228" s="39"/>
      <c r="EA228" s="39"/>
      <c r="EB228" s="39"/>
      <c r="EC228" s="39"/>
      <c r="ED228" s="39"/>
      <c r="EE228" s="39"/>
      <c r="EF228" s="39"/>
      <c r="EG228" s="39"/>
      <c r="EH228" s="39"/>
      <c r="EI228" s="39"/>
      <c r="EJ228" s="39"/>
      <c r="EK228" s="39"/>
      <c r="EL228" s="39"/>
      <c r="EM228" s="39"/>
      <c r="EN228" s="39"/>
      <c r="EO228" s="39"/>
      <c r="EP228" s="39"/>
      <c r="EQ228" s="39"/>
      <c r="ER228" s="39"/>
      <c r="ES228" s="39"/>
      <c r="ET228" s="39"/>
      <c r="EU228" s="39"/>
      <c r="EV228" s="39"/>
      <c r="EW228" s="39"/>
      <c r="EX228" s="39"/>
      <c r="EY228" s="39"/>
      <c r="EZ228" s="39"/>
      <c r="FA228" s="39"/>
      <c r="FB228" s="39"/>
      <c r="FC228" s="39"/>
      <c r="FD228" s="39"/>
      <c r="FE228" s="39"/>
      <c r="FF228" s="39"/>
      <c r="FG228" s="39"/>
      <c r="FH228" s="39"/>
      <c r="FI228" s="39"/>
      <c r="FJ228" s="39"/>
      <c r="FK228" s="39"/>
      <c r="FL228" s="39"/>
      <c r="FM228" s="39"/>
      <c r="FN228" s="39"/>
      <c r="FO228" s="39"/>
      <c r="FP228" s="39"/>
      <c r="FQ228" s="39"/>
      <c r="FR228" s="39"/>
      <c r="FS228" s="39"/>
      <c r="FT228" s="39"/>
      <c r="FU228" s="39"/>
      <c r="FV228" s="39"/>
      <c r="FW228" s="39"/>
      <c r="FX228" s="39"/>
      <c r="FY228" s="39"/>
      <c r="FZ228" s="39"/>
      <c r="GA228" s="39"/>
      <c r="GB228" s="39"/>
      <c r="GC228" s="39"/>
      <c r="GD228" s="39"/>
      <c r="GE228" s="39"/>
      <c r="GF228" s="39"/>
      <c r="GG228" s="39"/>
      <c r="GH228" s="39"/>
      <c r="GI228" s="39"/>
      <c r="GJ228" s="39"/>
      <c r="GK228" s="39"/>
      <c r="GL228" s="39"/>
      <c r="GM228" s="39"/>
      <c r="GN228" s="39"/>
      <c r="GO228" s="39"/>
      <c r="GP228" s="39"/>
      <c r="GQ228" s="39"/>
      <c r="GR228" s="39"/>
      <c r="GS228" s="39"/>
      <c r="GT228" s="39"/>
      <c r="GU228" s="39"/>
      <c r="GV228" s="39"/>
      <c r="GW228" s="39"/>
      <c r="GX228" s="39"/>
      <c r="GY228" s="39"/>
      <c r="GZ228" s="39"/>
      <c r="HA228" s="39"/>
      <c r="HB228" s="39"/>
      <c r="HC228" s="39"/>
      <c r="HD228" s="39"/>
      <c r="HE228" s="39"/>
      <c r="HF228" s="39"/>
      <c r="HG228" s="39"/>
      <c r="HH228" s="39"/>
      <c r="HI228" s="39"/>
      <c r="HJ228" s="39"/>
      <c r="HK228" s="39"/>
      <c r="HL228" s="39"/>
      <c r="HM228" s="39"/>
      <c r="HN228" s="39"/>
      <c r="HO228" s="39"/>
      <c r="HP228" s="39"/>
      <c r="HQ228" s="39"/>
      <c r="HR228" s="39"/>
      <c r="HS228" s="39"/>
      <c r="HT228" s="39"/>
      <c r="HU228" s="39"/>
      <c r="HV228" s="39"/>
      <c r="HW228" s="39"/>
      <c r="HX228" s="39"/>
      <c r="HY228" s="39"/>
      <c r="HZ228" s="39"/>
      <c r="IA228" s="39"/>
      <c r="IB228" s="39"/>
      <c r="IC228" s="39"/>
      <c r="ID228" s="39"/>
      <c r="IE228" s="39"/>
      <c r="IF228" s="39"/>
      <c r="IG228" s="39"/>
      <c r="IH228" s="39"/>
      <c r="II228" s="39"/>
      <c r="IJ228" s="39"/>
      <c r="IK228" s="39"/>
      <c r="IL228" s="39"/>
      <c r="IM228" s="39"/>
      <c r="IN228" s="39"/>
      <c r="IO228" s="39"/>
      <c r="IP228" s="39"/>
      <c r="IQ228" s="39"/>
      <c r="IR228" s="39"/>
      <c r="IS228" s="39"/>
      <c r="IT228" s="39"/>
      <c r="IU228" s="39"/>
      <c r="IV228" s="39"/>
      <c r="IW228" s="39"/>
    </row>
    <row r="229" customFormat="false" ht="12.95" hidden="false" customHeight="true" outlineLevel="0" collapsed="false">
      <c r="A229" s="37" t="n">
        <f aca="false">+'CCs # Master'!A159</f>
        <v>11</v>
      </c>
      <c r="B229" s="99" t="str">
        <f aca="false">+'CCs # Master'!B159</f>
        <v>Corp Global Finance Charges</v>
      </c>
      <c r="C229" s="99" t="str">
        <f aca="false">+'CCs # Master'!C159</f>
        <v>Lindsey, Mark</v>
      </c>
      <c r="D229" s="37" t="n">
        <f aca="false">+'CCs # Master'!D159</f>
        <v>102918</v>
      </c>
      <c r="E229" s="39" t="n">
        <f aca="false">+'CCs # Master'!E159</f>
        <v>0</v>
      </c>
      <c r="F229" s="39" t="n">
        <f aca="false">+'CCs # Master'!F159</f>
        <v>0</v>
      </c>
      <c r="G229" s="39" t="n">
        <f aca="false">+'CCs # Master'!G159</f>
        <v>0</v>
      </c>
      <c r="H229" s="39" t="n">
        <f aca="false">+'CCs # Master'!H159</f>
        <v>0</v>
      </c>
      <c r="I229" s="39" t="n">
        <f aca="false">+'CCs # Master'!I159</f>
        <v>0</v>
      </c>
      <c r="J229" s="39" t="n">
        <f aca="false">+'CCs # Master'!J159</f>
        <v>2671</v>
      </c>
      <c r="K229" s="71" t="n">
        <f aca="false">SUM(E229:J229)</f>
        <v>2671</v>
      </c>
      <c r="L229" s="39"/>
      <c r="M229" s="39" t="str">
        <f aca="false">+'CCs # Master'!M159</f>
        <v>MMF &amp; Retained at Corp</v>
      </c>
      <c r="N229" s="39" t="n">
        <f aca="false">+'CCs # Master'!AW159</f>
        <v>2671</v>
      </c>
      <c r="O229" s="39" t="n">
        <v>0</v>
      </c>
      <c r="P229" s="39" t="n">
        <f aca="false">+'CCs # Master'!N159</f>
        <v>0</v>
      </c>
      <c r="Q229" s="39" t="n">
        <f aca="false">+'CCs # Master'!O159</f>
        <v>0</v>
      </c>
      <c r="R229" s="39" t="n">
        <f aca="false">+'CCs # Master'!P159</f>
        <v>0</v>
      </c>
      <c r="S229" s="39" t="n">
        <f aca="false">+'CCs # Master'!Q159</f>
        <v>0</v>
      </c>
      <c r="T229" s="39" t="n">
        <f aca="false">+'CCs # Master'!R159</f>
        <v>0</v>
      </c>
      <c r="U229" s="39" t="n">
        <f aca="false">+'CCs # Master'!S159</f>
        <v>0</v>
      </c>
      <c r="V229" s="39" t="n">
        <f aca="false">+'CCs # Master'!T159</f>
        <v>0</v>
      </c>
      <c r="W229" s="39" t="n">
        <f aca="false">+'CCs # Master'!U159</f>
        <v>0</v>
      </c>
      <c r="X229" s="39" t="n">
        <f aca="false">+'CCs # Master'!V159</f>
        <v>0</v>
      </c>
      <c r="Y229" s="39" t="n">
        <f aca="false">+'CCs # Master'!W159</f>
        <v>0</v>
      </c>
      <c r="Z229" s="39" t="n">
        <f aca="false">+'CCs # Master'!X159</f>
        <v>0</v>
      </c>
      <c r="AA229" s="39" t="n">
        <f aca="false">+'CCs # Master'!Y159</f>
        <v>0</v>
      </c>
      <c r="AB229" s="39" t="n">
        <f aca="false">+'CCs # Master'!Z159</f>
        <v>0</v>
      </c>
      <c r="AC229" s="39" t="n">
        <f aca="false">+'CCs # Master'!AA159</f>
        <v>0</v>
      </c>
      <c r="AD229" s="39" t="n">
        <f aca="false">+'CCs # Master'!AB159</f>
        <v>0</v>
      </c>
      <c r="AE229" s="39" t="n">
        <f aca="false">+'CCs # Master'!AC159</f>
        <v>0</v>
      </c>
      <c r="AF229" s="39" t="n">
        <f aca="false">+'CCs # Master'!AD159</f>
        <v>0</v>
      </c>
      <c r="AG229" s="39" t="n">
        <f aca="false">+'CCs # Master'!AE159</f>
        <v>0</v>
      </c>
      <c r="AH229" s="39" t="n">
        <f aca="false">+'CCs # Master'!AF159</f>
        <v>0</v>
      </c>
      <c r="AI229" s="39" t="n">
        <f aca="false">+'CCs # Master'!AG159</f>
        <v>0</v>
      </c>
      <c r="AJ229" s="39" t="n">
        <f aca="false">+'CCs # Master'!AH159</f>
        <v>0</v>
      </c>
      <c r="AK229" s="39" t="n">
        <f aca="false">+'CCs # Master'!AI159</f>
        <v>0</v>
      </c>
      <c r="AL229" s="39" t="n">
        <f aca="false">+'CCs # Master'!AJ159</f>
        <v>0</v>
      </c>
      <c r="AM229" s="39" t="n">
        <f aca="false">+'CCs # Master'!AK159</f>
        <v>0</v>
      </c>
      <c r="AN229" s="39" t="n">
        <f aca="false">+'CCs # Master'!AL159</f>
        <v>0</v>
      </c>
      <c r="AO229" s="39" t="n">
        <f aca="false">+'CCs # Master'!AM159</f>
        <v>0</v>
      </c>
      <c r="AP229" s="39" t="n">
        <f aca="false">+'CCs # Master'!AN159</f>
        <v>0</v>
      </c>
      <c r="AQ229" s="39" t="n">
        <f aca="false">+'CCs # Master'!AO159</f>
        <v>0</v>
      </c>
      <c r="AR229" s="39" t="n">
        <f aca="false">+'CCs # Master'!AP159</f>
        <v>0</v>
      </c>
      <c r="AS229" s="39" t="n">
        <f aca="false">+'CCs # Master'!AQ159</f>
        <v>0</v>
      </c>
      <c r="AT229" s="39" t="n">
        <f aca="false">+'CCs # Master'!AR159</f>
        <v>0</v>
      </c>
      <c r="AU229" s="39" t="n">
        <f aca="false">+'CCs # Master'!AS159</f>
        <v>0</v>
      </c>
      <c r="AV229" s="39" t="n">
        <f aca="false">+'CCs # Master'!AT159</f>
        <v>0</v>
      </c>
      <c r="AW229" s="0"/>
      <c r="AX229" s="71" t="n">
        <f aca="false">SUM(N229:AW229)</f>
        <v>2671</v>
      </c>
      <c r="AY229" s="71" t="n">
        <f aca="false">+K229-AX229</f>
        <v>0</v>
      </c>
      <c r="AZ229" s="39"/>
      <c r="BA229" s="39" t="n">
        <f aca="false">+P229+Q229+T229+U229+V229+W229+X229+Y229</f>
        <v>0</v>
      </c>
      <c r="BB229" s="39" t="n">
        <f aca="false">N229</f>
        <v>2671</v>
      </c>
      <c r="BC229" s="39" t="n">
        <f aca="false">SUM(P229:AW229)</f>
        <v>0</v>
      </c>
      <c r="BD229" s="39"/>
      <c r="BE229" s="39" t="n">
        <f aca="false">SUM(BB229:BC229)</f>
        <v>2671</v>
      </c>
      <c r="BF229" s="39"/>
      <c r="BG229" s="48" t="n">
        <f aca="false">SUM(N229:AW229)</f>
        <v>2671</v>
      </c>
      <c r="BH229" s="39" t="n">
        <f aca="false">BE229-BG229</f>
        <v>0</v>
      </c>
      <c r="BI229" s="39"/>
      <c r="BJ229" s="39"/>
      <c r="BK229" s="39"/>
      <c r="BL229" s="39"/>
      <c r="BM229" s="39"/>
      <c r="BN229" s="39"/>
      <c r="BO229" s="39"/>
      <c r="BP229" s="39"/>
      <c r="BQ229" s="39"/>
      <c r="BR229" s="39"/>
      <c r="BS229" s="39"/>
      <c r="BT229" s="39"/>
      <c r="BU229" s="39"/>
      <c r="BV229" s="39"/>
      <c r="BW229" s="39"/>
      <c r="BX229" s="39"/>
      <c r="BY229" s="39"/>
      <c r="BZ229" s="39"/>
      <c r="CA229" s="39"/>
      <c r="CB229" s="39"/>
      <c r="CC229" s="39"/>
      <c r="CD229" s="39"/>
      <c r="CE229" s="39"/>
      <c r="CF229" s="39"/>
      <c r="CG229" s="39"/>
      <c r="CH229" s="39"/>
      <c r="CI229" s="39"/>
      <c r="CJ229" s="39"/>
      <c r="CK229" s="39"/>
      <c r="CL229" s="39"/>
      <c r="CM229" s="39"/>
      <c r="CN229" s="39"/>
      <c r="CO229" s="39"/>
      <c r="CP229" s="39"/>
      <c r="CQ229" s="39"/>
      <c r="CR229" s="39"/>
      <c r="CS229" s="39"/>
      <c r="CT229" s="39"/>
      <c r="CU229" s="39"/>
      <c r="CV229" s="39"/>
      <c r="CW229" s="39"/>
      <c r="CX229" s="39"/>
      <c r="CY229" s="39"/>
      <c r="CZ229" s="39"/>
      <c r="DA229" s="39"/>
      <c r="DB229" s="39"/>
      <c r="DC229" s="39"/>
      <c r="DD229" s="39"/>
      <c r="DE229" s="39"/>
      <c r="DF229" s="39"/>
      <c r="DG229" s="39"/>
      <c r="DH229" s="39"/>
      <c r="DI229" s="39"/>
      <c r="DJ229" s="39"/>
      <c r="DK229" s="39"/>
      <c r="DL229" s="39"/>
      <c r="DM229" s="39"/>
      <c r="DN229" s="39"/>
      <c r="DO229" s="39"/>
      <c r="DP229" s="39"/>
      <c r="DQ229" s="39"/>
      <c r="DR229" s="39"/>
      <c r="DS229" s="39"/>
      <c r="DT229" s="39"/>
      <c r="DU229" s="39"/>
      <c r="DV229" s="39"/>
      <c r="DW229" s="39"/>
      <c r="DX229" s="39"/>
      <c r="DY229" s="39"/>
      <c r="DZ229" s="39"/>
      <c r="EA229" s="39"/>
      <c r="EB229" s="39"/>
      <c r="EC229" s="39"/>
      <c r="ED229" s="39"/>
      <c r="EE229" s="39"/>
      <c r="EF229" s="39"/>
      <c r="EG229" s="39"/>
      <c r="EH229" s="39"/>
      <c r="EI229" s="39"/>
      <c r="EJ229" s="39"/>
      <c r="EK229" s="39"/>
      <c r="EL229" s="39"/>
      <c r="EM229" s="39"/>
      <c r="EN229" s="39"/>
      <c r="EO229" s="39"/>
      <c r="EP229" s="39"/>
      <c r="EQ229" s="39"/>
      <c r="ER229" s="39"/>
      <c r="ES229" s="39"/>
      <c r="ET229" s="39"/>
      <c r="EU229" s="39"/>
      <c r="EV229" s="39"/>
      <c r="EW229" s="39"/>
      <c r="EX229" s="39"/>
      <c r="EY229" s="39"/>
      <c r="EZ229" s="39"/>
      <c r="FA229" s="39"/>
      <c r="FB229" s="39"/>
      <c r="FC229" s="39"/>
      <c r="FD229" s="39"/>
      <c r="FE229" s="39"/>
      <c r="FF229" s="39"/>
      <c r="FG229" s="39"/>
      <c r="FH229" s="39"/>
      <c r="FI229" s="39"/>
      <c r="FJ229" s="39"/>
      <c r="FK229" s="39"/>
      <c r="FL229" s="39"/>
      <c r="FM229" s="39"/>
      <c r="FN229" s="39"/>
      <c r="FO229" s="39"/>
      <c r="FP229" s="39"/>
      <c r="FQ229" s="39"/>
      <c r="FR229" s="39"/>
      <c r="FS229" s="39"/>
      <c r="FT229" s="39"/>
      <c r="FU229" s="39"/>
      <c r="FV229" s="39"/>
      <c r="FW229" s="39"/>
      <c r="FX229" s="39"/>
      <c r="FY229" s="39"/>
      <c r="FZ229" s="39"/>
      <c r="GA229" s="39"/>
      <c r="GB229" s="39"/>
      <c r="GC229" s="39"/>
      <c r="GD229" s="39"/>
      <c r="GE229" s="39"/>
      <c r="GF229" s="39"/>
      <c r="GG229" s="39"/>
      <c r="GH229" s="39"/>
      <c r="GI229" s="39"/>
      <c r="GJ229" s="39"/>
      <c r="GK229" s="39"/>
      <c r="GL229" s="39"/>
      <c r="GM229" s="39"/>
      <c r="GN229" s="39"/>
      <c r="GO229" s="39"/>
      <c r="GP229" s="39"/>
      <c r="GQ229" s="39"/>
      <c r="GR229" s="39"/>
      <c r="GS229" s="39"/>
      <c r="GT229" s="39"/>
      <c r="GU229" s="39"/>
      <c r="GV229" s="39"/>
      <c r="GW229" s="39"/>
      <c r="GX229" s="39"/>
      <c r="GY229" s="39"/>
      <c r="GZ229" s="39"/>
      <c r="HA229" s="39"/>
      <c r="HB229" s="39"/>
      <c r="HC229" s="39"/>
      <c r="HD229" s="39"/>
      <c r="HE229" s="39"/>
      <c r="HF229" s="39"/>
      <c r="HG229" s="39"/>
      <c r="HH229" s="39"/>
      <c r="HI229" s="39"/>
      <c r="HJ229" s="39"/>
      <c r="HK229" s="39"/>
      <c r="HL229" s="39"/>
      <c r="HM229" s="39"/>
      <c r="HN229" s="39"/>
      <c r="HO229" s="39"/>
      <c r="HP229" s="39"/>
      <c r="HQ229" s="39"/>
      <c r="HR229" s="39"/>
      <c r="HS229" s="39"/>
      <c r="HT229" s="39"/>
      <c r="HU229" s="39"/>
      <c r="HV229" s="39"/>
      <c r="HW229" s="39"/>
      <c r="HX229" s="39"/>
      <c r="HY229" s="39"/>
      <c r="HZ229" s="39"/>
      <c r="IA229" s="39"/>
      <c r="IB229" s="39"/>
      <c r="IC229" s="39"/>
      <c r="ID229" s="39"/>
      <c r="IE229" s="39"/>
      <c r="IF229" s="39"/>
      <c r="IG229" s="39"/>
      <c r="IH229" s="39"/>
      <c r="II229" s="39"/>
      <c r="IJ229" s="39"/>
      <c r="IK229" s="39"/>
      <c r="IL229" s="39"/>
      <c r="IM229" s="39"/>
      <c r="IN229" s="39"/>
      <c r="IO229" s="39"/>
      <c r="IP229" s="39"/>
      <c r="IQ229" s="39"/>
      <c r="IR229" s="39"/>
      <c r="IS229" s="39"/>
      <c r="IT229" s="39"/>
      <c r="IU229" s="39"/>
      <c r="IV229" s="39"/>
      <c r="IW229" s="39"/>
    </row>
    <row r="230" customFormat="false" ht="12.95" hidden="false" customHeight="true" outlineLevel="0" collapsed="false">
      <c r="A230" s="37" t="n">
        <f aca="false">+'CCs # Master'!A160</f>
        <v>11</v>
      </c>
      <c r="B230" s="99" t="str">
        <f aca="false">+'CCs # Master'!B160</f>
        <v>Corp GPG Charges</v>
      </c>
      <c r="C230" s="99" t="str">
        <f aca="false">+'CCs # Master'!C160</f>
        <v>Lindsey, Mark</v>
      </c>
      <c r="D230" s="37" t="n">
        <f aca="false">+'CCs # Master'!D160</f>
        <v>102919</v>
      </c>
      <c r="E230" s="39" t="n">
        <f aca="false">+'CCs # Master'!E160</f>
        <v>0</v>
      </c>
      <c r="F230" s="39" t="n">
        <f aca="false">+'CCs # Master'!F160</f>
        <v>0</v>
      </c>
      <c r="G230" s="39" t="n">
        <f aca="false">+'CCs # Master'!G160</f>
        <v>0</v>
      </c>
      <c r="H230" s="39" t="n">
        <f aca="false">+'CCs # Master'!H160</f>
        <v>0</v>
      </c>
      <c r="I230" s="39" t="n">
        <f aca="false">+'CCs # Master'!I160</f>
        <v>0</v>
      </c>
      <c r="J230" s="39" t="n">
        <f aca="false">+'CCs # Master'!J160</f>
        <v>398</v>
      </c>
      <c r="K230" s="71" t="n">
        <f aca="false">SUM(E230:J230)</f>
        <v>398</v>
      </c>
      <c r="L230" s="39"/>
      <c r="M230" s="39" t="str">
        <f aca="false">+'CCs # Master'!M160</f>
        <v>MMF</v>
      </c>
      <c r="N230" s="39" t="n">
        <f aca="false">+'CCs # Master'!AW160</f>
        <v>398</v>
      </c>
      <c r="O230" s="39" t="n">
        <v>0</v>
      </c>
      <c r="P230" s="39" t="n">
        <f aca="false">+'CCs # Master'!N160</f>
        <v>0</v>
      </c>
      <c r="Q230" s="39" t="n">
        <f aca="false">+'CCs # Master'!O160</f>
        <v>0</v>
      </c>
      <c r="R230" s="39" t="n">
        <f aca="false">+'CCs # Master'!P160</f>
        <v>0</v>
      </c>
      <c r="S230" s="39" t="n">
        <f aca="false">+'CCs # Master'!Q160</f>
        <v>0</v>
      </c>
      <c r="T230" s="39" t="n">
        <f aca="false">+'CCs # Master'!R160</f>
        <v>0</v>
      </c>
      <c r="U230" s="39" t="n">
        <f aca="false">+'CCs # Master'!S160</f>
        <v>0</v>
      </c>
      <c r="V230" s="39" t="n">
        <f aca="false">+'CCs # Master'!T160</f>
        <v>0</v>
      </c>
      <c r="W230" s="39" t="n">
        <f aca="false">+'CCs # Master'!U160</f>
        <v>0</v>
      </c>
      <c r="X230" s="39" t="n">
        <f aca="false">+'CCs # Master'!V160</f>
        <v>0</v>
      </c>
      <c r="Y230" s="39" t="n">
        <f aca="false">+'CCs # Master'!W160</f>
        <v>0</v>
      </c>
      <c r="Z230" s="39" t="n">
        <f aca="false">+'CCs # Master'!X160</f>
        <v>0</v>
      </c>
      <c r="AA230" s="39" t="n">
        <f aca="false">+'CCs # Master'!Y160</f>
        <v>0</v>
      </c>
      <c r="AB230" s="39" t="n">
        <f aca="false">+'CCs # Master'!Z160</f>
        <v>0</v>
      </c>
      <c r="AC230" s="39" t="n">
        <f aca="false">+'CCs # Master'!AA160</f>
        <v>0</v>
      </c>
      <c r="AD230" s="39" t="n">
        <f aca="false">+'CCs # Master'!AB160</f>
        <v>0</v>
      </c>
      <c r="AE230" s="39" t="n">
        <f aca="false">+'CCs # Master'!AC160</f>
        <v>0</v>
      </c>
      <c r="AF230" s="39" t="n">
        <f aca="false">+'CCs # Master'!AD160</f>
        <v>0</v>
      </c>
      <c r="AG230" s="39" t="n">
        <f aca="false">+'CCs # Master'!AE160</f>
        <v>0</v>
      </c>
      <c r="AH230" s="39" t="n">
        <f aca="false">+'CCs # Master'!AF160</f>
        <v>0</v>
      </c>
      <c r="AI230" s="39" t="n">
        <f aca="false">+'CCs # Master'!AG160</f>
        <v>0</v>
      </c>
      <c r="AJ230" s="39" t="n">
        <f aca="false">+'CCs # Master'!AH160</f>
        <v>0</v>
      </c>
      <c r="AK230" s="39" t="n">
        <f aca="false">+'CCs # Master'!AI160</f>
        <v>0</v>
      </c>
      <c r="AL230" s="39" t="n">
        <f aca="false">+'CCs # Master'!AJ160</f>
        <v>0</v>
      </c>
      <c r="AM230" s="39" t="n">
        <f aca="false">+'CCs # Master'!AK160</f>
        <v>0</v>
      </c>
      <c r="AN230" s="39" t="n">
        <f aca="false">+'CCs # Master'!AL160</f>
        <v>0</v>
      </c>
      <c r="AO230" s="39" t="n">
        <f aca="false">+'CCs # Master'!AM160</f>
        <v>0</v>
      </c>
      <c r="AP230" s="39" t="n">
        <f aca="false">+'CCs # Master'!AN160</f>
        <v>0</v>
      </c>
      <c r="AQ230" s="39" t="n">
        <f aca="false">+'CCs # Master'!AO160</f>
        <v>0</v>
      </c>
      <c r="AR230" s="39" t="n">
        <f aca="false">+'CCs # Master'!AP160</f>
        <v>0</v>
      </c>
      <c r="AS230" s="39" t="n">
        <f aca="false">+'CCs # Master'!AQ160</f>
        <v>0</v>
      </c>
      <c r="AT230" s="39" t="n">
        <f aca="false">+'CCs # Master'!AR160</f>
        <v>0</v>
      </c>
      <c r="AU230" s="39" t="n">
        <f aca="false">+'CCs # Master'!AS160</f>
        <v>0</v>
      </c>
      <c r="AV230" s="39" t="n">
        <f aca="false">+'CCs # Master'!AT160</f>
        <v>0</v>
      </c>
      <c r="AW230" s="0"/>
      <c r="AX230" s="71" t="n">
        <f aca="false">SUM(N230:AW230)</f>
        <v>398</v>
      </c>
      <c r="AY230" s="71" t="n">
        <f aca="false">+K230-AX230</f>
        <v>0</v>
      </c>
      <c r="AZ230" s="39"/>
      <c r="BA230" s="39" t="n">
        <f aca="false">+P230+Q230+T230+U230+V230+W230+X230+Y230</f>
        <v>0</v>
      </c>
      <c r="BB230" s="39" t="n">
        <f aca="false">N230</f>
        <v>398</v>
      </c>
      <c r="BC230" s="97" t="n">
        <f aca="false">SUM(P230:AW230)</f>
        <v>0</v>
      </c>
      <c r="BD230" s="39"/>
      <c r="BE230" s="97" t="n">
        <f aca="false">SUM(BB230:BC230)</f>
        <v>398</v>
      </c>
      <c r="BF230" s="39"/>
      <c r="BG230" s="98" t="n">
        <f aca="false">SUM(N230:AW230)</f>
        <v>398</v>
      </c>
      <c r="BH230" s="39" t="n">
        <f aca="false">BE230-BG230</f>
        <v>0</v>
      </c>
      <c r="BI230" s="39"/>
      <c r="BJ230" s="39"/>
      <c r="BK230" s="39"/>
      <c r="BL230" s="39"/>
      <c r="BM230" s="39"/>
      <c r="BN230" s="39"/>
      <c r="BO230" s="39"/>
      <c r="BP230" s="39"/>
      <c r="BQ230" s="39"/>
      <c r="BR230" s="39"/>
      <c r="BS230" s="39"/>
      <c r="BT230" s="39"/>
      <c r="BU230" s="39"/>
      <c r="BV230" s="39"/>
      <c r="BW230" s="39"/>
      <c r="BX230" s="39"/>
      <c r="BY230" s="39"/>
      <c r="BZ230" s="39"/>
      <c r="CA230" s="39"/>
      <c r="CB230" s="39"/>
      <c r="CC230" s="39"/>
      <c r="CD230" s="39"/>
      <c r="CE230" s="39"/>
      <c r="CF230" s="39"/>
      <c r="CG230" s="39"/>
      <c r="CH230" s="39"/>
      <c r="CI230" s="39"/>
      <c r="CJ230" s="39"/>
      <c r="CK230" s="39"/>
      <c r="CL230" s="39"/>
      <c r="CM230" s="39"/>
      <c r="CN230" s="39"/>
      <c r="CO230" s="39"/>
      <c r="CP230" s="39"/>
      <c r="CQ230" s="39"/>
      <c r="CR230" s="39"/>
      <c r="CS230" s="39"/>
      <c r="CT230" s="39"/>
      <c r="CU230" s="39"/>
      <c r="CV230" s="39"/>
      <c r="CW230" s="39"/>
      <c r="CX230" s="39"/>
      <c r="CY230" s="39"/>
      <c r="CZ230" s="39"/>
      <c r="DA230" s="39"/>
      <c r="DB230" s="39"/>
      <c r="DC230" s="39"/>
      <c r="DD230" s="39"/>
      <c r="DE230" s="39"/>
      <c r="DF230" s="39"/>
      <c r="DG230" s="39"/>
      <c r="DH230" s="39"/>
      <c r="DI230" s="39"/>
      <c r="DJ230" s="39"/>
      <c r="DK230" s="39"/>
      <c r="DL230" s="39"/>
      <c r="DM230" s="39"/>
      <c r="DN230" s="39"/>
      <c r="DO230" s="39"/>
      <c r="DP230" s="39"/>
      <c r="DQ230" s="39"/>
      <c r="DR230" s="39"/>
      <c r="DS230" s="39"/>
      <c r="DT230" s="39"/>
      <c r="DU230" s="39"/>
      <c r="DV230" s="39"/>
      <c r="DW230" s="39"/>
      <c r="DX230" s="39"/>
      <c r="DY230" s="39"/>
      <c r="DZ230" s="39"/>
      <c r="EA230" s="39"/>
      <c r="EB230" s="39"/>
      <c r="EC230" s="39"/>
      <c r="ED230" s="39"/>
      <c r="EE230" s="39"/>
      <c r="EF230" s="39"/>
      <c r="EG230" s="39"/>
      <c r="EH230" s="39"/>
      <c r="EI230" s="39"/>
      <c r="EJ230" s="39"/>
      <c r="EK230" s="39"/>
      <c r="EL230" s="39"/>
      <c r="EM230" s="39"/>
      <c r="EN230" s="39"/>
      <c r="EO230" s="39"/>
      <c r="EP230" s="39"/>
      <c r="EQ230" s="39"/>
      <c r="ER230" s="39"/>
      <c r="ES230" s="39"/>
      <c r="ET230" s="39"/>
      <c r="EU230" s="39"/>
      <c r="EV230" s="39"/>
      <c r="EW230" s="39"/>
      <c r="EX230" s="39"/>
      <c r="EY230" s="39"/>
      <c r="EZ230" s="39"/>
      <c r="FA230" s="39"/>
      <c r="FB230" s="39"/>
      <c r="FC230" s="39"/>
      <c r="FD230" s="39"/>
      <c r="FE230" s="39"/>
      <c r="FF230" s="39"/>
      <c r="FG230" s="39"/>
      <c r="FH230" s="39"/>
      <c r="FI230" s="39"/>
      <c r="FJ230" s="39"/>
      <c r="FK230" s="39"/>
      <c r="FL230" s="39"/>
      <c r="FM230" s="39"/>
      <c r="FN230" s="39"/>
      <c r="FO230" s="39"/>
      <c r="FP230" s="39"/>
      <c r="FQ230" s="39"/>
      <c r="FR230" s="39"/>
      <c r="FS230" s="39"/>
      <c r="FT230" s="39"/>
      <c r="FU230" s="39"/>
      <c r="FV230" s="39"/>
      <c r="FW230" s="39"/>
      <c r="FX230" s="39"/>
      <c r="FY230" s="39"/>
      <c r="FZ230" s="39"/>
      <c r="GA230" s="39"/>
      <c r="GB230" s="39"/>
      <c r="GC230" s="39"/>
      <c r="GD230" s="39"/>
      <c r="GE230" s="39"/>
      <c r="GF230" s="39"/>
      <c r="GG230" s="39"/>
      <c r="GH230" s="39"/>
      <c r="GI230" s="39"/>
      <c r="GJ230" s="39"/>
      <c r="GK230" s="39"/>
      <c r="GL230" s="39"/>
      <c r="GM230" s="39"/>
      <c r="GN230" s="39"/>
      <c r="GO230" s="39"/>
      <c r="GP230" s="39"/>
      <c r="GQ230" s="39"/>
      <c r="GR230" s="39"/>
      <c r="GS230" s="39"/>
      <c r="GT230" s="39"/>
      <c r="GU230" s="39"/>
      <c r="GV230" s="39"/>
      <c r="GW230" s="39"/>
      <c r="GX230" s="39"/>
      <c r="GY230" s="39"/>
      <c r="GZ230" s="39"/>
      <c r="HA230" s="39"/>
      <c r="HB230" s="39"/>
      <c r="HC230" s="39"/>
      <c r="HD230" s="39"/>
      <c r="HE230" s="39"/>
      <c r="HF230" s="39"/>
      <c r="HG230" s="39"/>
      <c r="HH230" s="39"/>
      <c r="HI230" s="39"/>
      <c r="HJ230" s="39"/>
      <c r="HK230" s="39"/>
      <c r="HL230" s="39"/>
      <c r="HM230" s="39"/>
      <c r="HN230" s="39"/>
      <c r="HO230" s="39"/>
      <c r="HP230" s="39"/>
      <c r="HQ230" s="39"/>
      <c r="HR230" s="39"/>
      <c r="HS230" s="39"/>
      <c r="HT230" s="39"/>
      <c r="HU230" s="39"/>
      <c r="HV230" s="39"/>
      <c r="HW230" s="39"/>
      <c r="HX230" s="39"/>
      <c r="HY230" s="39"/>
      <c r="HZ230" s="39"/>
      <c r="IA230" s="39"/>
      <c r="IB230" s="39"/>
      <c r="IC230" s="39"/>
      <c r="ID230" s="39"/>
      <c r="IE230" s="39"/>
      <c r="IF230" s="39"/>
      <c r="IG230" s="39"/>
      <c r="IH230" s="39"/>
      <c r="II230" s="39"/>
      <c r="IJ230" s="39"/>
      <c r="IK230" s="39"/>
      <c r="IL230" s="39"/>
      <c r="IM230" s="39"/>
      <c r="IN230" s="39"/>
      <c r="IO230" s="39"/>
      <c r="IP230" s="39"/>
      <c r="IQ230" s="39"/>
      <c r="IR230" s="39"/>
      <c r="IS230" s="39"/>
      <c r="IT230" s="39"/>
      <c r="IU230" s="39"/>
      <c r="IV230" s="39"/>
      <c r="IW230" s="39"/>
    </row>
    <row r="231" customFormat="false" ht="8.1" hidden="false" customHeight="true" outlineLevel="0" collapsed="false">
      <c r="A231" s="37"/>
      <c r="B231" s="39"/>
      <c r="C231" s="39"/>
      <c r="D231" s="96"/>
      <c r="E231" s="91"/>
      <c r="F231" s="91"/>
      <c r="G231" s="91"/>
      <c r="H231" s="91"/>
      <c r="I231" s="91"/>
      <c r="J231" s="91"/>
      <c r="K231" s="91"/>
      <c r="L231" s="39"/>
      <c r="M231" s="39"/>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91"/>
      <c r="AN231" s="91"/>
      <c r="AO231" s="91"/>
      <c r="AP231" s="91"/>
      <c r="AQ231" s="91"/>
      <c r="AR231" s="91"/>
      <c r="AS231" s="91"/>
      <c r="AT231" s="91"/>
      <c r="AU231" s="91"/>
      <c r="AV231" s="91"/>
      <c r="AW231" s="0"/>
      <c r="AX231" s="91"/>
      <c r="AY231" s="91"/>
      <c r="AZ231" s="39"/>
      <c r="BA231" s="91"/>
      <c r="BB231" s="91"/>
      <c r="BC231" s="39"/>
      <c r="BD231" s="39"/>
      <c r="BE231" s="39"/>
      <c r="BF231" s="39"/>
      <c r="BG231" s="48"/>
      <c r="BH231" s="39"/>
      <c r="BI231" s="39"/>
      <c r="BJ231" s="39"/>
      <c r="BK231" s="39"/>
      <c r="BL231" s="39"/>
      <c r="BM231" s="39"/>
      <c r="BN231" s="39"/>
      <c r="BO231" s="39"/>
      <c r="BP231" s="39"/>
      <c r="BQ231" s="39"/>
      <c r="BR231" s="39"/>
      <c r="BS231" s="39"/>
      <c r="BT231" s="39"/>
      <c r="BU231" s="39"/>
      <c r="BV231" s="39"/>
      <c r="BW231" s="39"/>
      <c r="BX231" s="39"/>
      <c r="BY231" s="39"/>
      <c r="BZ231" s="39"/>
      <c r="CA231" s="39"/>
      <c r="CB231" s="39"/>
      <c r="CC231" s="39"/>
      <c r="CD231" s="39"/>
      <c r="CE231" s="39"/>
      <c r="CF231" s="39"/>
      <c r="CG231" s="39"/>
      <c r="CH231" s="39"/>
      <c r="CI231" s="39"/>
      <c r="CJ231" s="39"/>
      <c r="CK231" s="39"/>
      <c r="CL231" s="39"/>
      <c r="CM231" s="39"/>
      <c r="CN231" s="39"/>
      <c r="CO231" s="39"/>
      <c r="CP231" s="39"/>
      <c r="CQ231" s="39"/>
      <c r="CR231" s="39"/>
      <c r="CS231" s="39"/>
      <c r="CT231" s="39"/>
      <c r="CU231" s="39"/>
      <c r="CV231" s="39"/>
      <c r="CW231" s="39"/>
      <c r="CX231" s="39"/>
      <c r="CY231" s="39"/>
      <c r="CZ231" s="39"/>
      <c r="DA231" s="39"/>
      <c r="DB231" s="39"/>
      <c r="DC231" s="39"/>
      <c r="DD231" s="39"/>
      <c r="DE231" s="39"/>
      <c r="DF231" s="39"/>
      <c r="DG231" s="39"/>
      <c r="DH231" s="39"/>
      <c r="DI231" s="39"/>
      <c r="DJ231" s="39"/>
      <c r="DK231" s="39"/>
      <c r="DL231" s="39"/>
      <c r="DM231" s="39"/>
      <c r="DN231" s="39"/>
      <c r="DO231" s="39"/>
      <c r="DP231" s="39"/>
      <c r="DQ231" s="39"/>
      <c r="DR231" s="39"/>
      <c r="DS231" s="39"/>
      <c r="DT231" s="39"/>
      <c r="DU231" s="39"/>
      <c r="DV231" s="39"/>
      <c r="DW231" s="39"/>
      <c r="DX231" s="39"/>
      <c r="DY231" s="39"/>
      <c r="DZ231" s="39"/>
      <c r="EA231" s="39"/>
      <c r="EB231" s="39"/>
      <c r="EC231" s="39"/>
      <c r="ED231" s="39"/>
      <c r="EE231" s="39"/>
      <c r="EF231" s="39"/>
      <c r="EG231" s="39"/>
      <c r="EH231" s="39"/>
      <c r="EI231" s="39"/>
      <c r="EJ231" s="39"/>
      <c r="EK231" s="39"/>
      <c r="EL231" s="39"/>
      <c r="EM231" s="39"/>
      <c r="EN231" s="39"/>
      <c r="EO231" s="39"/>
      <c r="EP231" s="39"/>
      <c r="EQ231" s="39"/>
      <c r="ER231" s="39"/>
      <c r="ES231" s="39"/>
      <c r="ET231" s="39"/>
      <c r="EU231" s="39"/>
      <c r="EV231" s="39"/>
      <c r="EW231" s="39"/>
      <c r="EX231" s="39"/>
      <c r="EY231" s="39"/>
      <c r="EZ231" s="39"/>
      <c r="FA231" s="39"/>
      <c r="FB231" s="39"/>
      <c r="FC231" s="39"/>
      <c r="FD231" s="39"/>
      <c r="FE231" s="39"/>
      <c r="FF231" s="39"/>
      <c r="FG231" s="39"/>
      <c r="FH231" s="39"/>
      <c r="FI231" s="39"/>
      <c r="FJ231" s="39"/>
      <c r="FK231" s="39"/>
      <c r="FL231" s="39"/>
      <c r="FM231" s="39"/>
      <c r="FN231" s="39"/>
      <c r="FO231" s="39"/>
      <c r="FP231" s="39"/>
      <c r="FQ231" s="39"/>
      <c r="FR231" s="39"/>
      <c r="FS231" s="39"/>
      <c r="FT231" s="39"/>
      <c r="FU231" s="39"/>
      <c r="FV231" s="39"/>
      <c r="FW231" s="39"/>
      <c r="FX231" s="39"/>
      <c r="FY231" s="39"/>
      <c r="FZ231" s="39"/>
      <c r="GA231" s="39"/>
      <c r="GB231" s="39"/>
      <c r="GC231" s="39"/>
      <c r="GD231" s="39"/>
      <c r="GE231" s="39"/>
      <c r="GF231" s="39"/>
      <c r="GG231" s="39"/>
      <c r="GH231" s="39"/>
      <c r="GI231" s="39"/>
      <c r="GJ231" s="39"/>
      <c r="GK231" s="39"/>
      <c r="GL231" s="39"/>
      <c r="GM231" s="39"/>
      <c r="GN231" s="39"/>
      <c r="GO231" s="39"/>
      <c r="GP231" s="39"/>
      <c r="GQ231" s="39"/>
      <c r="GR231" s="39"/>
      <c r="GS231" s="39"/>
      <c r="GT231" s="39"/>
      <c r="GU231" s="39"/>
      <c r="GV231" s="39"/>
      <c r="GW231" s="39"/>
      <c r="GX231" s="39"/>
      <c r="GY231" s="39"/>
      <c r="GZ231" s="39"/>
      <c r="HA231" s="39"/>
      <c r="HB231" s="39"/>
      <c r="HC231" s="39"/>
      <c r="HD231" s="39"/>
      <c r="HE231" s="39"/>
      <c r="HF231" s="39"/>
      <c r="HG231" s="39"/>
      <c r="HH231" s="39"/>
      <c r="HI231" s="39"/>
      <c r="HJ231" s="39"/>
      <c r="HK231" s="39"/>
      <c r="HL231" s="39"/>
      <c r="HM231" s="39"/>
      <c r="HN231" s="39"/>
      <c r="HO231" s="39"/>
      <c r="HP231" s="39"/>
      <c r="HQ231" s="39"/>
      <c r="HR231" s="39"/>
      <c r="HS231" s="39"/>
      <c r="HT231" s="39"/>
      <c r="HU231" s="39"/>
      <c r="HV231" s="39"/>
      <c r="HW231" s="39"/>
      <c r="HX231" s="39"/>
      <c r="HY231" s="39"/>
      <c r="HZ231" s="39"/>
      <c r="IA231" s="39"/>
      <c r="IB231" s="39"/>
      <c r="IC231" s="39"/>
      <c r="ID231" s="39"/>
      <c r="IE231" s="39"/>
      <c r="IF231" s="39"/>
      <c r="IG231" s="39"/>
      <c r="IH231" s="39"/>
      <c r="II231" s="39"/>
      <c r="IJ231" s="39"/>
      <c r="IK231" s="39"/>
      <c r="IL231" s="39"/>
      <c r="IM231" s="39"/>
      <c r="IN231" s="39"/>
      <c r="IO231" s="39"/>
      <c r="IP231" s="39"/>
      <c r="IQ231" s="39"/>
      <c r="IR231" s="39"/>
      <c r="IS231" s="39"/>
      <c r="IT231" s="39"/>
      <c r="IU231" s="39"/>
      <c r="IV231" s="39"/>
      <c r="IW231" s="39"/>
    </row>
    <row r="232" customFormat="false" ht="12.95" hidden="false" customHeight="true" outlineLevel="0" collapsed="false">
      <c r="A232" s="37"/>
      <c r="B232" s="39"/>
      <c r="C232" s="39"/>
      <c r="D232" s="96"/>
      <c r="E232" s="97" t="n">
        <f aca="false">SUM(E225:E231)</f>
        <v>0</v>
      </c>
      <c r="F232" s="97" t="n">
        <f aca="false">SUM(F225:F231)</f>
        <v>0</v>
      </c>
      <c r="G232" s="97" t="n">
        <f aca="false">SUM(G225:G231)</f>
        <v>0</v>
      </c>
      <c r="H232" s="97" t="n">
        <f aca="false">SUM(H225:H231)</f>
        <v>0</v>
      </c>
      <c r="I232" s="97" t="n">
        <f aca="false">SUM(I225:I231)</f>
        <v>0</v>
      </c>
      <c r="J232" s="97" t="n">
        <f aca="false">SUM(J225:J231)</f>
        <v>10904</v>
      </c>
      <c r="K232" s="97" t="n">
        <f aca="false">SUM(K225:K231)</f>
        <v>10904</v>
      </c>
      <c r="L232" s="39"/>
      <c r="M232" s="39"/>
      <c r="N232" s="97" t="n">
        <f aca="false">SUM(N225:N231)</f>
        <v>10904</v>
      </c>
      <c r="O232" s="97" t="n">
        <f aca="false">SUM(O225:O231)</f>
        <v>0</v>
      </c>
      <c r="P232" s="97" t="n">
        <f aca="false">SUM(P225:P231)</f>
        <v>0</v>
      </c>
      <c r="Q232" s="97" t="n">
        <f aca="false">SUM(Q225:Q231)</f>
        <v>0</v>
      </c>
      <c r="R232" s="97" t="n">
        <f aca="false">SUM(R225:R231)</f>
        <v>0</v>
      </c>
      <c r="S232" s="97" t="n">
        <f aca="false">SUM(S225:S231)</f>
        <v>0</v>
      </c>
      <c r="T232" s="97" t="n">
        <f aca="false">SUM(T225:T231)</f>
        <v>0</v>
      </c>
      <c r="U232" s="97" t="n">
        <f aca="false">SUM(U225:U231)</f>
        <v>0</v>
      </c>
      <c r="V232" s="97" t="n">
        <f aca="false">SUM(V225:V231)</f>
        <v>0</v>
      </c>
      <c r="W232" s="97" t="n">
        <f aca="false">SUM(W225:W231)</f>
        <v>0</v>
      </c>
      <c r="X232" s="97" t="n">
        <f aca="false">SUM(X225:X231)</f>
        <v>0</v>
      </c>
      <c r="Y232" s="97" t="n">
        <f aca="false">SUM(Y225:Y231)</f>
        <v>0</v>
      </c>
      <c r="Z232" s="97" t="n">
        <f aca="false">SUM(Z225:Z231)</f>
        <v>0</v>
      </c>
      <c r="AA232" s="97" t="n">
        <f aca="false">SUM(AA225:AA231)</f>
        <v>0</v>
      </c>
      <c r="AB232" s="97" t="n">
        <f aca="false">SUM(AB225:AB231)</f>
        <v>0</v>
      </c>
      <c r="AC232" s="97" t="n">
        <f aca="false">SUM(AC225:AC231)</f>
        <v>0</v>
      </c>
      <c r="AD232" s="97" t="n">
        <f aca="false">SUM(AD225:AD231)</f>
        <v>0</v>
      </c>
      <c r="AE232" s="97" t="n">
        <f aca="false">SUM(AE225:AE231)</f>
        <v>0</v>
      </c>
      <c r="AF232" s="97" t="n">
        <f aca="false">SUM(AF225:AF231)</f>
        <v>0</v>
      </c>
      <c r="AG232" s="97" t="n">
        <f aca="false">SUM(AG225:AG231)</f>
        <v>0</v>
      </c>
      <c r="AH232" s="97" t="n">
        <f aca="false">SUM(AH225:AH231)</f>
        <v>0</v>
      </c>
      <c r="AI232" s="97" t="n">
        <f aca="false">SUM(AI225:AI231)</f>
        <v>0</v>
      </c>
      <c r="AJ232" s="97" t="n">
        <f aca="false">SUM(AJ225:AJ231)</f>
        <v>0</v>
      </c>
      <c r="AK232" s="97" t="n">
        <f aca="false">SUM(AK225:AK231)</f>
        <v>0</v>
      </c>
      <c r="AL232" s="97" t="n">
        <f aca="false">SUM(AL225:AL231)</f>
        <v>0</v>
      </c>
      <c r="AM232" s="97" t="n">
        <f aca="false">SUM(AM225:AM231)</f>
        <v>0</v>
      </c>
      <c r="AN232" s="97" t="n">
        <f aca="false">SUM(AN225:AN231)</f>
        <v>0</v>
      </c>
      <c r="AO232" s="97" t="n">
        <f aca="false">SUM(AO225:AO231)</f>
        <v>0</v>
      </c>
      <c r="AP232" s="97" t="n">
        <f aca="false">SUM(AP225:AP231)</f>
        <v>0</v>
      </c>
      <c r="AQ232" s="97" t="n">
        <f aca="false">SUM(AQ225:AQ231)</f>
        <v>0</v>
      </c>
      <c r="AR232" s="97" t="n">
        <f aca="false">SUM(AR225:AR231)</f>
        <v>0</v>
      </c>
      <c r="AS232" s="97" t="n">
        <f aca="false">SUM(AS225:AS231)</f>
        <v>0</v>
      </c>
      <c r="AT232" s="97" t="n">
        <f aca="false">SUM(AT225:AT231)</f>
        <v>0</v>
      </c>
      <c r="AU232" s="97" t="n">
        <f aca="false">SUM(AU225:AU231)</f>
        <v>0</v>
      </c>
      <c r="AV232" s="97" t="n">
        <f aca="false">SUM(AV225:AV231)</f>
        <v>0</v>
      </c>
      <c r="AW232" s="0"/>
      <c r="AX232" s="97" t="n">
        <f aca="false">SUM(AX225:AX231)</f>
        <v>10904</v>
      </c>
      <c r="AY232" s="97" t="n">
        <f aca="false">SUM(AY225:AY231)</f>
        <v>0</v>
      </c>
      <c r="AZ232" s="39"/>
      <c r="BA232" s="97" t="n">
        <f aca="false">SUM(BA225:BA231)</f>
        <v>0</v>
      </c>
      <c r="BB232" s="97" t="n">
        <f aca="false">SUM(BB225:BB231)</f>
        <v>10904</v>
      </c>
      <c r="BC232" s="97" t="n">
        <f aca="false">SUM(BC225:BC231)</f>
        <v>0</v>
      </c>
      <c r="BD232" s="39"/>
      <c r="BE232" s="97" t="n">
        <f aca="false">SUM(BE225:BE231)</f>
        <v>10904</v>
      </c>
      <c r="BF232" s="39"/>
      <c r="BG232" s="98" t="n">
        <f aca="false">SUM(BG225:BG231)</f>
        <v>10904</v>
      </c>
      <c r="BH232" s="39" t="n">
        <f aca="false">SUM(BH225:BH231)</f>
        <v>0</v>
      </c>
      <c r="BI232" s="39"/>
      <c r="BJ232" s="39"/>
      <c r="BK232" s="39"/>
      <c r="BL232" s="39"/>
      <c r="BM232" s="39"/>
      <c r="BN232" s="39"/>
      <c r="BO232" s="39"/>
      <c r="BP232" s="39"/>
      <c r="BQ232" s="39"/>
      <c r="BR232" s="39"/>
      <c r="BS232" s="39"/>
      <c r="BT232" s="39"/>
      <c r="BU232" s="39"/>
      <c r="BV232" s="39"/>
      <c r="BW232" s="39"/>
      <c r="BX232" s="39"/>
      <c r="BY232" s="39"/>
      <c r="BZ232" s="39"/>
      <c r="CA232" s="39"/>
      <c r="CB232" s="39"/>
      <c r="CC232" s="39"/>
      <c r="CD232" s="39"/>
      <c r="CE232" s="39"/>
      <c r="CF232" s="39"/>
      <c r="CG232" s="39"/>
      <c r="CH232" s="39"/>
      <c r="CI232" s="39"/>
      <c r="CJ232" s="39"/>
      <c r="CK232" s="39"/>
      <c r="CL232" s="39"/>
      <c r="CM232" s="39"/>
      <c r="CN232" s="39"/>
      <c r="CO232" s="39"/>
      <c r="CP232" s="39"/>
      <c r="CQ232" s="39"/>
      <c r="CR232" s="39"/>
      <c r="CS232" s="39"/>
      <c r="CT232" s="39"/>
      <c r="CU232" s="39"/>
      <c r="CV232" s="39"/>
      <c r="CW232" s="39"/>
      <c r="CX232" s="39"/>
      <c r="CY232" s="39"/>
      <c r="CZ232" s="39"/>
      <c r="DA232" s="39"/>
      <c r="DB232" s="39"/>
      <c r="DC232" s="39"/>
      <c r="DD232" s="39"/>
      <c r="DE232" s="39"/>
      <c r="DF232" s="39"/>
      <c r="DG232" s="39"/>
      <c r="DH232" s="39"/>
      <c r="DI232" s="39"/>
      <c r="DJ232" s="39"/>
      <c r="DK232" s="39"/>
      <c r="DL232" s="39"/>
      <c r="DM232" s="39"/>
      <c r="DN232" s="39"/>
      <c r="DO232" s="39"/>
      <c r="DP232" s="39"/>
      <c r="DQ232" s="39"/>
      <c r="DR232" s="39"/>
      <c r="DS232" s="39"/>
      <c r="DT232" s="39"/>
      <c r="DU232" s="39"/>
      <c r="DV232" s="39"/>
      <c r="DW232" s="39"/>
      <c r="DX232" s="39"/>
      <c r="DY232" s="39"/>
      <c r="DZ232" s="39"/>
      <c r="EA232" s="39"/>
      <c r="EB232" s="39"/>
      <c r="EC232" s="39"/>
      <c r="ED232" s="39"/>
      <c r="EE232" s="39"/>
      <c r="EF232" s="39"/>
      <c r="EG232" s="39"/>
      <c r="EH232" s="39"/>
      <c r="EI232" s="39"/>
      <c r="EJ232" s="39"/>
      <c r="EK232" s="39"/>
      <c r="EL232" s="39"/>
      <c r="EM232" s="39"/>
      <c r="EN232" s="39"/>
      <c r="EO232" s="39"/>
      <c r="EP232" s="39"/>
      <c r="EQ232" s="39"/>
      <c r="ER232" s="39"/>
      <c r="ES232" s="39"/>
      <c r="ET232" s="39"/>
      <c r="EU232" s="39"/>
      <c r="EV232" s="39"/>
      <c r="EW232" s="39"/>
      <c r="EX232" s="39"/>
      <c r="EY232" s="39"/>
      <c r="EZ232" s="39"/>
      <c r="FA232" s="39"/>
      <c r="FB232" s="39"/>
      <c r="FC232" s="39"/>
      <c r="FD232" s="39"/>
      <c r="FE232" s="39"/>
      <c r="FF232" s="39"/>
      <c r="FG232" s="39"/>
      <c r="FH232" s="39"/>
      <c r="FI232" s="39"/>
      <c r="FJ232" s="39"/>
      <c r="FK232" s="39"/>
      <c r="FL232" s="39"/>
      <c r="FM232" s="39"/>
      <c r="FN232" s="39"/>
      <c r="FO232" s="39"/>
      <c r="FP232" s="39"/>
      <c r="FQ232" s="39"/>
      <c r="FR232" s="39"/>
      <c r="FS232" s="39"/>
      <c r="FT232" s="39"/>
      <c r="FU232" s="39"/>
      <c r="FV232" s="39"/>
      <c r="FW232" s="39"/>
      <c r="FX232" s="39"/>
      <c r="FY232" s="39"/>
      <c r="FZ232" s="39"/>
      <c r="GA232" s="39"/>
      <c r="GB232" s="39"/>
      <c r="GC232" s="39"/>
      <c r="GD232" s="39"/>
      <c r="GE232" s="39"/>
      <c r="GF232" s="39"/>
      <c r="GG232" s="39"/>
      <c r="GH232" s="39"/>
      <c r="GI232" s="39"/>
      <c r="GJ232" s="39"/>
      <c r="GK232" s="39"/>
      <c r="GL232" s="39"/>
      <c r="GM232" s="39"/>
      <c r="GN232" s="39"/>
      <c r="GO232" s="39"/>
      <c r="GP232" s="39"/>
      <c r="GQ232" s="39"/>
      <c r="GR232" s="39"/>
      <c r="GS232" s="39"/>
      <c r="GT232" s="39"/>
      <c r="GU232" s="39"/>
      <c r="GV232" s="39"/>
      <c r="GW232" s="39"/>
      <c r="GX232" s="39"/>
      <c r="GY232" s="39"/>
      <c r="GZ232" s="39"/>
      <c r="HA232" s="39"/>
      <c r="HB232" s="39"/>
      <c r="HC232" s="39"/>
      <c r="HD232" s="39"/>
      <c r="HE232" s="39"/>
      <c r="HF232" s="39"/>
      <c r="HG232" s="39"/>
      <c r="HH232" s="39"/>
      <c r="HI232" s="39"/>
      <c r="HJ232" s="39"/>
      <c r="HK232" s="39"/>
      <c r="HL232" s="39"/>
      <c r="HM232" s="39"/>
      <c r="HN232" s="39"/>
      <c r="HO232" s="39"/>
      <c r="HP232" s="39"/>
      <c r="HQ232" s="39"/>
      <c r="HR232" s="39"/>
      <c r="HS232" s="39"/>
      <c r="HT232" s="39"/>
      <c r="HU232" s="39"/>
      <c r="HV232" s="39"/>
      <c r="HW232" s="39"/>
      <c r="HX232" s="39"/>
      <c r="HY232" s="39"/>
      <c r="HZ232" s="39"/>
      <c r="IA232" s="39"/>
      <c r="IB232" s="39"/>
      <c r="IC232" s="39"/>
      <c r="ID232" s="39"/>
      <c r="IE232" s="39"/>
      <c r="IF232" s="39"/>
      <c r="IG232" s="39"/>
      <c r="IH232" s="39"/>
      <c r="II232" s="39"/>
      <c r="IJ232" s="39"/>
      <c r="IK232" s="39"/>
      <c r="IL232" s="39"/>
      <c r="IM232" s="39"/>
      <c r="IN232" s="39"/>
      <c r="IO232" s="39"/>
      <c r="IP232" s="39"/>
      <c r="IQ232" s="39"/>
      <c r="IR232" s="39"/>
      <c r="IS232" s="39"/>
      <c r="IT232" s="39"/>
      <c r="IU232" s="39"/>
      <c r="IV232" s="39"/>
      <c r="IW232" s="39"/>
    </row>
    <row r="233" customFormat="false" ht="8.1" hidden="false" customHeight="true" outlineLevel="0" collapsed="false">
      <c r="A233" s="37"/>
      <c r="B233" s="39"/>
      <c r="C233" s="39"/>
      <c r="D233" s="96"/>
      <c r="E233" s="39"/>
      <c r="F233" s="39"/>
      <c r="G233" s="39"/>
      <c r="H233" s="39"/>
      <c r="I233" s="39"/>
      <c r="J233" s="39"/>
      <c r="K233" s="71"/>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0"/>
      <c r="AX233" s="71"/>
      <c r="AY233" s="71"/>
      <c r="AZ233" s="39"/>
      <c r="BA233" s="39"/>
      <c r="BB233" s="39"/>
      <c r="BC233" s="39"/>
      <c r="BD233" s="39"/>
      <c r="BE233" s="39"/>
      <c r="BF233" s="39"/>
      <c r="BG233" s="48"/>
      <c r="BH233" s="39"/>
      <c r="BI233" s="39"/>
      <c r="BJ233" s="39"/>
      <c r="BK233" s="39"/>
      <c r="BL233" s="39"/>
      <c r="BM233" s="39"/>
      <c r="BN233" s="39"/>
      <c r="BO233" s="39"/>
      <c r="BP233" s="39"/>
      <c r="BQ233" s="39"/>
      <c r="BR233" s="39"/>
      <c r="BS233" s="39"/>
      <c r="BT233" s="39"/>
      <c r="BU233" s="39"/>
      <c r="BV233" s="39"/>
      <c r="BW233" s="39"/>
      <c r="BX233" s="39"/>
      <c r="BY233" s="39"/>
      <c r="BZ233" s="39"/>
      <c r="CA233" s="39"/>
      <c r="CB233" s="39"/>
      <c r="CC233" s="39"/>
      <c r="CD233" s="39"/>
      <c r="CE233" s="39"/>
      <c r="CF233" s="39"/>
      <c r="CG233" s="39"/>
      <c r="CH233" s="39"/>
      <c r="CI233" s="39"/>
      <c r="CJ233" s="39"/>
      <c r="CK233" s="39"/>
      <c r="CL233" s="39"/>
      <c r="CM233" s="39"/>
      <c r="CN233" s="39"/>
      <c r="CO233" s="39"/>
      <c r="CP233" s="39"/>
      <c r="CQ233" s="39"/>
      <c r="CR233" s="39"/>
      <c r="CS233" s="39"/>
      <c r="CT233" s="39"/>
      <c r="CU233" s="39"/>
      <c r="CV233" s="39"/>
      <c r="CW233" s="39"/>
      <c r="CX233" s="39"/>
      <c r="CY233" s="39"/>
      <c r="CZ233" s="39"/>
      <c r="DA233" s="39"/>
      <c r="DB233" s="39"/>
      <c r="DC233" s="39"/>
      <c r="DD233" s="39"/>
      <c r="DE233" s="39"/>
      <c r="DF233" s="39"/>
      <c r="DG233" s="39"/>
      <c r="DH233" s="39"/>
      <c r="DI233" s="39"/>
      <c r="DJ233" s="39"/>
      <c r="DK233" s="39"/>
      <c r="DL233" s="39"/>
      <c r="DM233" s="39"/>
      <c r="DN233" s="39"/>
      <c r="DO233" s="39"/>
      <c r="DP233" s="39"/>
      <c r="DQ233" s="39"/>
      <c r="DR233" s="39"/>
      <c r="DS233" s="39"/>
      <c r="DT233" s="39"/>
      <c r="DU233" s="39"/>
      <c r="DV233" s="39"/>
      <c r="DW233" s="39"/>
      <c r="DX233" s="39"/>
      <c r="DY233" s="39"/>
      <c r="DZ233" s="39"/>
      <c r="EA233" s="39"/>
      <c r="EB233" s="39"/>
      <c r="EC233" s="39"/>
      <c r="ED233" s="39"/>
      <c r="EE233" s="39"/>
      <c r="EF233" s="39"/>
      <c r="EG233" s="39"/>
      <c r="EH233" s="39"/>
      <c r="EI233" s="39"/>
      <c r="EJ233" s="39"/>
      <c r="EK233" s="39"/>
      <c r="EL233" s="39"/>
      <c r="EM233" s="39"/>
      <c r="EN233" s="39"/>
      <c r="EO233" s="39"/>
      <c r="EP233" s="39"/>
      <c r="EQ233" s="39"/>
      <c r="ER233" s="39"/>
      <c r="ES233" s="39"/>
      <c r="ET233" s="39"/>
      <c r="EU233" s="39"/>
      <c r="EV233" s="39"/>
      <c r="EW233" s="39"/>
      <c r="EX233" s="39"/>
      <c r="EY233" s="39"/>
      <c r="EZ233" s="39"/>
      <c r="FA233" s="39"/>
      <c r="FB233" s="39"/>
      <c r="FC233" s="39"/>
      <c r="FD233" s="39"/>
      <c r="FE233" s="39"/>
      <c r="FF233" s="39"/>
      <c r="FG233" s="39"/>
      <c r="FH233" s="39"/>
      <c r="FI233" s="39"/>
      <c r="FJ233" s="39"/>
      <c r="FK233" s="39"/>
      <c r="FL233" s="39"/>
      <c r="FM233" s="39"/>
      <c r="FN233" s="39"/>
      <c r="FO233" s="39"/>
      <c r="FP233" s="39"/>
      <c r="FQ233" s="39"/>
      <c r="FR233" s="39"/>
      <c r="FS233" s="39"/>
      <c r="FT233" s="39"/>
      <c r="FU233" s="39"/>
      <c r="FV233" s="39"/>
      <c r="FW233" s="39"/>
      <c r="FX233" s="39"/>
      <c r="FY233" s="39"/>
      <c r="FZ233" s="39"/>
      <c r="GA233" s="39"/>
      <c r="GB233" s="39"/>
      <c r="GC233" s="39"/>
      <c r="GD233" s="39"/>
      <c r="GE233" s="39"/>
      <c r="GF233" s="39"/>
      <c r="GG233" s="39"/>
      <c r="GH233" s="39"/>
      <c r="GI233" s="39"/>
      <c r="GJ233" s="39"/>
      <c r="GK233" s="39"/>
      <c r="GL233" s="39"/>
      <c r="GM233" s="39"/>
      <c r="GN233" s="39"/>
      <c r="GO233" s="39"/>
      <c r="GP233" s="39"/>
      <c r="GQ233" s="39"/>
      <c r="GR233" s="39"/>
      <c r="GS233" s="39"/>
      <c r="GT233" s="39"/>
      <c r="GU233" s="39"/>
      <c r="GV233" s="39"/>
      <c r="GW233" s="39"/>
      <c r="GX233" s="39"/>
      <c r="GY233" s="39"/>
      <c r="GZ233" s="39"/>
      <c r="HA233" s="39"/>
      <c r="HB233" s="39"/>
      <c r="HC233" s="39"/>
      <c r="HD233" s="39"/>
      <c r="HE233" s="39"/>
      <c r="HF233" s="39"/>
      <c r="HG233" s="39"/>
      <c r="HH233" s="39"/>
      <c r="HI233" s="39"/>
      <c r="HJ233" s="39"/>
      <c r="HK233" s="39"/>
      <c r="HL233" s="39"/>
      <c r="HM233" s="39"/>
      <c r="HN233" s="39"/>
      <c r="HO233" s="39"/>
      <c r="HP233" s="39"/>
      <c r="HQ233" s="39"/>
      <c r="HR233" s="39"/>
      <c r="HS233" s="39"/>
      <c r="HT233" s="39"/>
      <c r="HU233" s="39"/>
      <c r="HV233" s="39"/>
      <c r="HW233" s="39"/>
      <c r="HX233" s="39"/>
      <c r="HY233" s="39"/>
      <c r="HZ233" s="39"/>
      <c r="IA233" s="39"/>
      <c r="IB233" s="39"/>
      <c r="IC233" s="39"/>
      <c r="ID233" s="39"/>
      <c r="IE233" s="39"/>
      <c r="IF233" s="39"/>
      <c r="IG233" s="39"/>
      <c r="IH233" s="39"/>
      <c r="II233" s="39"/>
      <c r="IJ233" s="39"/>
      <c r="IK233" s="39"/>
      <c r="IL233" s="39"/>
      <c r="IM233" s="39"/>
      <c r="IN233" s="39"/>
      <c r="IO233" s="39"/>
      <c r="IP233" s="39"/>
      <c r="IQ233" s="39"/>
      <c r="IR233" s="39"/>
      <c r="IS233" s="39"/>
      <c r="IT233" s="39"/>
      <c r="IU233" s="39"/>
      <c r="IV233" s="39"/>
      <c r="IW233" s="39"/>
    </row>
    <row r="234" customFormat="false" ht="12.95" hidden="true" customHeight="true" outlineLevel="0" collapsed="false">
      <c r="A234" s="95" t="s">
        <v>430</v>
      </c>
      <c r="B234" s="39"/>
      <c r="C234" s="39"/>
      <c r="D234" s="96"/>
      <c r="E234" s="39"/>
      <c r="F234" s="39"/>
      <c r="G234" s="39"/>
      <c r="H234" s="39"/>
      <c r="I234" s="39"/>
      <c r="J234" s="39"/>
      <c r="K234" s="71"/>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0"/>
      <c r="AX234" s="71"/>
      <c r="AY234" s="71"/>
      <c r="AZ234" s="39"/>
      <c r="BA234" s="39"/>
      <c r="BB234" s="39"/>
      <c r="BC234" s="97"/>
      <c r="BD234" s="39"/>
      <c r="BE234" s="97"/>
      <c r="BF234" s="39"/>
      <c r="BG234" s="98"/>
      <c r="BH234" s="39"/>
      <c r="BI234" s="39"/>
      <c r="BJ234" s="39"/>
      <c r="BK234" s="39"/>
      <c r="BL234" s="39"/>
      <c r="BM234" s="39"/>
      <c r="BN234" s="39"/>
      <c r="BO234" s="39"/>
      <c r="BP234" s="39"/>
      <c r="BQ234" s="39"/>
      <c r="BR234" s="39"/>
      <c r="BS234" s="39"/>
      <c r="BT234" s="39"/>
      <c r="BU234" s="39"/>
      <c r="BV234" s="39"/>
      <c r="BW234" s="39"/>
      <c r="BX234" s="39"/>
      <c r="BY234" s="39"/>
      <c r="BZ234" s="39"/>
      <c r="CA234" s="39"/>
      <c r="CB234" s="39"/>
      <c r="CC234" s="39"/>
      <c r="CD234" s="39"/>
      <c r="CE234" s="39"/>
      <c r="CF234" s="39"/>
      <c r="CG234" s="39"/>
      <c r="CH234" s="39"/>
      <c r="CI234" s="39"/>
      <c r="CJ234" s="39"/>
      <c r="CK234" s="39"/>
      <c r="CL234" s="39"/>
      <c r="CM234" s="39"/>
      <c r="CN234" s="39"/>
      <c r="CO234" s="39"/>
      <c r="CP234" s="39"/>
      <c r="CQ234" s="39"/>
      <c r="CR234" s="39"/>
      <c r="CS234" s="39"/>
      <c r="CT234" s="39"/>
      <c r="CU234" s="39"/>
      <c r="CV234" s="39"/>
      <c r="CW234" s="39"/>
      <c r="CX234" s="39"/>
      <c r="CY234" s="39"/>
      <c r="CZ234" s="39"/>
      <c r="DA234" s="39"/>
      <c r="DB234" s="39"/>
      <c r="DC234" s="39"/>
      <c r="DD234" s="39"/>
      <c r="DE234" s="39"/>
      <c r="DF234" s="39"/>
      <c r="DG234" s="39"/>
      <c r="DH234" s="39"/>
      <c r="DI234" s="39"/>
      <c r="DJ234" s="39"/>
      <c r="DK234" s="39"/>
      <c r="DL234" s="39"/>
      <c r="DM234" s="39"/>
      <c r="DN234" s="39"/>
      <c r="DO234" s="39"/>
      <c r="DP234" s="39"/>
      <c r="DQ234" s="39"/>
      <c r="DR234" s="39"/>
      <c r="DS234" s="39"/>
      <c r="DT234" s="39"/>
      <c r="DU234" s="39"/>
      <c r="DV234" s="39"/>
      <c r="DW234" s="39"/>
      <c r="DX234" s="39"/>
      <c r="DY234" s="39"/>
      <c r="DZ234" s="39"/>
      <c r="EA234" s="39"/>
      <c r="EB234" s="39"/>
      <c r="EC234" s="39"/>
      <c r="ED234" s="39"/>
      <c r="EE234" s="39"/>
      <c r="EF234" s="39"/>
      <c r="EG234" s="39"/>
      <c r="EH234" s="39"/>
      <c r="EI234" s="39"/>
      <c r="EJ234" s="39"/>
      <c r="EK234" s="39"/>
      <c r="EL234" s="39"/>
      <c r="EM234" s="39"/>
      <c r="EN234" s="39"/>
      <c r="EO234" s="39"/>
      <c r="EP234" s="39"/>
      <c r="EQ234" s="39"/>
      <c r="ER234" s="39"/>
      <c r="ES234" s="39"/>
      <c r="ET234" s="39"/>
      <c r="EU234" s="39"/>
      <c r="EV234" s="39"/>
      <c r="EW234" s="39"/>
      <c r="EX234" s="39"/>
      <c r="EY234" s="39"/>
      <c r="EZ234" s="39"/>
      <c r="FA234" s="39"/>
      <c r="FB234" s="39"/>
      <c r="FC234" s="39"/>
      <c r="FD234" s="39"/>
      <c r="FE234" s="39"/>
      <c r="FF234" s="39"/>
      <c r="FG234" s="39"/>
      <c r="FH234" s="39"/>
      <c r="FI234" s="39"/>
      <c r="FJ234" s="39"/>
      <c r="FK234" s="39"/>
      <c r="FL234" s="39"/>
      <c r="FM234" s="39"/>
      <c r="FN234" s="39"/>
      <c r="FO234" s="39"/>
      <c r="FP234" s="39"/>
      <c r="FQ234" s="39"/>
      <c r="FR234" s="39"/>
      <c r="FS234" s="39"/>
      <c r="FT234" s="39"/>
      <c r="FU234" s="39"/>
      <c r="FV234" s="39"/>
      <c r="FW234" s="39"/>
      <c r="FX234" s="39"/>
      <c r="FY234" s="39"/>
      <c r="FZ234" s="39"/>
      <c r="GA234" s="39"/>
      <c r="GB234" s="39"/>
      <c r="GC234" s="39"/>
      <c r="GD234" s="39"/>
      <c r="GE234" s="39"/>
      <c r="GF234" s="39"/>
      <c r="GG234" s="39"/>
      <c r="GH234" s="39"/>
      <c r="GI234" s="39"/>
      <c r="GJ234" s="39"/>
      <c r="GK234" s="39"/>
      <c r="GL234" s="39"/>
      <c r="GM234" s="39"/>
      <c r="GN234" s="39"/>
      <c r="GO234" s="39"/>
      <c r="GP234" s="39"/>
      <c r="GQ234" s="39"/>
      <c r="GR234" s="39"/>
      <c r="GS234" s="39"/>
      <c r="GT234" s="39"/>
      <c r="GU234" s="39"/>
      <c r="GV234" s="39"/>
      <c r="GW234" s="39"/>
      <c r="GX234" s="39"/>
      <c r="GY234" s="39"/>
      <c r="GZ234" s="39"/>
      <c r="HA234" s="39"/>
      <c r="HB234" s="39"/>
      <c r="HC234" s="39"/>
      <c r="HD234" s="39"/>
      <c r="HE234" s="39"/>
      <c r="HF234" s="39"/>
      <c r="HG234" s="39"/>
      <c r="HH234" s="39"/>
      <c r="HI234" s="39"/>
      <c r="HJ234" s="39"/>
      <c r="HK234" s="39"/>
      <c r="HL234" s="39"/>
      <c r="HM234" s="39"/>
      <c r="HN234" s="39"/>
      <c r="HO234" s="39"/>
      <c r="HP234" s="39"/>
      <c r="HQ234" s="39"/>
      <c r="HR234" s="39"/>
      <c r="HS234" s="39"/>
      <c r="HT234" s="39"/>
      <c r="HU234" s="39"/>
      <c r="HV234" s="39"/>
      <c r="HW234" s="39"/>
      <c r="HX234" s="39"/>
      <c r="HY234" s="39"/>
      <c r="HZ234" s="39"/>
      <c r="IA234" s="39"/>
      <c r="IB234" s="39"/>
      <c r="IC234" s="39"/>
      <c r="ID234" s="39"/>
      <c r="IE234" s="39"/>
      <c r="IF234" s="39"/>
      <c r="IG234" s="39"/>
      <c r="IH234" s="39"/>
      <c r="II234" s="39"/>
      <c r="IJ234" s="39"/>
      <c r="IK234" s="39"/>
      <c r="IL234" s="39"/>
      <c r="IM234" s="39"/>
      <c r="IN234" s="39"/>
      <c r="IO234" s="39"/>
      <c r="IP234" s="39"/>
      <c r="IQ234" s="39"/>
      <c r="IR234" s="39"/>
      <c r="IS234" s="39"/>
      <c r="IT234" s="39"/>
      <c r="IU234" s="39"/>
      <c r="IV234" s="39"/>
      <c r="IW234" s="39"/>
    </row>
    <row r="235" customFormat="false" ht="8.1" hidden="true" customHeight="true" outlineLevel="0" collapsed="false">
      <c r="A235" s="37"/>
      <c r="B235" s="39"/>
      <c r="C235" s="39"/>
      <c r="D235" s="96"/>
      <c r="E235" s="91"/>
      <c r="F235" s="91"/>
      <c r="G235" s="91"/>
      <c r="H235" s="91"/>
      <c r="I235" s="91"/>
      <c r="J235" s="91"/>
      <c r="K235" s="91"/>
      <c r="L235" s="39"/>
      <c r="M235" s="39"/>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91"/>
      <c r="AN235" s="91"/>
      <c r="AO235" s="91"/>
      <c r="AP235" s="91"/>
      <c r="AQ235" s="91"/>
      <c r="AR235" s="91"/>
      <c r="AS235" s="91"/>
      <c r="AT235" s="91"/>
      <c r="AU235" s="91"/>
      <c r="AV235" s="91"/>
      <c r="AW235" s="0"/>
      <c r="AX235" s="91"/>
      <c r="AY235" s="91"/>
      <c r="AZ235" s="39"/>
      <c r="BA235" s="91"/>
      <c r="BB235" s="91"/>
      <c r="BC235" s="39"/>
      <c r="BD235" s="39"/>
      <c r="BE235" s="39"/>
      <c r="BF235" s="39"/>
      <c r="BG235" s="48"/>
      <c r="BH235" s="39"/>
      <c r="BI235" s="39"/>
      <c r="BJ235" s="39"/>
      <c r="BK235" s="39"/>
      <c r="BL235" s="39"/>
      <c r="BM235" s="39"/>
      <c r="BN235" s="39"/>
      <c r="BO235" s="39"/>
      <c r="BP235" s="39"/>
      <c r="BQ235" s="39"/>
      <c r="BR235" s="39"/>
      <c r="BS235" s="39"/>
      <c r="BT235" s="39"/>
      <c r="BU235" s="39"/>
      <c r="BV235" s="39"/>
      <c r="BW235" s="39"/>
      <c r="BX235" s="39"/>
      <c r="BY235" s="39"/>
      <c r="BZ235" s="39"/>
      <c r="CA235" s="39"/>
      <c r="CB235" s="39"/>
      <c r="CC235" s="39"/>
      <c r="CD235" s="39"/>
      <c r="CE235" s="39"/>
      <c r="CF235" s="39"/>
      <c r="CG235" s="39"/>
      <c r="CH235" s="39"/>
      <c r="CI235" s="39"/>
      <c r="CJ235" s="39"/>
      <c r="CK235" s="39"/>
      <c r="CL235" s="39"/>
      <c r="CM235" s="39"/>
      <c r="CN235" s="39"/>
      <c r="CO235" s="39"/>
      <c r="CP235" s="39"/>
      <c r="CQ235" s="39"/>
      <c r="CR235" s="39"/>
      <c r="CS235" s="39"/>
      <c r="CT235" s="39"/>
      <c r="CU235" s="39"/>
      <c r="CV235" s="39"/>
      <c r="CW235" s="39"/>
      <c r="CX235" s="39"/>
      <c r="CY235" s="39"/>
      <c r="CZ235" s="39"/>
      <c r="DA235" s="39"/>
      <c r="DB235" s="39"/>
      <c r="DC235" s="39"/>
      <c r="DD235" s="39"/>
      <c r="DE235" s="39"/>
      <c r="DF235" s="39"/>
      <c r="DG235" s="39"/>
      <c r="DH235" s="39"/>
      <c r="DI235" s="39"/>
      <c r="DJ235" s="39"/>
      <c r="DK235" s="39"/>
      <c r="DL235" s="39"/>
      <c r="DM235" s="39"/>
      <c r="DN235" s="39"/>
      <c r="DO235" s="39"/>
      <c r="DP235" s="39"/>
      <c r="DQ235" s="39"/>
      <c r="DR235" s="39"/>
      <c r="DS235" s="39"/>
      <c r="DT235" s="39"/>
      <c r="DU235" s="39"/>
      <c r="DV235" s="39"/>
      <c r="DW235" s="39"/>
      <c r="DX235" s="39"/>
      <c r="DY235" s="39"/>
      <c r="DZ235" s="39"/>
      <c r="EA235" s="39"/>
      <c r="EB235" s="39"/>
      <c r="EC235" s="39"/>
      <c r="ED235" s="39"/>
      <c r="EE235" s="39"/>
      <c r="EF235" s="39"/>
      <c r="EG235" s="39"/>
      <c r="EH235" s="39"/>
      <c r="EI235" s="39"/>
      <c r="EJ235" s="39"/>
      <c r="EK235" s="39"/>
      <c r="EL235" s="39"/>
      <c r="EM235" s="39"/>
      <c r="EN235" s="39"/>
      <c r="EO235" s="39"/>
      <c r="EP235" s="39"/>
      <c r="EQ235" s="39"/>
      <c r="ER235" s="39"/>
      <c r="ES235" s="39"/>
      <c r="ET235" s="39"/>
      <c r="EU235" s="39"/>
      <c r="EV235" s="39"/>
      <c r="EW235" s="39"/>
      <c r="EX235" s="39"/>
      <c r="EY235" s="39"/>
      <c r="EZ235" s="39"/>
      <c r="FA235" s="39"/>
      <c r="FB235" s="39"/>
      <c r="FC235" s="39"/>
      <c r="FD235" s="39"/>
      <c r="FE235" s="39"/>
      <c r="FF235" s="39"/>
      <c r="FG235" s="39"/>
      <c r="FH235" s="39"/>
      <c r="FI235" s="39"/>
      <c r="FJ235" s="39"/>
      <c r="FK235" s="39"/>
      <c r="FL235" s="39"/>
      <c r="FM235" s="39"/>
      <c r="FN235" s="39"/>
      <c r="FO235" s="39"/>
      <c r="FP235" s="39"/>
      <c r="FQ235" s="39"/>
      <c r="FR235" s="39"/>
      <c r="FS235" s="39"/>
      <c r="FT235" s="39"/>
      <c r="FU235" s="39"/>
      <c r="FV235" s="39"/>
      <c r="FW235" s="39"/>
      <c r="FX235" s="39"/>
      <c r="FY235" s="39"/>
      <c r="FZ235" s="39"/>
      <c r="GA235" s="39"/>
      <c r="GB235" s="39"/>
      <c r="GC235" s="39"/>
      <c r="GD235" s="39"/>
      <c r="GE235" s="39"/>
      <c r="GF235" s="39"/>
      <c r="GG235" s="39"/>
      <c r="GH235" s="39"/>
      <c r="GI235" s="39"/>
      <c r="GJ235" s="39"/>
      <c r="GK235" s="39"/>
      <c r="GL235" s="39"/>
      <c r="GM235" s="39"/>
      <c r="GN235" s="39"/>
      <c r="GO235" s="39"/>
      <c r="GP235" s="39"/>
      <c r="GQ235" s="39"/>
      <c r="GR235" s="39"/>
      <c r="GS235" s="39"/>
      <c r="GT235" s="39"/>
      <c r="GU235" s="39"/>
      <c r="GV235" s="39"/>
      <c r="GW235" s="39"/>
      <c r="GX235" s="39"/>
      <c r="GY235" s="39"/>
      <c r="GZ235" s="39"/>
      <c r="HA235" s="39"/>
      <c r="HB235" s="39"/>
      <c r="HC235" s="39"/>
      <c r="HD235" s="39"/>
      <c r="HE235" s="39"/>
      <c r="HF235" s="39"/>
      <c r="HG235" s="39"/>
      <c r="HH235" s="39"/>
      <c r="HI235" s="39"/>
      <c r="HJ235" s="39"/>
      <c r="HK235" s="39"/>
      <c r="HL235" s="39"/>
      <c r="HM235" s="39"/>
      <c r="HN235" s="39"/>
      <c r="HO235" s="39"/>
      <c r="HP235" s="39"/>
      <c r="HQ235" s="39"/>
      <c r="HR235" s="39"/>
      <c r="HS235" s="39"/>
      <c r="HT235" s="39"/>
      <c r="HU235" s="39"/>
      <c r="HV235" s="39"/>
      <c r="HW235" s="39"/>
      <c r="HX235" s="39"/>
      <c r="HY235" s="39"/>
      <c r="HZ235" s="39"/>
      <c r="IA235" s="39"/>
      <c r="IB235" s="39"/>
      <c r="IC235" s="39"/>
      <c r="ID235" s="39"/>
      <c r="IE235" s="39"/>
      <c r="IF235" s="39"/>
      <c r="IG235" s="39"/>
      <c r="IH235" s="39"/>
      <c r="II235" s="39"/>
      <c r="IJ235" s="39"/>
      <c r="IK235" s="39"/>
      <c r="IL235" s="39"/>
      <c r="IM235" s="39"/>
      <c r="IN235" s="39"/>
      <c r="IO235" s="39"/>
      <c r="IP235" s="39"/>
      <c r="IQ235" s="39"/>
      <c r="IR235" s="39"/>
      <c r="IS235" s="39"/>
      <c r="IT235" s="39"/>
      <c r="IU235" s="39"/>
      <c r="IV235" s="39"/>
      <c r="IW235" s="39"/>
    </row>
    <row r="236" customFormat="false" ht="12.95" hidden="true" customHeight="true" outlineLevel="0" collapsed="false">
      <c r="A236" s="37"/>
      <c r="B236" s="39"/>
      <c r="C236" s="39"/>
      <c r="D236" s="96"/>
      <c r="E236" s="97" t="n">
        <f aca="false">SUM(E235)</f>
        <v>0</v>
      </c>
      <c r="F236" s="97" t="n">
        <f aca="false">SUM(F235)</f>
        <v>0</v>
      </c>
      <c r="G236" s="97" t="n">
        <f aca="false">SUM(G235)</f>
        <v>0</v>
      </c>
      <c r="H236" s="97" t="n">
        <f aca="false">SUM(H235)</f>
        <v>0</v>
      </c>
      <c r="I236" s="97" t="n">
        <f aca="false">SUM(I235)</f>
        <v>0</v>
      </c>
      <c r="J236" s="97" t="n">
        <f aca="false">SUM(J235)</f>
        <v>0</v>
      </c>
      <c r="K236" s="97" t="n">
        <f aca="false">SUM(K235)</f>
        <v>0</v>
      </c>
      <c r="L236" s="39"/>
      <c r="M236" s="39"/>
      <c r="N236" s="97" t="n">
        <f aca="false">SUM(N235)</f>
        <v>0</v>
      </c>
      <c r="O236" s="97" t="n">
        <v>0</v>
      </c>
      <c r="P236" s="97" t="n">
        <f aca="false">SUM(P235)</f>
        <v>0</v>
      </c>
      <c r="Q236" s="97" t="n">
        <f aca="false">SUM(Q235)</f>
        <v>0</v>
      </c>
      <c r="R236" s="97" t="n">
        <f aca="false">SUM(R235)</f>
        <v>0</v>
      </c>
      <c r="S236" s="97" t="n">
        <f aca="false">SUM(S235)</f>
        <v>0</v>
      </c>
      <c r="T236" s="97" t="n">
        <f aca="false">SUM(T235)</f>
        <v>0</v>
      </c>
      <c r="U236" s="97" t="n">
        <f aca="false">SUM(U235)</f>
        <v>0</v>
      </c>
      <c r="V236" s="97" t="n">
        <f aca="false">SUM(V235)</f>
        <v>0</v>
      </c>
      <c r="W236" s="97" t="n">
        <f aca="false">SUM(W235)</f>
        <v>0</v>
      </c>
      <c r="X236" s="97" t="n">
        <f aca="false">SUM(X235)</f>
        <v>0</v>
      </c>
      <c r="Y236" s="97" t="n">
        <f aca="false">SUM(Y235)</f>
        <v>0</v>
      </c>
      <c r="Z236" s="97" t="n">
        <f aca="false">SUM(Z235)</f>
        <v>0</v>
      </c>
      <c r="AA236" s="97" t="n">
        <f aca="false">SUM(AA235)</f>
        <v>0</v>
      </c>
      <c r="AB236" s="97" t="n">
        <f aca="false">SUM(AB235)</f>
        <v>0</v>
      </c>
      <c r="AC236" s="97" t="n">
        <f aca="false">SUM(AC235)</f>
        <v>0</v>
      </c>
      <c r="AD236" s="97" t="n">
        <f aca="false">SUM(AD235)</f>
        <v>0</v>
      </c>
      <c r="AE236" s="97" t="n">
        <f aca="false">SUM(AE235)</f>
        <v>0</v>
      </c>
      <c r="AF236" s="97" t="n">
        <f aca="false">SUM(AF235)</f>
        <v>0</v>
      </c>
      <c r="AG236" s="97" t="n">
        <f aca="false">SUM(AG235)</f>
        <v>0</v>
      </c>
      <c r="AH236" s="97" t="n">
        <f aca="false">SUM(AH235)</f>
        <v>0</v>
      </c>
      <c r="AI236" s="97" t="n">
        <f aca="false">SUM(AI235)</f>
        <v>0</v>
      </c>
      <c r="AJ236" s="97" t="n">
        <f aca="false">SUM(AJ235)</f>
        <v>0</v>
      </c>
      <c r="AK236" s="97" t="n">
        <f aca="false">SUM(AK235)</f>
        <v>0</v>
      </c>
      <c r="AL236" s="97" t="n">
        <f aca="false">SUM(AL235)</f>
        <v>0</v>
      </c>
      <c r="AM236" s="97" t="n">
        <f aca="false">SUM(AM235)</f>
        <v>0</v>
      </c>
      <c r="AN236" s="97" t="n">
        <f aca="false">SUM(AN235)</f>
        <v>0</v>
      </c>
      <c r="AO236" s="97" t="n">
        <f aca="false">SUM(AO235)</f>
        <v>0</v>
      </c>
      <c r="AP236" s="97" t="n">
        <f aca="false">SUM(AP235)</f>
        <v>0</v>
      </c>
      <c r="AQ236" s="97" t="n">
        <f aca="false">SUM(AQ235)</f>
        <v>0</v>
      </c>
      <c r="AR236" s="97" t="n">
        <f aca="false">SUM(AR235)</f>
        <v>0</v>
      </c>
      <c r="AS236" s="97" t="n">
        <f aca="false">SUM(AS235)</f>
        <v>0</v>
      </c>
      <c r="AT236" s="97" t="n">
        <f aca="false">SUM(AT235)</f>
        <v>0</v>
      </c>
      <c r="AU236" s="97" t="n">
        <f aca="false">SUM(AU235)</f>
        <v>0</v>
      </c>
      <c r="AV236" s="97" t="n">
        <f aca="false">SUM(AV235)</f>
        <v>0</v>
      </c>
      <c r="AW236" s="0"/>
      <c r="AX236" s="97" t="n">
        <f aca="false">SUM(AX235)</f>
        <v>0</v>
      </c>
      <c r="AY236" s="97" t="n">
        <f aca="false">SUM(AY235)</f>
        <v>0</v>
      </c>
      <c r="AZ236" s="39"/>
      <c r="BA236" s="97" t="n">
        <f aca="false">SUM(BA235)</f>
        <v>0</v>
      </c>
      <c r="BB236" s="97" t="n">
        <f aca="false">SUM(BB235)</f>
        <v>0</v>
      </c>
      <c r="BC236" s="97" t="n">
        <f aca="false">SUM(BC235)</f>
        <v>0</v>
      </c>
      <c r="BD236" s="39"/>
      <c r="BE236" s="97" t="n">
        <f aca="false">SUM(BE235)</f>
        <v>0</v>
      </c>
      <c r="BF236" s="39"/>
      <c r="BG236" s="98" t="n">
        <f aca="false">SUM(BG235)</f>
        <v>0</v>
      </c>
      <c r="BH236" s="39" t="n">
        <f aca="false">SUM(BH235)</f>
        <v>0</v>
      </c>
      <c r="BI236" s="39"/>
      <c r="BJ236" s="39"/>
      <c r="BK236" s="39"/>
      <c r="BL236" s="39"/>
      <c r="BM236" s="39"/>
      <c r="BN236" s="39"/>
      <c r="BO236" s="39"/>
      <c r="BP236" s="39"/>
      <c r="BQ236" s="39"/>
      <c r="BR236" s="39"/>
      <c r="BS236" s="39"/>
      <c r="BT236" s="39"/>
      <c r="BU236" s="39"/>
      <c r="BV236" s="39"/>
      <c r="BW236" s="39"/>
      <c r="BX236" s="39"/>
      <c r="BY236" s="39"/>
      <c r="BZ236" s="39"/>
      <c r="CA236" s="39"/>
      <c r="CB236" s="39"/>
      <c r="CC236" s="39"/>
      <c r="CD236" s="39"/>
      <c r="CE236" s="39"/>
      <c r="CF236" s="39"/>
      <c r="CG236" s="39"/>
      <c r="CH236" s="39"/>
      <c r="CI236" s="39"/>
      <c r="CJ236" s="39"/>
      <c r="CK236" s="39"/>
      <c r="CL236" s="39"/>
      <c r="CM236" s="39"/>
      <c r="CN236" s="39"/>
      <c r="CO236" s="39"/>
      <c r="CP236" s="39"/>
      <c r="CQ236" s="39"/>
      <c r="CR236" s="39"/>
      <c r="CS236" s="39"/>
      <c r="CT236" s="39"/>
      <c r="CU236" s="39"/>
      <c r="CV236" s="39"/>
      <c r="CW236" s="39"/>
      <c r="CX236" s="39"/>
      <c r="CY236" s="39"/>
      <c r="CZ236" s="39"/>
      <c r="DA236" s="39"/>
      <c r="DB236" s="39"/>
      <c r="DC236" s="39"/>
      <c r="DD236" s="39"/>
      <c r="DE236" s="39"/>
      <c r="DF236" s="39"/>
      <c r="DG236" s="39"/>
      <c r="DH236" s="39"/>
      <c r="DI236" s="39"/>
      <c r="DJ236" s="39"/>
      <c r="DK236" s="39"/>
      <c r="DL236" s="39"/>
      <c r="DM236" s="39"/>
      <c r="DN236" s="39"/>
      <c r="DO236" s="39"/>
      <c r="DP236" s="39"/>
      <c r="DQ236" s="39"/>
      <c r="DR236" s="39"/>
      <c r="DS236" s="39"/>
      <c r="DT236" s="39"/>
      <c r="DU236" s="39"/>
      <c r="DV236" s="39"/>
      <c r="DW236" s="39"/>
      <c r="DX236" s="39"/>
      <c r="DY236" s="39"/>
      <c r="DZ236" s="39"/>
      <c r="EA236" s="39"/>
      <c r="EB236" s="39"/>
      <c r="EC236" s="39"/>
      <c r="ED236" s="39"/>
      <c r="EE236" s="39"/>
      <c r="EF236" s="39"/>
      <c r="EG236" s="39"/>
      <c r="EH236" s="39"/>
      <c r="EI236" s="39"/>
      <c r="EJ236" s="39"/>
      <c r="EK236" s="39"/>
      <c r="EL236" s="39"/>
      <c r="EM236" s="39"/>
      <c r="EN236" s="39"/>
      <c r="EO236" s="39"/>
      <c r="EP236" s="39"/>
      <c r="EQ236" s="39"/>
      <c r="ER236" s="39"/>
      <c r="ES236" s="39"/>
      <c r="ET236" s="39"/>
      <c r="EU236" s="39"/>
      <c r="EV236" s="39"/>
      <c r="EW236" s="39"/>
      <c r="EX236" s="39"/>
      <c r="EY236" s="39"/>
      <c r="EZ236" s="39"/>
      <c r="FA236" s="39"/>
      <c r="FB236" s="39"/>
      <c r="FC236" s="39"/>
      <c r="FD236" s="39"/>
      <c r="FE236" s="39"/>
      <c r="FF236" s="39"/>
      <c r="FG236" s="39"/>
      <c r="FH236" s="39"/>
      <c r="FI236" s="39"/>
      <c r="FJ236" s="39"/>
      <c r="FK236" s="39"/>
      <c r="FL236" s="39"/>
      <c r="FM236" s="39"/>
      <c r="FN236" s="39"/>
      <c r="FO236" s="39"/>
      <c r="FP236" s="39"/>
      <c r="FQ236" s="39"/>
      <c r="FR236" s="39"/>
      <c r="FS236" s="39"/>
      <c r="FT236" s="39"/>
      <c r="FU236" s="39"/>
      <c r="FV236" s="39"/>
      <c r="FW236" s="39"/>
      <c r="FX236" s="39"/>
      <c r="FY236" s="39"/>
      <c r="FZ236" s="39"/>
      <c r="GA236" s="39"/>
      <c r="GB236" s="39"/>
      <c r="GC236" s="39"/>
      <c r="GD236" s="39"/>
      <c r="GE236" s="39"/>
      <c r="GF236" s="39"/>
      <c r="GG236" s="39"/>
      <c r="GH236" s="39"/>
      <c r="GI236" s="39"/>
      <c r="GJ236" s="39"/>
      <c r="GK236" s="39"/>
      <c r="GL236" s="39"/>
      <c r="GM236" s="39"/>
      <c r="GN236" s="39"/>
      <c r="GO236" s="39"/>
      <c r="GP236" s="39"/>
      <c r="GQ236" s="39"/>
      <c r="GR236" s="39"/>
      <c r="GS236" s="39"/>
      <c r="GT236" s="39"/>
      <c r="GU236" s="39"/>
      <c r="GV236" s="39"/>
      <c r="GW236" s="39"/>
      <c r="GX236" s="39"/>
      <c r="GY236" s="39"/>
      <c r="GZ236" s="39"/>
      <c r="HA236" s="39"/>
      <c r="HB236" s="39"/>
      <c r="HC236" s="39"/>
      <c r="HD236" s="39"/>
      <c r="HE236" s="39"/>
      <c r="HF236" s="39"/>
      <c r="HG236" s="39"/>
      <c r="HH236" s="39"/>
      <c r="HI236" s="39"/>
      <c r="HJ236" s="39"/>
      <c r="HK236" s="39"/>
      <c r="HL236" s="39"/>
      <c r="HM236" s="39"/>
      <c r="HN236" s="39"/>
      <c r="HO236" s="39"/>
      <c r="HP236" s="39"/>
      <c r="HQ236" s="39"/>
      <c r="HR236" s="39"/>
      <c r="HS236" s="39"/>
      <c r="HT236" s="39"/>
      <c r="HU236" s="39"/>
      <c r="HV236" s="39"/>
      <c r="HW236" s="39"/>
      <c r="HX236" s="39"/>
      <c r="HY236" s="39"/>
      <c r="HZ236" s="39"/>
      <c r="IA236" s="39"/>
      <c r="IB236" s="39"/>
      <c r="IC236" s="39"/>
      <c r="ID236" s="39"/>
      <c r="IE236" s="39"/>
      <c r="IF236" s="39"/>
      <c r="IG236" s="39"/>
      <c r="IH236" s="39"/>
      <c r="II236" s="39"/>
      <c r="IJ236" s="39"/>
      <c r="IK236" s="39"/>
      <c r="IL236" s="39"/>
      <c r="IM236" s="39"/>
      <c r="IN236" s="39"/>
      <c r="IO236" s="39"/>
      <c r="IP236" s="39"/>
      <c r="IQ236" s="39"/>
      <c r="IR236" s="39"/>
      <c r="IS236" s="39"/>
      <c r="IT236" s="39"/>
      <c r="IU236" s="39"/>
      <c r="IV236" s="39"/>
      <c r="IW236" s="39"/>
    </row>
    <row r="237" customFormat="false" ht="8.1" hidden="false" customHeight="true" outlineLevel="0" collapsed="false">
      <c r="A237" s="37"/>
      <c r="B237" s="39"/>
      <c r="C237" s="39"/>
      <c r="D237" s="96"/>
      <c r="E237" s="39"/>
      <c r="F237" s="39"/>
      <c r="G237" s="39"/>
      <c r="H237" s="39"/>
      <c r="I237" s="39"/>
      <c r="J237" s="39"/>
      <c r="K237" s="71"/>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0"/>
      <c r="AX237" s="71"/>
      <c r="AY237" s="71"/>
      <c r="AZ237" s="39"/>
      <c r="BA237" s="39"/>
      <c r="BB237" s="39"/>
      <c r="BC237" s="39"/>
      <c r="BD237" s="39"/>
      <c r="BE237" s="39"/>
      <c r="BF237" s="39"/>
      <c r="BG237" s="48"/>
      <c r="BH237" s="39"/>
      <c r="BI237" s="39"/>
      <c r="BJ237" s="39"/>
      <c r="BK237" s="39"/>
      <c r="BL237" s="39"/>
      <c r="BM237" s="39"/>
      <c r="BN237" s="39"/>
      <c r="BO237" s="39"/>
      <c r="BP237" s="39"/>
      <c r="BQ237" s="39"/>
      <c r="BR237" s="39"/>
      <c r="BS237" s="39"/>
      <c r="BT237" s="39"/>
      <c r="BU237" s="39"/>
      <c r="BV237" s="39"/>
      <c r="BW237" s="39"/>
      <c r="BX237" s="39"/>
      <c r="BY237" s="39"/>
      <c r="BZ237" s="39"/>
      <c r="CA237" s="39"/>
      <c r="CB237" s="39"/>
      <c r="CC237" s="39"/>
      <c r="CD237" s="39"/>
      <c r="CE237" s="39"/>
      <c r="CF237" s="39"/>
      <c r="CG237" s="39"/>
      <c r="CH237" s="39"/>
      <c r="CI237" s="39"/>
      <c r="CJ237" s="39"/>
      <c r="CK237" s="39"/>
      <c r="CL237" s="39"/>
      <c r="CM237" s="39"/>
      <c r="CN237" s="39"/>
      <c r="CO237" s="39"/>
      <c r="CP237" s="39"/>
      <c r="CQ237" s="39"/>
      <c r="CR237" s="39"/>
      <c r="CS237" s="39"/>
      <c r="CT237" s="39"/>
      <c r="CU237" s="39"/>
      <c r="CV237" s="39"/>
      <c r="CW237" s="39"/>
      <c r="CX237" s="39"/>
      <c r="CY237" s="39"/>
      <c r="CZ237" s="39"/>
      <c r="DA237" s="39"/>
      <c r="DB237" s="39"/>
      <c r="DC237" s="39"/>
      <c r="DD237" s="39"/>
      <c r="DE237" s="39"/>
      <c r="DF237" s="39"/>
      <c r="DG237" s="39"/>
      <c r="DH237" s="39"/>
      <c r="DI237" s="39"/>
      <c r="DJ237" s="39"/>
      <c r="DK237" s="39"/>
      <c r="DL237" s="39"/>
      <c r="DM237" s="39"/>
      <c r="DN237" s="39"/>
      <c r="DO237" s="39"/>
      <c r="DP237" s="39"/>
      <c r="DQ237" s="39"/>
      <c r="DR237" s="39"/>
      <c r="DS237" s="39"/>
      <c r="DT237" s="39"/>
      <c r="DU237" s="39"/>
      <c r="DV237" s="39"/>
      <c r="DW237" s="39"/>
      <c r="DX237" s="39"/>
      <c r="DY237" s="39"/>
      <c r="DZ237" s="39"/>
      <c r="EA237" s="39"/>
      <c r="EB237" s="39"/>
      <c r="EC237" s="39"/>
      <c r="ED237" s="39"/>
      <c r="EE237" s="39"/>
      <c r="EF237" s="39"/>
      <c r="EG237" s="39"/>
      <c r="EH237" s="39"/>
      <c r="EI237" s="39"/>
      <c r="EJ237" s="39"/>
      <c r="EK237" s="39"/>
      <c r="EL237" s="39"/>
      <c r="EM237" s="39"/>
      <c r="EN237" s="39"/>
      <c r="EO237" s="39"/>
      <c r="EP237" s="39"/>
      <c r="EQ237" s="39"/>
      <c r="ER237" s="39"/>
      <c r="ES237" s="39"/>
      <c r="ET237" s="39"/>
      <c r="EU237" s="39"/>
      <c r="EV237" s="39"/>
      <c r="EW237" s="39"/>
      <c r="EX237" s="39"/>
      <c r="EY237" s="39"/>
      <c r="EZ237" s="39"/>
      <c r="FA237" s="39"/>
      <c r="FB237" s="39"/>
      <c r="FC237" s="39"/>
      <c r="FD237" s="39"/>
      <c r="FE237" s="39"/>
      <c r="FF237" s="39"/>
      <c r="FG237" s="39"/>
      <c r="FH237" s="39"/>
      <c r="FI237" s="39"/>
      <c r="FJ237" s="39"/>
      <c r="FK237" s="39"/>
      <c r="FL237" s="39"/>
      <c r="FM237" s="39"/>
      <c r="FN237" s="39"/>
      <c r="FO237" s="39"/>
      <c r="FP237" s="39"/>
      <c r="FQ237" s="39"/>
      <c r="FR237" s="39"/>
      <c r="FS237" s="39"/>
      <c r="FT237" s="39"/>
      <c r="FU237" s="39"/>
      <c r="FV237" s="39"/>
      <c r="FW237" s="39"/>
      <c r="FX237" s="39"/>
      <c r="FY237" s="39"/>
      <c r="FZ237" s="39"/>
      <c r="GA237" s="39"/>
      <c r="GB237" s="39"/>
      <c r="GC237" s="39"/>
      <c r="GD237" s="39"/>
      <c r="GE237" s="39"/>
      <c r="GF237" s="39"/>
      <c r="GG237" s="39"/>
      <c r="GH237" s="39"/>
      <c r="GI237" s="39"/>
      <c r="GJ237" s="39"/>
      <c r="GK237" s="39"/>
      <c r="GL237" s="39"/>
      <c r="GM237" s="39"/>
      <c r="GN237" s="39"/>
      <c r="GO237" s="39"/>
      <c r="GP237" s="39"/>
      <c r="GQ237" s="39"/>
      <c r="GR237" s="39"/>
      <c r="GS237" s="39"/>
      <c r="GT237" s="39"/>
      <c r="GU237" s="39"/>
      <c r="GV237" s="39"/>
      <c r="GW237" s="39"/>
      <c r="GX237" s="39"/>
      <c r="GY237" s="39"/>
      <c r="GZ237" s="39"/>
      <c r="HA237" s="39"/>
      <c r="HB237" s="39"/>
      <c r="HC237" s="39"/>
      <c r="HD237" s="39"/>
      <c r="HE237" s="39"/>
      <c r="HF237" s="39"/>
      <c r="HG237" s="39"/>
      <c r="HH237" s="39"/>
      <c r="HI237" s="39"/>
      <c r="HJ237" s="39"/>
      <c r="HK237" s="39"/>
      <c r="HL237" s="39"/>
      <c r="HM237" s="39"/>
      <c r="HN237" s="39"/>
      <c r="HO237" s="39"/>
      <c r="HP237" s="39"/>
      <c r="HQ237" s="39"/>
      <c r="HR237" s="39"/>
      <c r="HS237" s="39"/>
      <c r="HT237" s="39"/>
      <c r="HU237" s="39"/>
      <c r="HV237" s="39"/>
      <c r="HW237" s="39"/>
      <c r="HX237" s="39"/>
      <c r="HY237" s="39"/>
      <c r="HZ237" s="39"/>
      <c r="IA237" s="39"/>
      <c r="IB237" s="39"/>
      <c r="IC237" s="39"/>
      <c r="ID237" s="39"/>
      <c r="IE237" s="39"/>
      <c r="IF237" s="39"/>
      <c r="IG237" s="39"/>
      <c r="IH237" s="39"/>
      <c r="II237" s="39"/>
      <c r="IJ237" s="39"/>
      <c r="IK237" s="39"/>
      <c r="IL237" s="39"/>
      <c r="IM237" s="39"/>
      <c r="IN237" s="39"/>
      <c r="IO237" s="39"/>
      <c r="IP237" s="39"/>
      <c r="IQ237" s="39"/>
      <c r="IR237" s="39"/>
      <c r="IS237" s="39"/>
      <c r="IT237" s="39"/>
      <c r="IU237" s="39"/>
      <c r="IV237" s="39"/>
      <c r="IW237" s="39"/>
    </row>
    <row r="238" customFormat="false" ht="12.95" hidden="false" customHeight="true" outlineLevel="0" collapsed="false">
      <c r="A238" s="95" t="s">
        <v>431</v>
      </c>
      <c r="B238" s="39"/>
      <c r="C238" s="39"/>
      <c r="D238" s="96"/>
      <c r="E238" s="39"/>
      <c r="F238" s="39"/>
      <c r="G238" s="39"/>
      <c r="H238" s="39"/>
      <c r="I238" s="39"/>
      <c r="J238" s="39"/>
      <c r="K238" s="71"/>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0"/>
      <c r="AX238" s="71"/>
      <c r="AY238" s="71"/>
      <c r="AZ238" s="39"/>
      <c r="BA238" s="39"/>
      <c r="BB238" s="39"/>
      <c r="BC238" s="39"/>
      <c r="BD238" s="39"/>
      <c r="BE238" s="39"/>
      <c r="BF238" s="39"/>
      <c r="BG238" s="48"/>
      <c r="BH238" s="39"/>
      <c r="BI238" s="39"/>
      <c r="BJ238" s="39"/>
      <c r="BK238" s="39"/>
      <c r="BL238" s="39"/>
      <c r="BM238" s="39"/>
      <c r="BN238" s="39"/>
      <c r="BO238" s="39"/>
      <c r="BP238" s="39"/>
      <c r="BQ238" s="39"/>
      <c r="BR238" s="39"/>
      <c r="BS238" s="39"/>
      <c r="BT238" s="39"/>
      <c r="BU238" s="39"/>
      <c r="BV238" s="39"/>
      <c r="BW238" s="39"/>
      <c r="BX238" s="39"/>
      <c r="BY238" s="39"/>
      <c r="BZ238" s="39"/>
      <c r="CA238" s="39"/>
      <c r="CB238" s="39"/>
      <c r="CC238" s="39"/>
      <c r="CD238" s="39"/>
      <c r="CE238" s="39"/>
      <c r="CF238" s="39"/>
      <c r="CG238" s="39"/>
      <c r="CH238" s="39"/>
      <c r="CI238" s="39"/>
      <c r="CJ238" s="39"/>
      <c r="CK238" s="39"/>
      <c r="CL238" s="39"/>
      <c r="CM238" s="39"/>
      <c r="CN238" s="39"/>
      <c r="CO238" s="39"/>
      <c r="CP238" s="39"/>
      <c r="CQ238" s="39"/>
      <c r="CR238" s="39"/>
      <c r="CS238" s="39"/>
      <c r="CT238" s="39"/>
      <c r="CU238" s="39"/>
      <c r="CV238" s="39"/>
      <c r="CW238" s="39"/>
      <c r="CX238" s="39"/>
      <c r="CY238" s="39"/>
      <c r="CZ238" s="39"/>
      <c r="DA238" s="39"/>
      <c r="DB238" s="39"/>
      <c r="DC238" s="39"/>
      <c r="DD238" s="39"/>
      <c r="DE238" s="39"/>
      <c r="DF238" s="39"/>
      <c r="DG238" s="39"/>
      <c r="DH238" s="39"/>
      <c r="DI238" s="39"/>
      <c r="DJ238" s="39"/>
      <c r="DK238" s="39"/>
      <c r="DL238" s="39"/>
      <c r="DM238" s="39"/>
      <c r="DN238" s="39"/>
      <c r="DO238" s="39"/>
      <c r="DP238" s="39"/>
      <c r="DQ238" s="39"/>
      <c r="DR238" s="39"/>
      <c r="DS238" s="39"/>
      <c r="DT238" s="39"/>
      <c r="DU238" s="39"/>
      <c r="DV238" s="39"/>
      <c r="DW238" s="39"/>
      <c r="DX238" s="39"/>
      <c r="DY238" s="39"/>
      <c r="DZ238" s="39"/>
      <c r="EA238" s="39"/>
      <c r="EB238" s="39"/>
      <c r="EC238" s="39"/>
      <c r="ED238" s="39"/>
      <c r="EE238" s="39"/>
      <c r="EF238" s="39"/>
      <c r="EG238" s="39"/>
      <c r="EH238" s="39"/>
      <c r="EI238" s="39"/>
      <c r="EJ238" s="39"/>
      <c r="EK238" s="39"/>
      <c r="EL238" s="39"/>
      <c r="EM238" s="39"/>
      <c r="EN238" s="39"/>
      <c r="EO238" s="39"/>
      <c r="EP238" s="39"/>
      <c r="EQ238" s="39"/>
      <c r="ER238" s="39"/>
      <c r="ES238" s="39"/>
      <c r="ET238" s="39"/>
      <c r="EU238" s="39"/>
      <c r="EV238" s="39"/>
      <c r="EW238" s="39"/>
      <c r="EX238" s="39"/>
      <c r="EY238" s="39"/>
      <c r="EZ238" s="39"/>
      <c r="FA238" s="39"/>
      <c r="FB238" s="39"/>
      <c r="FC238" s="39"/>
      <c r="FD238" s="39"/>
      <c r="FE238" s="39"/>
      <c r="FF238" s="39"/>
      <c r="FG238" s="39"/>
      <c r="FH238" s="39"/>
      <c r="FI238" s="39"/>
      <c r="FJ238" s="39"/>
      <c r="FK238" s="39"/>
      <c r="FL238" s="39"/>
      <c r="FM238" s="39"/>
      <c r="FN238" s="39"/>
      <c r="FO238" s="39"/>
      <c r="FP238" s="39"/>
      <c r="FQ238" s="39"/>
      <c r="FR238" s="39"/>
      <c r="FS238" s="39"/>
      <c r="FT238" s="39"/>
      <c r="FU238" s="39"/>
      <c r="FV238" s="39"/>
      <c r="FW238" s="39"/>
      <c r="FX238" s="39"/>
      <c r="FY238" s="39"/>
      <c r="FZ238" s="39"/>
      <c r="GA238" s="39"/>
      <c r="GB238" s="39"/>
      <c r="GC238" s="39"/>
      <c r="GD238" s="39"/>
      <c r="GE238" s="39"/>
      <c r="GF238" s="39"/>
      <c r="GG238" s="39"/>
      <c r="GH238" s="39"/>
      <c r="GI238" s="39"/>
      <c r="GJ238" s="39"/>
      <c r="GK238" s="39"/>
      <c r="GL238" s="39"/>
      <c r="GM238" s="39"/>
      <c r="GN238" s="39"/>
      <c r="GO238" s="39"/>
      <c r="GP238" s="39"/>
      <c r="GQ238" s="39"/>
      <c r="GR238" s="39"/>
      <c r="GS238" s="39"/>
      <c r="GT238" s="39"/>
      <c r="GU238" s="39"/>
      <c r="GV238" s="39"/>
      <c r="GW238" s="39"/>
      <c r="GX238" s="39"/>
      <c r="GY238" s="39"/>
      <c r="GZ238" s="39"/>
      <c r="HA238" s="39"/>
      <c r="HB238" s="39"/>
      <c r="HC238" s="39"/>
      <c r="HD238" s="39"/>
      <c r="HE238" s="39"/>
      <c r="HF238" s="39"/>
      <c r="HG238" s="39"/>
      <c r="HH238" s="39"/>
      <c r="HI238" s="39"/>
      <c r="HJ238" s="39"/>
      <c r="HK238" s="39"/>
      <c r="HL238" s="39"/>
      <c r="HM238" s="39"/>
      <c r="HN238" s="39"/>
      <c r="HO238" s="39"/>
      <c r="HP238" s="39"/>
      <c r="HQ238" s="39"/>
      <c r="HR238" s="39"/>
      <c r="HS238" s="39"/>
      <c r="HT238" s="39"/>
      <c r="HU238" s="39"/>
      <c r="HV238" s="39"/>
      <c r="HW238" s="39"/>
      <c r="HX238" s="39"/>
      <c r="HY238" s="39"/>
      <c r="HZ238" s="39"/>
      <c r="IA238" s="39"/>
      <c r="IB238" s="39"/>
      <c r="IC238" s="39"/>
      <c r="ID238" s="39"/>
      <c r="IE238" s="39"/>
      <c r="IF238" s="39"/>
      <c r="IG238" s="39"/>
      <c r="IH238" s="39"/>
      <c r="II238" s="39"/>
      <c r="IJ238" s="39"/>
      <c r="IK238" s="39"/>
      <c r="IL238" s="39"/>
      <c r="IM238" s="39"/>
      <c r="IN238" s="39"/>
      <c r="IO238" s="39"/>
      <c r="IP238" s="39"/>
      <c r="IQ238" s="39"/>
      <c r="IR238" s="39"/>
      <c r="IS238" s="39"/>
      <c r="IT238" s="39"/>
      <c r="IU238" s="39"/>
      <c r="IV238" s="39"/>
      <c r="IW238" s="39"/>
    </row>
    <row r="239" customFormat="false" ht="12.95" hidden="false" customHeight="true" outlineLevel="0" collapsed="false">
      <c r="A239" s="37" t="str">
        <f aca="false">+'CCs # Master'!A108</f>
        <v>0011</v>
      </c>
      <c r="B239" s="39" t="str">
        <f aca="false">+'CCs # Master'!B108</f>
        <v>EARN Risk Management</v>
      </c>
      <c r="C239" s="39" t="str">
        <f aca="false">+'CCs # Master'!C108</f>
        <v>Bouillion, Jim</v>
      </c>
      <c r="D239" s="96" t="n">
        <f aca="false">+'CCs # Master'!D108</f>
        <v>100225</v>
      </c>
      <c r="E239" s="39" t="n">
        <f aca="false">+'CCs # Master'!E108</f>
        <v>1695</v>
      </c>
      <c r="F239" s="39" t="n">
        <f aca="false">+'CCs # Master'!F108</f>
        <v>248</v>
      </c>
      <c r="G239" s="39" t="n">
        <f aca="false">+'CCs # Master'!G108</f>
        <v>15</v>
      </c>
      <c r="H239" s="39" t="n">
        <f aca="false">+'CCs # Master'!H108</f>
        <v>287</v>
      </c>
      <c r="I239" s="39" t="n">
        <f aca="false">+'CCs # Master'!I108</f>
        <v>210</v>
      </c>
      <c r="J239" s="39" t="n">
        <f aca="false">+'CCs # Master'!J108</f>
        <v>13</v>
      </c>
      <c r="K239" s="71" t="n">
        <f aca="false">SUM(E239:J239)</f>
        <v>2468</v>
      </c>
      <c r="L239" s="39"/>
      <c r="M239" s="39" t="str">
        <f aca="false">+'CCs # Master'!M108</f>
        <v>Anticipated Resources</v>
      </c>
      <c r="N239" s="39" t="n">
        <f aca="false">+'CCs # Master'!AW108</f>
        <v>0</v>
      </c>
      <c r="O239" s="39" t="n">
        <v>0</v>
      </c>
      <c r="P239" s="39" t="n">
        <f aca="false">+'CCs # Master'!N108</f>
        <v>78</v>
      </c>
      <c r="Q239" s="39" t="n">
        <f aca="false">+'CCs # Master'!O108</f>
        <v>517</v>
      </c>
      <c r="R239" s="39" t="n">
        <f aca="false">+'CCs # Master'!P108</f>
        <v>26</v>
      </c>
      <c r="S239" s="39" t="n">
        <f aca="false">+'CCs # Master'!Q108</f>
        <v>68</v>
      </c>
      <c r="T239" s="39" t="n">
        <f aca="false">+'CCs # Master'!R108</f>
        <v>1</v>
      </c>
      <c r="U239" s="39" t="n">
        <f aca="false">+'CCs # Master'!S108</f>
        <v>0</v>
      </c>
      <c r="V239" s="39" t="n">
        <f aca="false">+'CCs # Master'!T108</f>
        <v>0</v>
      </c>
      <c r="W239" s="39" t="n">
        <f aca="false">+'CCs # Master'!U108</f>
        <v>262</v>
      </c>
      <c r="X239" s="39" t="n">
        <f aca="false">+'CCs # Master'!V108</f>
        <v>8</v>
      </c>
      <c r="Y239" s="39" t="n">
        <f aca="false">+'CCs # Master'!W108</f>
        <v>8</v>
      </c>
      <c r="Z239" s="39" t="n">
        <f aca="false">+'CCs # Master'!X108</f>
        <v>391</v>
      </c>
      <c r="AA239" s="39" t="n">
        <f aca="false">+'CCs # Master'!Y108</f>
        <v>0</v>
      </c>
      <c r="AB239" s="39" t="n">
        <f aca="false">+'CCs # Master'!Z108</f>
        <v>137</v>
      </c>
      <c r="AC239" s="39" t="n">
        <f aca="false">+'CCs # Master'!AA108</f>
        <v>7</v>
      </c>
      <c r="AD239" s="39" t="n">
        <f aca="false">+'CCs # Master'!AB108</f>
        <v>142</v>
      </c>
      <c r="AE239" s="39" t="n">
        <f aca="false">+'CCs # Master'!AC108</f>
        <v>3</v>
      </c>
      <c r="AF239" s="39" t="n">
        <f aca="false">+'CCs # Master'!AD108</f>
        <v>87</v>
      </c>
      <c r="AG239" s="39" t="n">
        <f aca="false">+'CCs # Master'!AE108</f>
        <v>45</v>
      </c>
      <c r="AH239" s="39" t="n">
        <f aca="false">+'CCs # Master'!AF108</f>
        <v>37</v>
      </c>
      <c r="AI239" s="39" t="n">
        <f aca="false">+'CCs # Master'!AG108</f>
        <v>0</v>
      </c>
      <c r="AJ239" s="39" t="n">
        <f aca="false">+'CCs # Master'!AH108</f>
        <v>134</v>
      </c>
      <c r="AK239" s="39" t="n">
        <f aca="false">+'CCs # Master'!AI108</f>
        <v>134</v>
      </c>
      <c r="AL239" s="39" t="n">
        <f aca="false">+'CCs # Master'!AJ108</f>
        <v>134</v>
      </c>
      <c r="AM239" s="39" t="n">
        <f aca="false">+'CCs # Master'!AK108</f>
        <v>4</v>
      </c>
      <c r="AN239" s="39" t="n">
        <f aca="false">+'CCs # Master'!AL108</f>
        <v>79</v>
      </c>
      <c r="AO239" s="39" t="n">
        <f aca="false">+'CCs # Master'!AM108</f>
        <v>24</v>
      </c>
      <c r="AP239" s="39" t="n">
        <f aca="false">+'CCs # Master'!AN108</f>
        <v>0</v>
      </c>
      <c r="AQ239" s="39" t="n">
        <f aca="false">+'CCs # Master'!AO108</f>
        <v>124</v>
      </c>
      <c r="AR239" s="39" t="n">
        <f aca="false">+'CCs # Master'!AP108</f>
        <v>18</v>
      </c>
      <c r="AS239" s="39" t="n">
        <f aca="false">+'CCs # Master'!AQ108</f>
        <v>0</v>
      </c>
      <c r="AT239" s="39" t="n">
        <f aca="false">+'CCs # Master'!AR108</f>
        <v>0</v>
      </c>
      <c r="AU239" s="39" t="n">
        <f aca="false">+'CCs # Master'!AS108</f>
        <v>0</v>
      </c>
      <c r="AV239" s="39" t="n">
        <f aca="false">+'CCs # Master'!AT108</f>
        <v>0</v>
      </c>
      <c r="AW239" s="0"/>
      <c r="AX239" s="71" t="n">
        <f aca="false">SUM(N239:AW239)</f>
        <v>2468</v>
      </c>
      <c r="AY239" s="71" t="n">
        <f aca="false">+K239-AX239</f>
        <v>0</v>
      </c>
      <c r="AZ239" s="39"/>
      <c r="BA239" s="39" t="n">
        <f aca="false">+P239+Q239+T239+U239+V239+W239+X239+Y239</f>
        <v>874</v>
      </c>
      <c r="BB239" s="39" t="n">
        <f aca="false">N239</f>
        <v>0</v>
      </c>
      <c r="BC239" s="39" t="n">
        <f aca="false">SUM(P239:AW239)</f>
        <v>2468</v>
      </c>
      <c r="BD239" s="39"/>
      <c r="BE239" s="39" t="n">
        <f aca="false">SUM(BB239:BC239)</f>
        <v>2468</v>
      </c>
      <c r="BF239" s="39"/>
      <c r="BG239" s="48" t="n">
        <f aca="false">SUM(N239:AW239)</f>
        <v>2468</v>
      </c>
      <c r="BH239" s="39" t="n">
        <f aca="false">BE239-BG239</f>
        <v>0</v>
      </c>
      <c r="BI239" s="39"/>
      <c r="BJ239" s="39"/>
      <c r="BK239" s="39"/>
      <c r="BL239" s="39"/>
      <c r="BM239" s="39"/>
      <c r="BN239" s="39"/>
      <c r="BO239" s="39"/>
      <c r="BP239" s="39"/>
      <c r="BQ239" s="39"/>
      <c r="BR239" s="39"/>
      <c r="BS239" s="39"/>
      <c r="BT239" s="39"/>
      <c r="BU239" s="39"/>
      <c r="BV239" s="39"/>
      <c r="BW239" s="39"/>
      <c r="BX239" s="39"/>
      <c r="BY239" s="39"/>
      <c r="BZ239" s="39"/>
      <c r="CA239" s="39"/>
      <c r="CB239" s="39"/>
      <c r="CC239" s="39"/>
      <c r="CD239" s="39"/>
      <c r="CE239" s="39"/>
      <c r="CF239" s="39"/>
      <c r="CG239" s="39"/>
      <c r="CH239" s="39"/>
      <c r="CI239" s="39"/>
      <c r="CJ239" s="39"/>
      <c r="CK239" s="39"/>
      <c r="CL239" s="39"/>
      <c r="CM239" s="39"/>
      <c r="CN239" s="39"/>
      <c r="CO239" s="39"/>
      <c r="CP239" s="39"/>
      <c r="CQ239" s="39"/>
      <c r="CR239" s="39"/>
      <c r="CS239" s="39"/>
      <c r="CT239" s="39"/>
      <c r="CU239" s="39"/>
      <c r="CV239" s="39"/>
      <c r="CW239" s="39"/>
      <c r="CX239" s="39"/>
      <c r="CY239" s="39"/>
      <c r="CZ239" s="39"/>
      <c r="DA239" s="39"/>
      <c r="DB239" s="39"/>
      <c r="DC239" s="39"/>
      <c r="DD239" s="39"/>
      <c r="DE239" s="39"/>
      <c r="DF239" s="39"/>
      <c r="DG239" s="39"/>
      <c r="DH239" s="39"/>
      <c r="DI239" s="39"/>
      <c r="DJ239" s="39"/>
      <c r="DK239" s="39"/>
      <c r="DL239" s="39"/>
      <c r="DM239" s="39"/>
      <c r="DN239" s="39"/>
      <c r="DO239" s="39"/>
      <c r="DP239" s="39"/>
      <c r="DQ239" s="39"/>
      <c r="DR239" s="39"/>
      <c r="DS239" s="39"/>
      <c r="DT239" s="39"/>
      <c r="DU239" s="39"/>
      <c r="DV239" s="39"/>
      <c r="DW239" s="39"/>
      <c r="DX239" s="39"/>
      <c r="DY239" s="39"/>
      <c r="DZ239" s="39"/>
      <c r="EA239" s="39"/>
      <c r="EB239" s="39"/>
      <c r="EC239" s="39"/>
      <c r="ED239" s="39"/>
      <c r="EE239" s="39"/>
      <c r="EF239" s="39"/>
      <c r="EG239" s="39"/>
      <c r="EH239" s="39"/>
      <c r="EI239" s="39"/>
      <c r="EJ239" s="39"/>
      <c r="EK239" s="39"/>
      <c r="EL239" s="39"/>
      <c r="EM239" s="39"/>
      <c r="EN239" s="39"/>
      <c r="EO239" s="39"/>
      <c r="EP239" s="39"/>
      <c r="EQ239" s="39"/>
      <c r="ER239" s="39"/>
      <c r="ES239" s="39"/>
      <c r="ET239" s="39"/>
      <c r="EU239" s="39"/>
      <c r="EV239" s="39"/>
      <c r="EW239" s="39"/>
      <c r="EX239" s="39"/>
      <c r="EY239" s="39"/>
      <c r="EZ239" s="39"/>
      <c r="FA239" s="39"/>
      <c r="FB239" s="39"/>
      <c r="FC239" s="39"/>
      <c r="FD239" s="39"/>
      <c r="FE239" s="39"/>
      <c r="FF239" s="39"/>
      <c r="FG239" s="39"/>
      <c r="FH239" s="39"/>
      <c r="FI239" s="39"/>
      <c r="FJ239" s="39"/>
      <c r="FK239" s="39"/>
      <c r="FL239" s="39"/>
      <c r="FM239" s="39"/>
      <c r="FN239" s="39"/>
      <c r="FO239" s="39"/>
      <c r="FP239" s="39"/>
      <c r="FQ239" s="39"/>
      <c r="FR239" s="39"/>
      <c r="FS239" s="39"/>
      <c r="FT239" s="39"/>
      <c r="FU239" s="39"/>
      <c r="FV239" s="39"/>
      <c r="FW239" s="39"/>
      <c r="FX239" s="39"/>
      <c r="FY239" s="39"/>
      <c r="FZ239" s="39"/>
      <c r="GA239" s="39"/>
      <c r="GB239" s="39"/>
      <c r="GC239" s="39"/>
      <c r="GD239" s="39"/>
      <c r="GE239" s="39"/>
      <c r="GF239" s="39"/>
      <c r="GG239" s="39"/>
      <c r="GH239" s="39"/>
      <c r="GI239" s="39"/>
      <c r="GJ239" s="39"/>
      <c r="GK239" s="39"/>
      <c r="GL239" s="39"/>
      <c r="GM239" s="39"/>
      <c r="GN239" s="39"/>
      <c r="GO239" s="39"/>
      <c r="GP239" s="39"/>
      <c r="GQ239" s="39"/>
      <c r="GR239" s="39"/>
      <c r="GS239" s="39"/>
      <c r="GT239" s="39"/>
      <c r="GU239" s="39"/>
      <c r="GV239" s="39"/>
      <c r="GW239" s="39"/>
      <c r="GX239" s="39"/>
      <c r="GY239" s="39"/>
      <c r="GZ239" s="39"/>
      <c r="HA239" s="39"/>
      <c r="HB239" s="39"/>
      <c r="HC239" s="39"/>
      <c r="HD239" s="39"/>
      <c r="HE239" s="39"/>
      <c r="HF239" s="39"/>
      <c r="HG239" s="39"/>
      <c r="HH239" s="39"/>
      <c r="HI239" s="39"/>
      <c r="HJ239" s="39"/>
      <c r="HK239" s="39"/>
      <c r="HL239" s="39"/>
      <c r="HM239" s="39"/>
      <c r="HN239" s="39"/>
      <c r="HO239" s="39"/>
      <c r="HP239" s="39"/>
      <c r="HQ239" s="39"/>
      <c r="HR239" s="39"/>
      <c r="HS239" s="39"/>
      <c r="HT239" s="39"/>
      <c r="HU239" s="39"/>
      <c r="HV239" s="39"/>
      <c r="HW239" s="39"/>
      <c r="HX239" s="39"/>
      <c r="HY239" s="39"/>
      <c r="HZ239" s="39"/>
      <c r="IA239" s="39"/>
      <c r="IB239" s="39"/>
      <c r="IC239" s="39"/>
      <c r="ID239" s="39"/>
      <c r="IE239" s="39"/>
      <c r="IF239" s="39"/>
      <c r="IG239" s="39"/>
      <c r="IH239" s="39"/>
      <c r="II239" s="39"/>
      <c r="IJ239" s="39"/>
      <c r="IK239" s="39"/>
      <c r="IL239" s="39"/>
      <c r="IM239" s="39"/>
      <c r="IN239" s="39"/>
      <c r="IO239" s="39"/>
      <c r="IP239" s="39"/>
      <c r="IQ239" s="39"/>
      <c r="IR239" s="39"/>
      <c r="IS239" s="39"/>
      <c r="IT239" s="39"/>
      <c r="IU239" s="39"/>
      <c r="IV239" s="39"/>
      <c r="IW239" s="39"/>
    </row>
    <row r="240" customFormat="false" ht="12.95" hidden="false" customHeight="true" outlineLevel="0" collapsed="false">
      <c r="A240" s="37" t="n">
        <f aca="false">+'CCs # Master'!A131</f>
        <v>11</v>
      </c>
      <c r="B240" s="39" t="str">
        <f aca="false">+'CCs # Master'!B131</f>
        <v>Corporate Insurance Premiums</v>
      </c>
      <c r="C240" s="39" t="str">
        <f aca="false">+'CCs # Master'!C131</f>
        <v>Bouillion, Jim</v>
      </c>
      <c r="D240" s="96" t="n">
        <f aca="false">+'CCs # Master'!D131</f>
        <v>100226</v>
      </c>
      <c r="E240" s="39" t="n">
        <f aca="false">+'CCs # Master'!E131</f>
        <v>0</v>
      </c>
      <c r="F240" s="39" t="n">
        <f aca="false">+'CCs # Master'!F131</f>
        <v>0</v>
      </c>
      <c r="G240" s="39" t="n">
        <f aca="false">+'CCs # Master'!G131</f>
        <v>0</v>
      </c>
      <c r="H240" s="39" t="n">
        <f aca="false">+'CCs # Master'!H131</f>
        <v>0</v>
      </c>
      <c r="I240" s="39" t="n">
        <f aca="false">+'CCs # Master'!I131</f>
        <v>0</v>
      </c>
      <c r="J240" s="39" t="n">
        <f aca="false">+'CCs # Master'!J131</f>
        <v>34444</v>
      </c>
      <c r="K240" s="71" t="n">
        <f aca="false">SUM(E240:J240)</f>
        <v>34444</v>
      </c>
      <c r="L240" s="39"/>
      <c r="M240" s="39" t="str">
        <f aca="false">+'CCs # Master'!M131</f>
        <v>Anticipated Resources</v>
      </c>
      <c r="N240" s="39" t="n">
        <f aca="false">+'CCs # Master'!AW131</f>
        <v>2097</v>
      </c>
      <c r="O240" s="39" t="n">
        <v>0</v>
      </c>
      <c r="P240" s="39" t="n">
        <f aca="false">+'CCs # Master'!N131</f>
        <v>1393</v>
      </c>
      <c r="Q240" s="39" t="n">
        <f aca="false">+'CCs # Master'!O131</f>
        <v>6008</v>
      </c>
      <c r="R240" s="39" t="n">
        <f aca="false">+'CCs # Master'!P131</f>
        <v>420</v>
      </c>
      <c r="S240" s="39" t="n">
        <f aca="false">+'CCs # Master'!Q131</f>
        <v>999</v>
      </c>
      <c r="T240" s="39" t="n">
        <f aca="false">+'CCs # Master'!R131</f>
        <v>21</v>
      </c>
      <c r="U240" s="39" t="n">
        <f aca="false">+'CCs # Master'!S131</f>
        <v>460</v>
      </c>
      <c r="V240" s="39" t="n">
        <f aca="false">+'CCs # Master'!T131</f>
        <v>8</v>
      </c>
      <c r="W240" s="39" t="n">
        <f aca="false">+'CCs # Master'!U131</f>
        <v>5241</v>
      </c>
      <c r="X240" s="39" t="n">
        <f aca="false">+'CCs # Master'!V131</f>
        <v>155</v>
      </c>
      <c r="Y240" s="39" t="n">
        <f aca="false">+'CCs # Master'!W131</f>
        <v>85</v>
      </c>
      <c r="Z240" s="39" t="n">
        <f aca="false">+'CCs # Master'!X131</f>
        <v>7600</v>
      </c>
      <c r="AA240" s="39" t="n">
        <f aca="false">+'CCs # Master'!Y131</f>
        <v>10</v>
      </c>
      <c r="AB240" s="39" t="n">
        <f aca="false">+'CCs # Master'!Z131</f>
        <v>2019</v>
      </c>
      <c r="AC240" s="39" t="n">
        <f aca="false">+'CCs # Master'!AA131</f>
        <v>152</v>
      </c>
      <c r="AD240" s="39" t="n">
        <f aca="false">+'CCs # Master'!AB131</f>
        <v>903</v>
      </c>
      <c r="AE240" s="39" t="n">
        <f aca="false">+'CCs # Master'!AC131</f>
        <v>63</v>
      </c>
      <c r="AF240" s="39" t="n">
        <f aca="false">+'CCs # Master'!AD131</f>
        <v>1514</v>
      </c>
      <c r="AG240" s="39" t="n">
        <f aca="false">+'CCs # Master'!AE131</f>
        <v>949</v>
      </c>
      <c r="AH240" s="39" t="n">
        <f aca="false">+'CCs # Master'!AF131</f>
        <v>1045</v>
      </c>
      <c r="AI240" s="39" t="n">
        <f aca="false">+'CCs # Master'!AG131</f>
        <v>0</v>
      </c>
      <c r="AJ240" s="39" t="n">
        <f aca="false">+'CCs # Master'!AH131</f>
        <v>155</v>
      </c>
      <c r="AK240" s="39" t="n">
        <f aca="false">+'CCs # Master'!AI131</f>
        <v>218</v>
      </c>
      <c r="AL240" s="39" t="n">
        <f aca="false">+'CCs # Master'!AJ131</f>
        <v>131</v>
      </c>
      <c r="AM240" s="39" t="n">
        <f aca="false">+'CCs # Master'!AK131</f>
        <v>85</v>
      </c>
      <c r="AN240" s="39" t="n">
        <f aca="false">+'CCs # Master'!AL131</f>
        <v>591</v>
      </c>
      <c r="AO240" s="39" t="n">
        <f aca="false">+'CCs # Master'!AM131</f>
        <v>508</v>
      </c>
      <c r="AP240" s="39" t="n">
        <f aca="false">+'CCs # Master'!AN131</f>
        <v>0</v>
      </c>
      <c r="AQ240" s="39" t="n">
        <f aca="false">+'CCs # Master'!AO131</f>
        <v>1257</v>
      </c>
      <c r="AR240" s="39" t="n">
        <f aca="false">+'CCs # Master'!AP131</f>
        <v>357</v>
      </c>
      <c r="AS240" s="39" t="n">
        <f aca="false">+'CCs # Master'!AQ131</f>
        <v>0</v>
      </c>
      <c r="AT240" s="39" t="n">
        <f aca="false">+'CCs # Master'!AR131</f>
        <v>0</v>
      </c>
      <c r="AU240" s="39" t="n">
        <f aca="false">+'CCs # Master'!AS131</f>
        <v>0</v>
      </c>
      <c r="AV240" s="39" t="n">
        <f aca="false">+'CCs # Master'!AT131</f>
        <v>0</v>
      </c>
      <c r="AW240" s="0"/>
      <c r="AX240" s="71" t="n">
        <f aca="false">SUM(N240:AW240)</f>
        <v>34444</v>
      </c>
      <c r="AY240" s="71" t="n">
        <f aca="false">+K240-AX240</f>
        <v>0</v>
      </c>
      <c r="AZ240" s="39"/>
      <c r="BA240" s="39" t="n">
        <f aca="false">+P240+Q240+T240+U240+V240+W240+X240+Y240</f>
        <v>13371</v>
      </c>
      <c r="BB240" s="39" t="n">
        <f aca="false">N240</f>
        <v>2097</v>
      </c>
      <c r="BC240" s="39" t="n">
        <f aca="false">SUM(P240:AW240)</f>
        <v>32347</v>
      </c>
      <c r="BD240" s="39"/>
      <c r="BE240" s="39" t="n">
        <f aca="false">SUM(BB240:BC240)</f>
        <v>34444</v>
      </c>
      <c r="BF240" s="39"/>
      <c r="BG240" s="48" t="n">
        <f aca="false">SUM(N240:AW240)</f>
        <v>34444</v>
      </c>
      <c r="BH240" s="39" t="n">
        <f aca="false">BE240-BG240</f>
        <v>0</v>
      </c>
      <c r="BI240" s="39"/>
      <c r="BJ240" s="39"/>
      <c r="BK240" s="39"/>
      <c r="BL240" s="39"/>
      <c r="BM240" s="39"/>
      <c r="BN240" s="39"/>
      <c r="BO240" s="39"/>
      <c r="BP240" s="39"/>
      <c r="BQ240" s="39"/>
      <c r="BR240" s="39"/>
      <c r="BS240" s="39"/>
      <c r="BT240" s="39"/>
      <c r="BU240" s="39"/>
      <c r="BV240" s="39"/>
      <c r="BW240" s="39"/>
      <c r="BX240" s="39"/>
      <c r="BY240" s="39"/>
      <c r="BZ240" s="39"/>
      <c r="CA240" s="39"/>
      <c r="CB240" s="39"/>
      <c r="CC240" s="39"/>
      <c r="CD240" s="39"/>
      <c r="CE240" s="39"/>
      <c r="CF240" s="39"/>
      <c r="CG240" s="39"/>
      <c r="CH240" s="39"/>
      <c r="CI240" s="39"/>
      <c r="CJ240" s="39"/>
      <c r="CK240" s="39"/>
      <c r="CL240" s="39"/>
      <c r="CM240" s="39"/>
      <c r="CN240" s="39"/>
      <c r="CO240" s="39"/>
      <c r="CP240" s="39"/>
      <c r="CQ240" s="39"/>
      <c r="CR240" s="39"/>
      <c r="CS240" s="39"/>
      <c r="CT240" s="39"/>
      <c r="CU240" s="39"/>
      <c r="CV240" s="39"/>
      <c r="CW240" s="39"/>
      <c r="CX240" s="39"/>
      <c r="CY240" s="39"/>
      <c r="CZ240" s="39"/>
      <c r="DA240" s="39"/>
      <c r="DB240" s="39"/>
      <c r="DC240" s="39"/>
      <c r="DD240" s="39"/>
      <c r="DE240" s="39"/>
      <c r="DF240" s="39"/>
      <c r="DG240" s="39"/>
      <c r="DH240" s="39"/>
      <c r="DI240" s="39"/>
      <c r="DJ240" s="39"/>
      <c r="DK240" s="39"/>
      <c r="DL240" s="39"/>
      <c r="DM240" s="39"/>
      <c r="DN240" s="39"/>
      <c r="DO240" s="39"/>
      <c r="DP240" s="39"/>
      <c r="DQ240" s="39"/>
      <c r="DR240" s="39"/>
      <c r="DS240" s="39"/>
      <c r="DT240" s="39"/>
      <c r="DU240" s="39"/>
      <c r="DV240" s="39"/>
      <c r="DW240" s="39"/>
      <c r="DX240" s="39"/>
      <c r="DY240" s="39"/>
      <c r="DZ240" s="39"/>
      <c r="EA240" s="39"/>
      <c r="EB240" s="39"/>
      <c r="EC240" s="39"/>
      <c r="ED240" s="39"/>
      <c r="EE240" s="39"/>
      <c r="EF240" s="39"/>
      <c r="EG240" s="39"/>
      <c r="EH240" s="39"/>
      <c r="EI240" s="39"/>
      <c r="EJ240" s="39"/>
      <c r="EK240" s="39"/>
      <c r="EL240" s="39"/>
      <c r="EM240" s="39"/>
      <c r="EN240" s="39"/>
      <c r="EO240" s="39"/>
      <c r="EP240" s="39"/>
      <c r="EQ240" s="39"/>
      <c r="ER240" s="39"/>
      <c r="ES240" s="39"/>
      <c r="ET240" s="39"/>
      <c r="EU240" s="39"/>
      <c r="EV240" s="39"/>
      <c r="EW240" s="39"/>
      <c r="EX240" s="39"/>
      <c r="EY240" s="39"/>
      <c r="EZ240" s="39"/>
      <c r="FA240" s="39"/>
      <c r="FB240" s="39"/>
      <c r="FC240" s="39"/>
      <c r="FD240" s="39"/>
      <c r="FE240" s="39"/>
      <c r="FF240" s="39"/>
      <c r="FG240" s="39"/>
      <c r="FH240" s="39"/>
      <c r="FI240" s="39"/>
      <c r="FJ240" s="39"/>
      <c r="FK240" s="39"/>
      <c r="FL240" s="39"/>
      <c r="FM240" s="39"/>
      <c r="FN240" s="39"/>
      <c r="FO240" s="39"/>
      <c r="FP240" s="39"/>
      <c r="FQ240" s="39"/>
      <c r="FR240" s="39"/>
      <c r="FS240" s="39"/>
      <c r="FT240" s="39"/>
      <c r="FU240" s="39"/>
      <c r="FV240" s="39"/>
      <c r="FW240" s="39"/>
      <c r="FX240" s="39"/>
      <c r="FY240" s="39"/>
      <c r="FZ240" s="39"/>
      <c r="GA240" s="39"/>
      <c r="GB240" s="39"/>
      <c r="GC240" s="39"/>
      <c r="GD240" s="39"/>
      <c r="GE240" s="39"/>
      <c r="GF240" s="39"/>
      <c r="GG240" s="39"/>
      <c r="GH240" s="39"/>
      <c r="GI240" s="39"/>
      <c r="GJ240" s="39"/>
      <c r="GK240" s="39"/>
      <c r="GL240" s="39"/>
      <c r="GM240" s="39"/>
      <c r="GN240" s="39"/>
      <c r="GO240" s="39"/>
      <c r="GP240" s="39"/>
      <c r="GQ240" s="39"/>
      <c r="GR240" s="39"/>
      <c r="GS240" s="39"/>
      <c r="GT240" s="39"/>
      <c r="GU240" s="39"/>
      <c r="GV240" s="39"/>
      <c r="GW240" s="39"/>
      <c r="GX240" s="39"/>
      <c r="GY240" s="39"/>
      <c r="GZ240" s="39"/>
      <c r="HA240" s="39"/>
      <c r="HB240" s="39"/>
      <c r="HC240" s="39"/>
      <c r="HD240" s="39"/>
      <c r="HE240" s="39"/>
      <c r="HF240" s="39"/>
      <c r="HG240" s="39"/>
      <c r="HH240" s="39"/>
      <c r="HI240" s="39"/>
      <c r="HJ240" s="39"/>
      <c r="HK240" s="39"/>
      <c r="HL240" s="39"/>
      <c r="HM240" s="39"/>
      <c r="HN240" s="39"/>
      <c r="HO240" s="39"/>
      <c r="HP240" s="39"/>
      <c r="HQ240" s="39"/>
      <c r="HR240" s="39"/>
      <c r="HS240" s="39"/>
      <c r="HT240" s="39"/>
      <c r="HU240" s="39"/>
      <c r="HV240" s="39"/>
      <c r="HW240" s="39"/>
      <c r="HX240" s="39"/>
      <c r="HY240" s="39"/>
      <c r="HZ240" s="39"/>
      <c r="IA240" s="39"/>
      <c r="IB240" s="39"/>
      <c r="IC240" s="39"/>
      <c r="ID240" s="39"/>
      <c r="IE240" s="39"/>
      <c r="IF240" s="39"/>
      <c r="IG240" s="39"/>
      <c r="IH240" s="39"/>
      <c r="II240" s="39"/>
      <c r="IJ240" s="39"/>
      <c r="IK240" s="39"/>
      <c r="IL240" s="39"/>
      <c r="IM240" s="39"/>
      <c r="IN240" s="39"/>
      <c r="IO240" s="39"/>
      <c r="IP240" s="39"/>
      <c r="IQ240" s="39"/>
      <c r="IR240" s="39"/>
      <c r="IS240" s="39"/>
      <c r="IT240" s="39"/>
      <c r="IU240" s="39"/>
      <c r="IV240" s="39"/>
      <c r="IW240" s="39"/>
    </row>
    <row r="241" customFormat="false" ht="12.95" hidden="false" customHeight="true" outlineLevel="0" collapsed="false">
      <c r="A241" s="37" t="n">
        <f aca="false">+'CCs # Master'!A132</f>
        <v>11</v>
      </c>
      <c r="B241" s="39" t="str">
        <f aca="false">+'CCs # Master'!B132</f>
        <v>Portfolio Management (Political Risk Insurance)</v>
      </c>
      <c r="C241" s="39" t="str">
        <f aca="false">+'CCs # Master'!C132</f>
        <v>Shedd, Cliff</v>
      </c>
      <c r="D241" s="96" t="n">
        <f aca="false">+'CCs # Master'!D132</f>
        <v>100245</v>
      </c>
      <c r="E241" s="39" t="n">
        <f aca="false">+'CCs # Master'!E132</f>
        <v>262</v>
      </c>
      <c r="F241" s="39" t="n">
        <f aca="false">+'CCs # Master'!F132</f>
        <v>25</v>
      </c>
      <c r="G241" s="39" t="n">
        <f aca="false">+'CCs # Master'!G132</f>
        <v>0</v>
      </c>
      <c r="H241" s="39" t="n">
        <f aca="false">+'CCs # Master'!H132</f>
        <v>50</v>
      </c>
      <c r="I241" s="39" t="n">
        <f aca="false">+'CCs # Master'!I132</f>
        <v>0</v>
      </c>
      <c r="J241" s="39" t="n">
        <f aca="false">+'CCs # Master'!J132</f>
        <v>34900</v>
      </c>
      <c r="K241" s="71" t="n">
        <f aca="false">SUM(E241:J241)</f>
        <v>35237</v>
      </c>
      <c r="L241" s="39"/>
      <c r="M241" s="39" t="str">
        <f aca="false">+'CCs # Master'!M132</f>
        <v>Direct Usage</v>
      </c>
      <c r="N241" s="39" t="n">
        <f aca="false">+'CCs # Master'!AW132</f>
        <v>337</v>
      </c>
      <c r="O241" s="39" t="n">
        <v>0</v>
      </c>
      <c r="P241" s="39" t="n">
        <f aca="false">+'CCs # Master'!N132</f>
        <v>0</v>
      </c>
      <c r="Q241" s="39" t="n">
        <f aca="false">+'CCs # Master'!O132</f>
        <v>0</v>
      </c>
      <c r="R241" s="39" t="n">
        <f aca="false">+'CCs # Master'!P132</f>
        <v>0</v>
      </c>
      <c r="S241" s="39" t="n">
        <f aca="false">+'CCs # Master'!Q132</f>
        <v>0</v>
      </c>
      <c r="T241" s="39" t="n">
        <f aca="false">+'CCs # Master'!R132</f>
        <v>0</v>
      </c>
      <c r="U241" s="39" t="n">
        <f aca="false">+'CCs # Master'!S132</f>
        <v>0</v>
      </c>
      <c r="V241" s="39" t="n">
        <f aca="false">+'CCs # Master'!T132</f>
        <v>0</v>
      </c>
      <c r="W241" s="39" t="n">
        <f aca="false">+'CCs # Master'!U132</f>
        <v>0</v>
      </c>
      <c r="X241" s="39" t="n">
        <f aca="false">+'CCs # Master'!V132</f>
        <v>0</v>
      </c>
      <c r="Y241" s="39" t="n">
        <f aca="false">+'CCs # Master'!W132</f>
        <v>0</v>
      </c>
      <c r="Z241" s="39" t="n">
        <f aca="false">+'CCs # Master'!X132</f>
        <v>0</v>
      </c>
      <c r="AA241" s="39" t="n">
        <f aca="false">+'CCs # Master'!Y132</f>
        <v>0</v>
      </c>
      <c r="AB241" s="39" t="n">
        <f aca="false">+'CCs # Master'!Z132</f>
        <v>0</v>
      </c>
      <c r="AC241" s="39" t="n">
        <f aca="false">+'CCs # Master'!AA132</f>
        <v>0</v>
      </c>
      <c r="AD241" s="39" t="n">
        <f aca="false">+'CCs # Master'!AB132</f>
        <v>700</v>
      </c>
      <c r="AE241" s="39" t="n">
        <f aca="false">+'CCs # Master'!AC132</f>
        <v>0</v>
      </c>
      <c r="AF241" s="39" t="n">
        <f aca="false">+'CCs # Master'!AD132</f>
        <v>0</v>
      </c>
      <c r="AG241" s="39" t="n">
        <f aca="false">+'CCs # Master'!AE132</f>
        <v>0</v>
      </c>
      <c r="AH241" s="39" t="n">
        <f aca="false">+'CCs # Master'!AF132</f>
        <v>0</v>
      </c>
      <c r="AI241" s="39" t="n">
        <f aca="false">+'CCs # Master'!AG132</f>
        <v>0</v>
      </c>
      <c r="AJ241" s="39" t="n">
        <f aca="false">+'CCs # Master'!AH132</f>
        <v>3600</v>
      </c>
      <c r="AK241" s="39" t="n">
        <f aca="false">+'CCs # Master'!AI132</f>
        <v>20000</v>
      </c>
      <c r="AL241" s="39" t="n">
        <f aca="false">+'CCs # Master'!AJ132</f>
        <v>5300</v>
      </c>
      <c r="AM241" s="39" t="n">
        <f aca="false">+'CCs # Master'!AK132</f>
        <v>0</v>
      </c>
      <c r="AN241" s="39" t="n">
        <f aca="false">+'CCs # Master'!AL132</f>
        <v>2400</v>
      </c>
      <c r="AO241" s="39" t="n">
        <f aca="false">+'CCs # Master'!AM132</f>
        <v>0</v>
      </c>
      <c r="AP241" s="39" t="n">
        <f aca="false">+'CCs # Master'!AN132</f>
        <v>0</v>
      </c>
      <c r="AQ241" s="39" t="n">
        <f aca="false">+'CCs # Master'!AO132</f>
        <v>800</v>
      </c>
      <c r="AR241" s="39" t="n">
        <f aca="false">+'CCs # Master'!AP132</f>
        <v>0</v>
      </c>
      <c r="AS241" s="39" t="n">
        <f aca="false">+'CCs # Master'!AQ132</f>
        <v>2100</v>
      </c>
      <c r="AT241" s="39" t="n">
        <f aca="false">+'CCs # Master'!AR132</f>
        <v>0</v>
      </c>
      <c r="AU241" s="39" t="n">
        <f aca="false">+'CCs # Master'!AS132</f>
        <v>0</v>
      </c>
      <c r="AV241" s="39" t="n">
        <f aca="false">+'CCs # Master'!AT132</f>
        <v>0</v>
      </c>
      <c r="AW241" s="0"/>
      <c r="AX241" s="71" t="n">
        <f aca="false">SUM(N241:AW241)</f>
        <v>35237</v>
      </c>
      <c r="AY241" s="71" t="n">
        <f aca="false">+K241-AX241</f>
        <v>0</v>
      </c>
      <c r="AZ241" s="39"/>
      <c r="BA241" s="39" t="n">
        <f aca="false">+P241+Q241+T241+U241+V241+W241+X241+Y241</f>
        <v>0</v>
      </c>
      <c r="BB241" s="39" t="n">
        <f aca="false">N241</f>
        <v>337</v>
      </c>
      <c r="BC241" s="39" t="n">
        <f aca="false">SUM(P241:AW241)</f>
        <v>34900</v>
      </c>
      <c r="BD241" s="39"/>
      <c r="BE241" s="39" t="n">
        <f aca="false">SUM(BB241:BC241)</f>
        <v>35237</v>
      </c>
      <c r="BF241" s="39"/>
      <c r="BG241" s="48" t="n">
        <f aca="false">SUM(N241:AW241)</f>
        <v>35237</v>
      </c>
      <c r="BH241" s="39" t="n">
        <f aca="false">BE241-BG241</f>
        <v>0</v>
      </c>
      <c r="BI241" s="39"/>
      <c r="BJ241" s="39"/>
      <c r="BK241" s="39"/>
      <c r="BL241" s="39"/>
      <c r="BM241" s="39"/>
      <c r="BN241" s="39"/>
      <c r="BO241" s="39"/>
      <c r="BP241" s="39"/>
      <c r="BQ241" s="39"/>
      <c r="BR241" s="39"/>
      <c r="BS241" s="39"/>
      <c r="BT241" s="39"/>
      <c r="BU241" s="39"/>
      <c r="BV241" s="39"/>
      <c r="BW241" s="39"/>
      <c r="BX241" s="39"/>
      <c r="BY241" s="39"/>
      <c r="BZ241" s="39"/>
      <c r="CA241" s="39"/>
      <c r="CB241" s="39"/>
      <c r="CC241" s="39"/>
      <c r="CD241" s="39"/>
      <c r="CE241" s="39"/>
      <c r="CF241" s="39"/>
      <c r="CG241" s="39"/>
      <c r="CH241" s="39"/>
      <c r="CI241" s="39"/>
      <c r="CJ241" s="39"/>
      <c r="CK241" s="39"/>
      <c r="CL241" s="39"/>
      <c r="CM241" s="39"/>
      <c r="CN241" s="39"/>
      <c r="CO241" s="39"/>
      <c r="CP241" s="39"/>
      <c r="CQ241" s="39"/>
      <c r="CR241" s="39"/>
      <c r="CS241" s="39"/>
      <c r="CT241" s="39"/>
      <c r="CU241" s="39"/>
      <c r="CV241" s="39"/>
      <c r="CW241" s="39"/>
      <c r="CX241" s="39"/>
      <c r="CY241" s="39"/>
      <c r="CZ241" s="39"/>
      <c r="DA241" s="39"/>
      <c r="DB241" s="39"/>
      <c r="DC241" s="39"/>
      <c r="DD241" s="39"/>
      <c r="DE241" s="39"/>
      <c r="DF241" s="39"/>
      <c r="DG241" s="39"/>
      <c r="DH241" s="39"/>
      <c r="DI241" s="39"/>
      <c r="DJ241" s="39"/>
      <c r="DK241" s="39"/>
      <c r="DL241" s="39"/>
      <c r="DM241" s="39"/>
      <c r="DN241" s="39"/>
      <c r="DO241" s="39"/>
      <c r="DP241" s="39"/>
      <c r="DQ241" s="39"/>
      <c r="DR241" s="39"/>
      <c r="DS241" s="39"/>
      <c r="DT241" s="39"/>
      <c r="DU241" s="39"/>
      <c r="DV241" s="39"/>
      <c r="DW241" s="39"/>
      <c r="DX241" s="39"/>
      <c r="DY241" s="39"/>
      <c r="DZ241" s="39"/>
      <c r="EA241" s="39"/>
      <c r="EB241" s="39"/>
      <c r="EC241" s="39"/>
      <c r="ED241" s="39"/>
      <c r="EE241" s="39"/>
      <c r="EF241" s="39"/>
      <c r="EG241" s="39"/>
      <c r="EH241" s="39"/>
      <c r="EI241" s="39"/>
      <c r="EJ241" s="39"/>
      <c r="EK241" s="39"/>
      <c r="EL241" s="39"/>
      <c r="EM241" s="39"/>
      <c r="EN241" s="39"/>
      <c r="EO241" s="39"/>
      <c r="EP241" s="39"/>
      <c r="EQ241" s="39"/>
      <c r="ER241" s="39"/>
      <c r="ES241" s="39"/>
      <c r="ET241" s="39"/>
      <c r="EU241" s="39"/>
      <c r="EV241" s="39"/>
      <c r="EW241" s="39"/>
      <c r="EX241" s="39"/>
      <c r="EY241" s="39"/>
      <c r="EZ241" s="39"/>
      <c r="FA241" s="39"/>
      <c r="FB241" s="39"/>
      <c r="FC241" s="39"/>
      <c r="FD241" s="39"/>
      <c r="FE241" s="39"/>
      <c r="FF241" s="39"/>
      <c r="FG241" s="39"/>
      <c r="FH241" s="39"/>
      <c r="FI241" s="39"/>
      <c r="FJ241" s="39"/>
      <c r="FK241" s="39"/>
      <c r="FL241" s="39"/>
      <c r="FM241" s="39"/>
      <c r="FN241" s="39"/>
      <c r="FO241" s="39"/>
      <c r="FP241" s="39"/>
      <c r="FQ241" s="39"/>
      <c r="FR241" s="39"/>
      <c r="FS241" s="39"/>
      <c r="FT241" s="39"/>
      <c r="FU241" s="39"/>
      <c r="FV241" s="39"/>
      <c r="FW241" s="39"/>
      <c r="FX241" s="39"/>
      <c r="FY241" s="39"/>
      <c r="FZ241" s="39"/>
      <c r="GA241" s="39"/>
      <c r="GB241" s="39"/>
      <c r="GC241" s="39"/>
      <c r="GD241" s="39"/>
      <c r="GE241" s="39"/>
      <c r="GF241" s="39"/>
      <c r="GG241" s="39"/>
      <c r="GH241" s="39"/>
      <c r="GI241" s="39"/>
      <c r="GJ241" s="39"/>
      <c r="GK241" s="39"/>
      <c r="GL241" s="39"/>
      <c r="GM241" s="39"/>
      <c r="GN241" s="39"/>
      <c r="GO241" s="39"/>
      <c r="GP241" s="39"/>
      <c r="GQ241" s="39"/>
      <c r="GR241" s="39"/>
      <c r="GS241" s="39"/>
      <c r="GT241" s="39"/>
      <c r="GU241" s="39"/>
      <c r="GV241" s="39"/>
      <c r="GW241" s="39"/>
      <c r="GX241" s="39"/>
      <c r="GY241" s="39"/>
      <c r="GZ241" s="39"/>
      <c r="HA241" s="39"/>
      <c r="HB241" s="39"/>
      <c r="HC241" s="39"/>
      <c r="HD241" s="39"/>
      <c r="HE241" s="39"/>
      <c r="HF241" s="39"/>
      <c r="HG241" s="39"/>
      <c r="HH241" s="39"/>
      <c r="HI241" s="39"/>
      <c r="HJ241" s="39"/>
      <c r="HK241" s="39"/>
      <c r="HL241" s="39"/>
      <c r="HM241" s="39"/>
      <c r="HN241" s="39"/>
      <c r="HO241" s="39"/>
      <c r="HP241" s="39"/>
      <c r="HQ241" s="39"/>
      <c r="HR241" s="39"/>
      <c r="HS241" s="39"/>
      <c r="HT241" s="39"/>
      <c r="HU241" s="39"/>
      <c r="HV241" s="39"/>
      <c r="HW241" s="39"/>
      <c r="HX241" s="39"/>
      <c r="HY241" s="39"/>
      <c r="HZ241" s="39"/>
      <c r="IA241" s="39"/>
      <c r="IB241" s="39"/>
      <c r="IC241" s="39"/>
      <c r="ID241" s="39"/>
      <c r="IE241" s="39"/>
      <c r="IF241" s="39"/>
      <c r="IG241" s="39"/>
      <c r="IH241" s="39"/>
      <c r="II241" s="39"/>
      <c r="IJ241" s="39"/>
      <c r="IK241" s="39"/>
      <c r="IL241" s="39"/>
      <c r="IM241" s="39"/>
      <c r="IN241" s="39"/>
      <c r="IO241" s="39"/>
      <c r="IP241" s="39"/>
      <c r="IQ241" s="39"/>
      <c r="IR241" s="39"/>
      <c r="IS241" s="39"/>
      <c r="IT241" s="39"/>
      <c r="IU241" s="39"/>
      <c r="IV241" s="39"/>
      <c r="IW241" s="39"/>
    </row>
    <row r="242" customFormat="false" ht="12.95" hidden="false" customHeight="true" outlineLevel="0" collapsed="false">
      <c r="A242" s="37" t="n">
        <v>11</v>
      </c>
      <c r="B242" s="39" t="str">
        <f aca="false">'CCs # Master'!B147</f>
        <v>Global Risk Mgmt</v>
      </c>
      <c r="C242" s="39" t="str">
        <f aca="false">'CCs # Master'!C147</f>
        <v>Cousino, L</v>
      </c>
      <c r="D242" s="96" t="n">
        <f aca="false">'CCs # Master'!D147</f>
        <v>102711</v>
      </c>
      <c r="E242" s="39" t="n">
        <f aca="false">'CCs # Master'!E147</f>
        <v>0</v>
      </c>
      <c r="F242" s="39" t="n">
        <f aca="false">'CCs # Master'!F147</f>
        <v>389</v>
      </c>
      <c r="G242" s="39" t="n">
        <f aca="false">'CCs # Master'!G147</f>
        <v>0</v>
      </c>
      <c r="H242" s="39" t="n">
        <f aca="false">'CCs # Master'!H147</f>
        <v>120</v>
      </c>
      <c r="I242" s="39" t="n">
        <f aca="false">'CCs # Master'!I147</f>
        <v>0</v>
      </c>
      <c r="J242" s="39" t="n">
        <f aca="false">'CCs # Master'!J147</f>
        <v>0</v>
      </c>
      <c r="K242" s="71" t="n">
        <f aca="false">SUM(E242:J242)</f>
        <v>509</v>
      </c>
      <c r="L242" s="39"/>
      <c r="M242" s="39" t="s">
        <v>134</v>
      </c>
      <c r="N242" s="39" t="n">
        <f aca="false">'CCs # Master'!AW147</f>
        <v>509</v>
      </c>
      <c r="O242" s="39" t="n">
        <v>0</v>
      </c>
      <c r="P242" s="39" t="n">
        <v>0</v>
      </c>
      <c r="Q242" s="39" t="n">
        <v>0</v>
      </c>
      <c r="R242" s="39" t="n">
        <v>0</v>
      </c>
      <c r="S242" s="39" t="n">
        <v>0</v>
      </c>
      <c r="T242" s="39" t="n">
        <v>0</v>
      </c>
      <c r="U242" s="39" t="n">
        <v>0</v>
      </c>
      <c r="V242" s="39" t="n">
        <v>0</v>
      </c>
      <c r="W242" s="39" t="n">
        <v>0</v>
      </c>
      <c r="X242" s="39" t="n">
        <v>0</v>
      </c>
      <c r="Y242" s="39" t="n">
        <v>0</v>
      </c>
      <c r="Z242" s="39" t="n">
        <v>0</v>
      </c>
      <c r="AA242" s="39" t="n">
        <v>0</v>
      </c>
      <c r="AB242" s="39" t="n">
        <v>0</v>
      </c>
      <c r="AC242" s="39" t="n">
        <v>0</v>
      </c>
      <c r="AD242" s="39" t="n">
        <v>0</v>
      </c>
      <c r="AE242" s="39" t="n">
        <v>0</v>
      </c>
      <c r="AF242" s="39" t="n">
        <v>0</v>
      </c>
      <c r="AG242" s="39" t="n">
        <v>0</v>
      </c>
      <c r="AH242" s="39" t="n">
        <v>0</v>
      </c>
      <c r="AI242" s="39" t="n">
        <v>0</v>
      </c>
      <c r="AJ242" s="39" t="n">
        <v>0</v>
      </c>
      <c r="AK242" s="39" t="n">
        <v>0</v>
      </c>
      <c r="AL242" s="39" t="n">
        <v>0</v>
      </c>
      <c r="AM242" s="39" t="n">
        <v>0</v>
      </c>
      <c r="AN242" s="39" t="n">
        <v>0</v>
      </c>
      <c r="AO242" s="39" t="n">
        <v>0</v>
      </c>
      <c r="AP242" s="39" t="n">
        <v>0</v>
      </c>
      <c r="AQ242" s="39" t="n">
        <v>0</v>
      </c>
      <c r="AR242" s="39" t="n">
        <v>0</v>
      </c>
      <c r="AS242" s="39" t="n">
        <v>0</v>
      </c>
      <c r="AT242" s="39" t="n">
        <v>0</v>
      </c>
      <c r="AU242" s="39" t="n">
        <v>0</v>
      </c>
      <c r="AV242" s="39" t="n">
        <v>0</v>
      </c>
      <c r="AW242" s="0"/>
      <c r="AX242" s="71" t="n">
        <f aca="false">SUM(N242:AW242)</f>
        <v>509</v>
      </c>
      <c r="AY242" s="71" t="n">
        <f aca="false">+K242-AX242</f>
        <v>0</v>
      </c>
      <c r="AZ242" s="39"/>
      <c r="BA242" s="39" t="n">
        <f aca="false">+P242+Q242+T242+U242+V242+W242+X242+Y242</f>
        <v>0</v>
      </c>
      <c r="BB242" s="39" t="n">
        <f aca="false">N242</f>
        <v>509</v>
      </c>
      <c r="BC242" s="39" t="n">
        <f aca="false">SUM(P242:AW242)</f>
        <v>0</v>
      </c>
      <c r="BD242" s="39"/>
      <c r="BE242" s="39" t="n">
        <f aca="false">SUM(BB242:BC242)</f>
        <v>509</v>
      </c>
      <c r="BF242" s="39"/>
      <c r="BG242" s="48" t="n">
        <f aca="false">SUM(N242:AW242)</f>
        <v>509</v>
      </c>
      <c r="BH242" s="39" t="n">
        <f aca="false">BE242-BG242</f>
        <v>0</v>
      </c>
      <c r="BI242" s="39"/>
      <c r="BJ242" s="39"/>
      <c r="BK242" s="39"/>
      <c r="BL242" s="39"/>
      <c r="BM242" s="39"/>
      <c r="BN242" s="39"/>
      <c r="BO242" s="39"/>
      <c r="BP242" s="39"/>
      <c r="BQ242" s="39"/>
      <c r="BR242" s="39"/>
      <c r="BS242" s="39"/>
      <c r="BT242" s="39"/>
      <c r="BU242" s="39"/>
      <c r="BV242" s="39"/>
      <c r="BW242" s="39"/>
      <c r="BX242" s="39"/>
      <c r="BY242" s="39"/>
      <c r="BZ242" s="39"/>
      <c r="CA242" s="39"/>
      <c r="CB242" s="39"/>
      <c r="CC242" s="39"/>
      <c r="CD242" s="39"/>
      <c r="CE242" s="39"/>
      <c r="CF242" s="39"/>
      <c r="CG242" s="39"/>
      <c r="CH242" s="39"/>
      <c r="CI242" s="39"/>
      <c r="CJ242" s="39"/>
      <c r="CK242" s="39"/>
      <c r="CL242" s="39"/>
      <c r="CM242" s="39"/>
      <c r="CN242" s="39"/>
      <c r="CO242" s="39"/>
      <c r="CP242" s="39"/>
      <c r="CQ242" s="39"/>
      <c r="CR242" s="39"/>
      <c r="CS242" s="39"/>
      <c r="CT242" s="39"/>
      <c r="CU242" s="39"/>
      <c r="CV242" s="39"/>
      <c r="CW242" s="39"/>
      <c r="CX242" s="39"/>
      <c r="CY242" s="39"/>
      <c r="CZ242" s="39"/>
      <c r="DA242" s="39"/>
      <c r="DB242" s="39"/>
      <c r="DC242" s="39"/>
      <c r="DD242" s="39"/>
      <c r="DE242" s="39"/>
      <c r="DF242" s="39"/>
      <c r="DG242" s="39"/>
      <c r="DH242" s="39"/>
      <c r="DI242" s="39"/>
      <c r="DJ242" s="39"/>
      <c r="DK242" s="39"/>
      <c r="DL242" s="39"/>
      <c r="DM242" s="39"/>
      <c r="DN242" s="39"/>
      <c r="DO242" s="39"/>
      <c r="DP242" s="39"/>
      <c r="DQ242" s="39"/>
      <c r="DR242" s="39"/>
      <c r="DS242" s="39"/>
      <c r="DT242" s="39"/>
      <c r="DU242" s="39"/>
      <c r="DV242" s="39"/>
      <c r="DW242" s="39"/>
      <c r="DX242" s="39"/>
      <c r="DY242" s="39"/>
      <c r="DZ242" s="39"/>
      <c r="EA242" s="39"/>
      <c r="EB242" s="39"/>
      <c r="EC242" s="39"/>
      <c r="ED242" s="39"/>
      <c r="EE242" s="39"/>
      <c r="EF242" s="39"/>
      <c r="EG242" s="39"/>
      <c r="EH242" s="39"/>
      <c r="EI242" s="39"/>
      <c r="EJ242" s="39"/>
      <c r="EK242" s="39"/>
      <c r="EL242" s="39"/>
      <c r="EM242" s="39"/>
      <c r="EN242" s="39"/>
      <c r="EO242" s="39"/>
      <c r="EP242" s="39"/>
      <c r="EQ242" s="39"/>
      <c r="ER242" s="39"/>
      <c r="ES242" s="39"/>
      <c r="ET242" s="39"/>
      <c r="EU242" s="39"/>
      <c r="EV242" s="39"/>
      <c r="EW242" s="39"/>
      <c r="EX242" s="39"/>
      <c r="EY242" s="39"/>
      <c r="EZ242" s="39"/>
      <c r="FA242" s="39"/>
      <c r="FB242" s="39"/>
      <c r="FC242" s="39"/>
      <c r="FD242" s="39"/>
      <c r="FE242" s="39"/>
      <c r="FF242" s="39"/>
      <c r="FG242" s="39"/>
      <c r="FH242" s="39"/>
      <c r="FI242" s="39"/>
      <c r="FJ242" s="39"/>
      <c r="FK242" s="39"/>
      <c r="FL242" s="39"/>
      <c r="FM242" s="39"/>
      <c r="FN242" s="39"/>
      <c r="FO242" s="39"/>
      <c r="FP242" s="39"/>
      <c r="FQ242" s="39"/>
      <c r="FR242" s="39"/>
      <c r="FS242" s="39"/>
      <c r="FT242" s="39"/>
      <c r="FU242" s="39"/>
      <c r="FV242" s="39"/>
      <c r="FW242" s="39"/>
      <c r="FX242" s="39"/>
      <c r="FY242" s="39"/>
      <c r="FZ242" s="39"/>
      <c r="GA242" s="39"/>
      <c r="GB242" s="39"/>
      <c r="GC242" s="39"/>
      <c r="GD242" s="39"/>
      <c r="GE242" s="39"/>
      <c r="GF242" s="39"/>
      <c r="GG242" s="39"/>
      <c r="GH242" s="39"/>
      <c r="GI242" s="39"/>
      <c r="GJ242" s="39"/>
      <c r="GK242" s="39"/>
      <c r="GL242" s="39"/>
      <c r="GM242" s="39"/>
      <c r="GN242" s="39"/>
      <c r="GO242" s="39"/>
      <c r="GP242" s="39"/>
      <c r="GQ242" s="39"/>
      <c r="GR242" s="39"/>
      <c r="GS242" s="39"/>
      <c r="GT242" s="39"/>
      <c r="GU242" s="39"/>
      <c r="GV242" s="39"/>
      <c r="GW242" s="39"/>
      <c r="GX242" s="39"/>
      <c r="GY242" s="39"/>
      <c r="GZ242" s="39"/>
      <c r="HA242" s="39"/>
      <c r="HB242" s="39"/>
      <c r="HC242" s="39"/>
      <c r="HD242" s="39"/>
      <c r="HE242" s="39"/>
      <c r="HF242" s="39"/>
      <c r="HG242" s="39"/>
      <c r="HH242" s="39"/>
      <c r="HI242" s="39"/>
      <c r="HJ242" s="39"/>
      <c r="HK242" s="39"/>
      <c r="HL242" s="39"/>
      <c r="HM242" s="39"/>
      <c r="HN242" s="39"/>
      <c r="HO242" s="39"/>
      <c r="HP242" s="39"/>
      <c r="HQ242" s="39"/>
      <c r="HR242" s="39"/>
      <c r="HS242" s="39"/>
      <c r="HT242" s="39"/>
      <c r="HU242" s="39"/>
      <c r="HV242" s="39"/>
      <c r="HW242" s="39"/>
      <c r="HX242" s="39"/>
      <c r="HY242" s="39"/>
      <c r="HZ242" s="39"/>
      <c r="IA242" s="39"/>
      <c r="IB242" s="39"/>
      <c r="IC242" s="39"/>
      <c r="ID242" s="39"/>
      <c r="IE242" s="39"/>
      <c r="IF242" s="39"/>
      <c r="IG242" s="39"/>
      <c r="IH242" s="39"/>
      <c r="II242" s="39"/>
      <c r="IJ242" s="39"/>
      <c r="IK242" s="39"/>
      <c r="IL242" s="39"/>
      <c r="IM242" s="39"/>
      <c r="IN242" s="39"/>
      <c r="IO242" s="39"/>
      <c r="IP242" s="39"/>
      <c r="IQ242" s="39"/>
      <c r="IR242" s="39"/>
      <c r="IS242" s="39"/>
      <c r="IT242" s="39"/>
      <c r="IU242" s="39"/>
      <c r="IV242" s="39"/>
      <c r="IW242" s="39"/>
    </row>
    <row r="243" customFormat="false" ht="12.95" hidden="false" customHeight="true" outlineLevel="0" collapsed="false">
      <c r="A243" s="37" t="n">
        <v>11</v>
      </c>
      <c r="B243" s="39" t="str">
        <f aca="false">'CCs # Master'!B152</f>
        <v>Southern Cone Risk Mgmt</v>
      </c>
      <c r="C243" s="39" t="str">
        <f aca="false">'CCs # Master'!C152</f>
        <v>Cousino, L</v>
      </c>
      <c r="D243" s="96" t="n">
        <f aca="false">'CCs # Master'!D152</f>
        <v>102757</v>
      </c>
      <c r="E243" s="104" t="n">
        <f aca="false">'CCs # Master'!E152</f>
        <v>573</v>
      </c>
      <c r="F243" s="104" t="n">
        <f aca="false">'CCs # Master'!F152</f>
        <v>87</v>
      </c>
      <c r="G243" s="104" t="n">
        <f aca="false">'CCs # Master'!G152</f>
        <v>6</v>
      </c>
      <c r="H243" s="104" t="n">
        <f aca="false">'CCs # Master'!H152</f>
        <v>0</v>
      </c>
      <c r="I243" s="104" t="n">
        <f aca="false">'CCs # Master'!I152</f>
        <v>77</v>
      </c>
      <c r="J243" s="104" t="n">
        <f aca="false">'CCs # Master'!J152</f>
        <v>1</v>
      </c>
      <c r="K243" s="71" t="n">
        <f aca="false">SUM(E243:J243)</f>
        <v>744</v>
      </c>
      <c r="L243" s="39"/>
      <c r="M243" s="39" t="s">
        <v>134</v>
      </c>
      <c r="N243" s="39" t="n">
        <f aca="false">'CCs # Master'!AW152</f>
        <v>0</v>
      </c>
      <c r="O243" s="39" t="n">
        <v>0</v>
      </c>
      <c r="P243" s="39" t="n">
        <v>0</v>
      </c>
      <c r="Q243" s="39" t="n">
        <v>0</v>
      </c>
      <c r="R243" s="39" t="n">
        <v>0</v>
      </c>
      <c r="S243" s="39" t="n">
        <v>0</v>
      </c>
      <c r="T243" s="39" t="n">
        <v>0</v>
      </c>
      <c r="U243" s="39" t="n">
        <v>0</v>
      </c>
      <c r="V243" s="39" t="n">
        <v>0</v>
      </c>
      <c r="W243" s="39" t="n">
        <v>0</v>
      </c>
      <c r="X243" s="39" t="n">
        <v>0</v>
      </c>
      <c r="Y243" s="39" t="n">
        <v>0</v>
      </c>
      <c r="Z243" s="39" t="n">
        <v>0</v>
      </c>
      <c r="AA243" s="39" t="n">
        <v>0</v>
      </c>
      <c r="AB243" s="39" t="n">
        <v>0</v>
      </c>
      <c r="AC243" s="39" t="n">
        <v>0</v>
      </c>
      <c r="AD243" s="39" t="n">
        <v>0</v>
      </c>
      <c r="AE243" s="39" t="n">
        <v>0</v>
      </c>
      <c r="AF243" s="39" t="n">
        <v>0</v>
      </c>
      <c r="AG243" s="39" t="n">
        <v>0</v>
      </c>
      <c r="AH243" s="39" t="n">
        <v>0</v>
      </c>
      <c r="AI243" s="39" t="n">
        <v>0</v>
      </c>
      <c r="AJ243" s="39" t="n">
        <v>0</v>
      </c>
      <c r="AK243" s="39" t="n">
        <f aca="false">'CCs # Master'!AI152</f>
        <v>744</v>
      </c>
      <c r="AL243" s="39" t="n">
        <v>0</v>
      </c>
      <c r="AM243" s="39" t="n">
        <v>0</v>
      </c>
      <c r="AN243" s="39" t="n">
        <v>0</v>
      </c>
      <c r="AO243" s="39" t="n">
        <v>0</v>
      </c>
      <c r="AP243" s="39" t="n">
        <v>0</v>
      </c>
      <c r="AQ243" s="39" t="n">
        <v>0</v>
      </c>
      <c r="AR243" s="39" t="n">
        <v>0</v>
      </c>
      <c r="AS243" s="39" t="n">
        <v>0</v>
      </c>
      <c r="AT243" s="39" t="n">
        <v>0</v>
      </c>
      <c r="AU243" s="39" t="n">
        <v>0</v>
      </c>
      <c r="AV243" s="39" t="n">
        <v>0</v>
      </c>
      <c r="AW243" s="0"/>
      <c r="AX243" s="71" t="n">
        <f aca="false">SUM(N243:AW243)</f>
        <v>744</v>
      </c>
      <c r="AY243" s="71" t="n">
        <f aca="false">+K243-AX243</f>
        <v>0</v>
      </c>
      <c r="AZ243" s="39"/>
      <c r="BA243" s="39" t="n">
        <f aca="false">+P243+Q243+T243+U243+V243+W243+X243+Y243</f>
        <v>0</v>
      </c>
      <c r="BB243" s="39" t="n">
        <f aca="false">N243</f>
        <v>0</v>
      </c>
      <c r="BC243" s="39" t="n">
        <f aca="false">SUM(P243:AW243)</f>
        <v>744</v>
      </c>
      <c r="BD243" s="39"/>
      <c r="BE243" s="39" t="n">
        <f aca="false">SUM(BB243:BC243)</f>
        <v>744</v>
      </c>
      <c r="BF243" s="39"/>
      <c r="BG243" s="48" t="n">
        <f aca="false">SUM(N243:AW243)</f>
        <v>744</v>
      </c>
      <c r="BH243" s="39" t="n">
        <f aca="false">BE243-BG243</f>
        <v>0</v>
      </c>
      <c r="BI243" s="39"/>
      <c r="BJ243" s="39"/>
      <c r="BK243" s="39"/>
      <c r="BL243" s="39"/>
      <c r="BM243" s="39"/>
      <c r="BN243" s="39"/>
      <c r="BO243" s="39"/>
      <c r="BP243" s="39"/>
      <c r="BQ243" s="39"/>
      <c r="BR243" s="39"/>
      <c r="BS243" s="39"/>
      <c r="BT243" s="39"/>
      <c r="BU243" s="39"/>
      <c r="BV243" s="39"/>
      <c r="BW243" s="39"/>
      <c r="BX243" s="39"/>
      <c r="BY243" s="39"/>
      <c r="BZ243" s="39"/>
      <c r="CA243" s="39"/>
      <c r="CB243" s="39"/>
      <c r="CC243" s="39"/>
      <c r="CD243" s="39"/>
      <c r="CE243" s="39"/>
      <c r="CF243" s="39"/>
      <c r="CG243" s="39"/>
      <c r="CH243" s="39"/>
      <c r="CI243" s="39"/>
      <c r="CJ243" s="39"/>
      <c r="CK243" s="39"/>
      <c r="CL243" s="39"/>
      <c r="CM243" s="39"/>
      <c r="CN243" s="39"/>
      <c r="CO243" s="39"/>
      <c r="CP243" s="39"/>
      <c r="CQ243" s="39"/>
      <c r="CR243" s="39"/>
      <c r="CS243" s="39"/>
      <c r="CT243" s="39"/>
      <c r="CU243" s="39"/>
      <c r="CV243" s="39"/>
      <c r="CW243" s="39"/>
      <c r="CX243" s="39"/>
      <c r="CY243" s="39"/>
      <c r="CZ243" s="39"/>
      <c r="DA243" s="39"/>
      <c r="DB243" s="39"/>
      <c r="DC243" s="39"/>
      <c r="DD243" s="39"/>
      <c r="DE243" s="39"/>
      <c r="DF243" s="39"/>
      <c r="DG243" s="39"/>
      <c r="DH243" s="39"/>
      <c r="DI243" s="39"/>
      <c r="DJ243" s="39"/>
      <c r="DK243" s="39"/>
      <c r="DL243" s="39"/>
      <c r="DM243" s="39"/>
      <c r="DN243" s="39"/>
      <c r="DO243" s="39"/>
      <c r="DP243" s="39"/>
      <c r="DQ243" s="39"/>
      <c r="DR243" s="39"/>
      <c r="DS243" s="39"/>
      <c r="DT243" s="39"/>
      <c r="DU243" s="39"/>
      <c r="DV243" s="39"/>
      <c r="DW243" s="39"/>
      <c r="DX243" s="39"/>
      <c r="DY243" s="39"/>
      <c r="DZ243" s="39"/>
      <c r="EA243" s="39"/>
      <c r="EB243" s="39"/>
      <c r="EC243" s="39"/>
      <c r="ED243" s="39"/>
      <c r="EE243" s="39"/>
      <c r="EF243" s="39"/>
      <c r="EG243" s="39"/>
      <c r="EH243" s="39"/>
      <c r="EI243" s="39"/>
      <c r="EJ243" s="39"/>
      <c r="EK243" s="39"/>
      <c r="EL243" s="39"/>
      <c r="EM243" s="39"/>
      <c r="EN243" s="39"/>
      <c r="EO243" s="39"/>
      <c r="EP243" s="39"/>
      <c r="EQ243" s="39"/>
      <c r="ER243" s="39"/>
      <c r="ES243" s="39"/>
      <c r="ET243" s="39"/>
      <c r="EU243" s="39"/>
      <c r="EV243" s="39"/>
      <c r="EW243" s="39"/>
      <c r="EX243" s="39"/>
      <c r="EY243" s="39"/>
      <c r="EZ243" s="39"/>
      <c r="FA243" s="39"/>
      <c r="FB243" s="39"/>
      <c r="FC243" s="39"/>
      <c r="FD243" s="39"/>
      <c r="FE243" s="39"/>
      <c r="FF243" s="39"/>
      <c r="FG243" s="39"/>
      <c r="FH243" s="39"/>
      <c r="FI243" s="39"/>
      <c r="FJ243" s="39"/>
      <c r="FK243" s="39"/>
      <c r="FL243" s="39"/>
      <c r="FM243" s="39"/>
      <c r="FN243" s="39"/>
      <c r="FO243" s="39"/>
      <c r="FP243" s="39"/>
      <c r="FQ243" s="39"/>
      <c r="FR243" s="39"/>
      <c r="FS243" s="39"/>
      <c r="FT243" s="39"/>
      <c r="FU243" s="39"/>
      <c r="FV243" s="39"/>
      <c r="FW243" s="39"/>
      <c r="FX243" s="39"/>
      <c r="FY243" s="39"/>
      <c r="FZ243" s="39"/>
      <c r="GA243" s="39"/>
      <c r="GB243" s="39"/>
      <c r="GC243" s="39"/>
      <c r="GD243" s="39"/>
      <c r="GE243" s="39"/>
      <c r="GF243" s="39"/>
      <c r="GG243" s="39"/>
      <c r="GH243" s="39"/>
      <c r="GI243" s="39"/>
      <c r="GJ243" s="39"/>
      <c r="GK243" s="39"/>
      <c r="GL243" s="39"/>
      <c r="GM243" s="39"/>
      <c r="GN243" s="39"/>
      <c r="GO243" s="39"/>
      <c r="GP243" s="39"/>
      <c r="GQ243" s="39"/>
      <c r="GR243" s="39"/>
      <c r="GS243" s="39"/>
      <c r="GT243" s="39"/>
      <c r="GU243" s="39"/>
      <c r="GV243" s="39"/>
      <c r="GW243" s="39"/>
      <c r="GX243" s="39"/>
      <c r="GY243" s="39"/>
      <c r="GZ243" s="39"/>
      <c r="HA243" s="39"/>
      <c r="HB243" s="39"/>
      <c r="HC243" s="39"/>
      <c r="HD243" s="39"/>
      <c r="HE243" s="39"/>
      <c r="HF243" s="39"/>
      <c r="HG243" s="39"/>
      <c r="HH243" s="39"/>
      <c r="HI243" s="39"/>
      <c r="HJ243" s="39"/>
      <c r="HK243" s="39"/>
      <c r="HL243" s="39"/>
      <c r="HM243" s="39"/>
      <c r="HN243" s="39"/>
      <c r="HO243" s="39"/>
      <c r="HP243" s="39"/>
      <c r="HQ243" s="39"/>
      <c r="HR243" s="39"/>
      <c r="HS243" s="39"/>
      <c r="HT243" s="39"/>
      <c r="HU243" s="39"/>
      <c r="HV243" s="39"/>
      <c r="HW243" s="39"/>
      <c r="HX243" s="39"/>
      <c r="HY243" s="39"/>
      <c r="HZ243" s="39"/>
      <c r="IA243" s="39"/>
      <c r="IB243" s="39"/>
      <c r="IC243" s="39"/>
      <c r="ID243" s="39"/>
      <c r="IE243" s="39"/>
      <c r="IF243" s="39"/>
      <c r="IG243" s="39"/>
      <c r="IH243" s="39"/>
      <c r="II243" s="39"/>
      <c r="IJ243" s="39"/>
      <c r="IK243" s="39"/>
      <c r="IL243" s="39"/>
      <c r="IM243" s="39"/>
      <c r="IN243" s="39"/>
      <c r="IO243" s="39"/>
      <c r="IP243" s="39"/>
      <c r="IQ243" s="39"/>
      <c r="IR243" s="39"/>
      <c r="IS243" s="39"/>
      <c r="IT243" s="39"/>
      <c r="IU243" s="39"/>
      <c r="IV243" s="39"/>
      <c r="IW243" s="39"/>
    </row>
    <row r="244" customFormat="false" ht="12.95" hidden="false" customHeight="true" outlineLevel="0" collapsed="false">
      <c r="BC244" s="105"/>
      <c r="BE244" s="105"/>
    </row>
    <row r="245" customFormat="false" ht="8.1" hidden="false" customHeight="true" outlineLevel="0" collapsed="false">
      <c r="A245" s="37"/>
      <c r="B245" s="39"/>
      <c r="C245" s="39"/>
      <c r="D245" s="96"/>
      <c r="E245" s="91"/>
      <c r="F245" s="91"/>
      <c r="G245" s="91"/>
      <c r="H245" s="91"/>
      <c r="I245" s="91"/>
      <c r="J245" s="91"/>
      <c r="K245" s="91"/>
      <c r="L245" s="39"/>
      <c r="M245" s="39"/>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91"/>
      <c r="AN245" s="91"/>
      <c r="AO245" s="91"/>
      <c r="AP245" s="91"/>
      <c r="AQ245" s="91"/>
      <c r="AR245" s="91"/>
      <c r="AS245" s="91"/>
      <c r="AT245" s="91"/>
      <c r="AU245" s="91"/>
      <c r="AV245" s="91"/>
      <c r="AW245" s="0"/>
      <c r="AX245" s="91"/>
      <c r="AY245" s="91"/>
      <c r="AZ245" s="39"/>
      <c r="BA245" s="91"/>
      <c r="BB245" s="91"/>
      <c r="BC245" s="39"/>
      <c r="BD245" s="39"/>
      <c r="BE245" s="39"/>
      <c r="BF245" s="39"/>
      <c r="BG245" s="48"/>
      <c r="BH245" s="39"/>
      <c r="BI245" s="39"/>
      <c r="BJ245" s="39"/>
      <c r="BK245" s="39"/>
      <c r="BL245" s="39"/>
      <c r="BM245" s="39"/>
      <c r="BN245" s="39"/>
      <c r="BO245" s="39"/>
      <c r="BP245" s="39"/>
      <c r="BQ245" s="39"/>
      <c r="BR245" s="39"/>
      <c r="BS245" s="39"/>
      <c r="BT245" s="39"/>
      <c r="BU245" s="39"/>
      <c r="BV245" s="39"/>
      <c r="BW245" s="39"/>
      <c r="BX245" s="39"/>
      <c r="BY245" s="39"/>
      <c r="BZ245" s="39"/>
      <c r="CA245" s="39"/>
      <c r="CB245" s="39"/>
      <c r="CC245" s="39"/>
      <c r="CD245" s="39"/>
      <c r="CE245" s="39"/>
      <c r="CF245" s="39"/>
      <c r="CG245" s="39"/>
      <c r="CH245" s="39"/>
      <c r="CI245" s="39"/>
      <c r="CJ245" s="39"/>
      <c r="CK245" s="39"/>
      <c r="CL245" s="39"/>
      <c r="CM245" s="39"/>
      <c r="CN245" s="39"/>
      <c r="CO245" s="39"/>
      <c r="CP245" s="39"/>
      <c r="CQ245" s="39"/>
      <c r="CR245" s="39"/>
      <c r="CS245" s="39"/>
      <c r="CT245" s="39"/>
      <c r="CU245" s="39"/>
      <c r="CV245" s="39"/>
      <c r="CW245" s="39"/>
      <c r="CX245" s="39"/>
      <c r="CY245" s="39"/>
      <c r="CZ245" s="39"/>
      <c r="DA245" s="39"/>
      <c r="DB245" s="39"/>
      <c r="DC245" s="39"/>
      <c r="DD245" s="39"/>
      <c r="DE245" s="39"/>
      <c r="DF245" s="39"/>
      <c r="DG245" s="39"/>
      <c r="DH245" s="39"/>
      <c r="DI245" s="39"/>
      <c r="DJ245" s="39"/>
      <c r="DK245" s="39"/>
      <c r="DL245" s="39"/>
      <c r="DM245" s="39"/>
      <c r="DN245" s="39"/>
      <c r="DO245" s="39"/>
      <c r="DP245" s="39"/>
      <c r="DQ245" s="39"/>
      <c r="DR245" s="39"/>
      <c r="DS245" s="39"/>
      <c r="DT245" s="39"/>
      <c r="DU245" s="39"/>
      <c r="DV245" s="39"/>
      <c r="DW245" s="39"/>
      <c r="DX245" s="39"/>
      <c r="DY245" s="39"/>
      <c r="DZ245" s="39"/>
      <c r="EA245" s="39"/>
      <c r="EB245" s="39"/>
      <c r="EC245" s="39"/>
      <c r="ED245" s="39"/>
      <c r="EE245" s="39"/>
      <c r="EF245" s="39"/>
      <c r="EG245" s="39"/>
      <c r="EH245" s="39"/>
      <c r="EI245" s="39"/>
      <c r="EJ245" s="39"/>
      <c r="EK245" s="39"/>
      <c r="EL245" s="39"/>
      <c r="EM245" s="39"/>
      <c r="EN245" s="39"/>
      <c r="EO245" s="39"/>
      <c r="EP245" s="39"/>
      <c r="EQ245" s="39"/>
      <c r="ER245" s="39"/>
      <c r="ES245" s="39"/>
      <c r="ET245" s="39"/>
      <c r="EU245" s="39"/>
      <c r="EV245" s="39"/>
      <c r="EW245" s="39"/>
      <c r="EX245" s="39"/>
      <c r="EY245" s="39"/>
      <c r="EZ245" s="39"/>
      <c r="FA245" s="39"/>
      <c r="FB245" s="39"/>
      <c r="FC245" s="39"/>
      <c r="FD245" s="39"/>
      <c r="FE245" s="39"/>
      <c r="FF245" s="39"/>
      <c r="FG245" s="39"/>
      <c r="FH245" s="39"/>
      <c r="FI245" s="39"/>
      <c r="FJ245" s="39"/>
      <c r="FK245" s="39"/>
      <c r="FL245" s="39"/>
      <c r="FM245" s="39"/>
      <c r="FN245" s="39"/>
      <c r="FO245" s="39"/>
      <c r="FP245" s="39"/>
      <c r="FQ245" s="39"/>
      <c r="FR245" s="39"/>
      <c r="FS245" s="39"/>
      <c r="FT245" s="39"/>
      <c r="FU245" s="39"/>
      <c r="FV245" s="39"/>
      <c r="FW245" s="39"/>
      <c r="FX245" s="39"/>
      <c r="FY245" s="39"/>
      <c r="FZ245" s="39"/>
      <c r="GA245" s="39"/>
      <c r="GB245" s="39"/>
      <c r="GC245" s="39"/>
      <c r="GD245" s="39"/>
      <c r="GE245" s="39"/>
      <c r="GF245" s="39"/>
      <c r="GG245" s="39"/>
      <c r="GH245" s="39"/>
      <c r="GI245" s="39"/>
      <c r="GJ245" s="39"/>
      <c r="GK245" s="39"/>
      <c r="GL245" s="39"/>
      <c r="GM245" s="39"/>
      <c r="GN245" s="39"/>
      <c r="GO245" s="39"/>
      <c r="GP245" s="39"/>
      <c r="GQ245" s="39"/>
      <c r="GR245" s="39"/>
      <c r="GS245" s="39"/>
      <c r="GT245" s="39"/>
      <c r="GU245" s="39"/>
      <c r="GV245" s="39"/>
      <c r="GW245" s="39"/>
      <c r="GX245" s="39"/>
      <c r="GY245" s="39"/>
      <c r="GZ245" s="39"/>
      <c r="HA245" s="39"/>
      <c r="HB245" s="39"/>
      <c r="HC245" s="39"/>
      <c r="HD245" s="39"/>
      <c r="HE245" s="39"/>
      <c r="HF245" s="39"/>
      <c r="HG245" s="39"/>
      <c r="HH245" s="39"/>
      <c r="HI245" s="39"/>
      <c r="HJ245" s="39"/>
      <c r="HK245" s="39"/>
      <c r="HL245" s="39"/>
      <c r="HM245" s="39"/>
      <c r="HN245" s="39"/>
      <c r="HO245" s="39"/>
      <c r="HP245" s="39"/>
      <c r="HQ245" s="39"/>
      <c r="HR245" s="39"/>
      <c r="HS245" s="39"/>
      <c r="HT245" s="39"/>
      <c r="HU245" s="39"/>
      <c r="HV245" s="39"/>
      <c r="HW245" s="39"/>
      <c r="HX245" s="39"/>
      <c r="HY245" s="39"/>
      <c r="HZ245" s="39"/>
      <c r="IA245" s="39"/>
      <c r="IB245" s="39"/>
      <c r="IC245" s="39"/>
      <c r="ID245" s="39"/>
      <c r="IE245" s="39"/>
      <c r="IF245" s="39"/>
      <c r="IG245" s="39"/>
      <c r="IH245" s="39"/>
      <c r="II245" s="39"/>
      <c r="IJ245" s="39"/>
      <c r="IK245" s="39"/>
      <c r="IL245" s="39"/>
      <c r="IM245" s="39"/>
      <c r="IN245" s="39"/>
      <c r="IO245" s="39"/>
      <c r="IP245" s="39"/>
      <c r="IQ245" s="39"/>
      <c r="IR245" s="39"/>
      <c r="IS245" s="39"/>
      <c r="IT245" s="39"/>
      <c r="IU245" s="39"/>
      <c r="IV245" s="39"/>
      <c r="IW245" s="39"/>
    </row>
    <row r="246" customFormat="false" ht="12.95" hidden="false" customHeight="true" outlineLevel="0" collapsed="false">
      <c r="A246" s="37"/>
      <c r="B246" s="39"/>
      <c r="C246" s="39"/>
      <c r="D246" s="96"/>
      <c r="E246" s="97" t="n">
        <f aca="false">SUM(E239:E245)</f>
        <v>2530</v>
      </c>
      <c r="F246" s="97" t="n">
        <f aca="false">SUM(F239:F245)</f>
        <v>749</v>
      </c>
      <c r="G246" s="97" t="n">
        <f aca="false">SUM(G239:G245)</f>
        <v>21</v>
      </c>
      <c r="H246" s="97" t="n">
        <f aca="false">SUM(H239:H245)</f>
        <v>457</v>
      </c>
      <c r="I246" s="97" t="n">
        <f aca="false">SUM(I239:I245)</f>
        <v>287</v>
      </c>
      <c r="J246" s="97" t="n">
        <f aca="false">SUM(J239:J245)</f>
        <v>69358</v>
      </c>
      <c r="K246" s="97" t="n">
        <f aca="false">SUM(K239:K245)</f>
        <v>73402</v>
      </c>
      <c r="L246" s="39"/>
      <c r="M246" s="39"/>
      <c r="N246" s="97" t="n">
        <f aca="false">SUM(N239:N245)</f>
        <v>2943</v>
      </c>
      <c r="O246" s="97" t="n">
        <f aca="false">SUM(O239:O245)</f>
        <v>0</v>
      </c>
      <c r="P246" s="97" t="n">
        <f aca="false">SUM(P239:P245)</f>
        <v>1471</v>
      </c>
      <c r="Q246" s="97" t="n">
        <f aca="false">SUM(Q239:Q245)</f>
        <v>6525</v>
      </c>
      <c r="R246" s="97" t="n">
        <f aca="false">SUM(R239:R245)</f>
        <v>446</v>
      </c>
      <c r="S246" s="97" t="n">
        <f aca="false">SUM(S239:S245)</f>
        <v>1067</v>
      </c>
      <c r="T246" s="97" t="n">
        <f aca="false">SUM(T239:T245)</f>
        <v>22</v>
      </c>
      <c r="U246" s="97" t="n">
        <f aca="false">SUM(U239:U245)</f>
        <v>460</v>
      </c>
      <c r="V246" s="97" t="n">
        <f aca="false">SUM(V239:V245)</f>
        <v>8</v>
      </c>
      <c r="W246" s="97" t="n">
        <f aca="false">SUM(W239:W245)</f>
        <v>5503</v>
      </c>
      <c r="X246" s="97" t="n">
        <f aca="false">SUM(X239:X245)</f>
        <v>163</v>
      </c>
      <c r="Y246" s="97" t="n">
        <f aca="false">SUM(Y239:Y245)</f>
        <v>93</v>
      </c>
      <c r="Z246" s="97" t="n">
        <f aca="false">SUM(Z239:Z245)</f>
        <v>7991</v>
      </c>
      <c r="AA246" s="97" t="n">
        <f aca="false">SUM(AA239:AA245)</f>
        <v>10</v>
      </c>
      <c r="AB246" s="97" t="n">
        <f aca="false">SUM(AB239:AB245)</f>
        <v>2156</v>
      </c>
      <c r="AC246" s="97" t="n">
        <f aca="false">SUM(AC239:AC245)</f>
        <v>159</v>
      </c>
      <c r="AD246" s="97" t="n">
        <f aca="false">SUM(AD239:AD245)</f>
        <v>1745</v>
      </c>
      <c r="AE246" s="97" t="n">
        <f aca="false">SUM(AE239:AE245)</f>
        <v>66</v>
      </c>
      <c r="AF246" s="97" t="n">
        <f aca="false">SUM(AF239:AF245)</f>
        <v>1601</v>
      </c>
      <c r="AG246" s="97" t="n">
        <f aca="false">SUM(AG239:AG245)</f>
        <v>994</v>
      </c>
      <c r="AH246" s="97" t="n">
        <f aca="false">SUM(AH239:AH245)</f>
        <v>1082</v>
      </c>
      <c r="AI246" s="97" t="n">
        <f aca="false">SUM(AI239:AI245)</f>
        <v>0</v>
      </c>
      <c r="AJ246" s="97" t="n">
        <f aca="false">SUM(AJ239:AJ245)</f>
        <v>3889</v>
      </c>
      <c r="AK246" s="97" t="n">
        <f aca="false">SUM(AK239:AK245)</f>
        <v>21096</v>
      </c>
      <c r="AL246" s="97" t="n">
        <f aca="false">SUM(AL239:AL245)</f>
        <v>5565</v>
      </c>
      <c r="AM246" s="97" t="n">
        <f aca="false">SUM(AM239:AM245)</f>
        <v>89</v>
      </c>
      <c r="AN246" s="97" t="n">
        <f aca="false">SUM(AN239:AN245)</f>
        <v>3070</v>
      </c>
      <c r="AO246" s="97" t="n">
        <f aca="false">SUM(AO239:AO245)</f>
        <v>532</v>
      </c>
      <c r="AP246" s="97" t="n">
        <f aca="false">SUM(AP239:AP245)</f>
        <v>0</v>
      </c>
      <c r="AQ246" s="97" t="n">
        <f aca="false">SUM(AQ239:AQ245)</f>
        <v>2181</v>
      </c>
      <c r="AR246" s="97" t="n">
        <f aca="false">SUM(AR239:AR245)</f>
        <v>375</v>
      </c>
      <c r="AS246" s="97" t="n">
        <f aca="false">SUM(AS239:AS245)</f>
        <v>2100</v>
      </c>
      <c r="AT246" s="97" t="n">
        <f aca="false">SUM(AT239:AT245)</f>
        <v>0</v>
      </c>
      <c r="AU246" s="97" t="n">
        <f aca="false">SUM(AU239:AU245)</f>
        <v>0</v>
      </c>
      <c r="AV246" s="97" t="n">
        <f aca="false">SUM(AV239:AV245)</f>
        <v>0</v>
      </c>
      <c r="AW246" s="0"/>
      <c r="AX246" s="97" t="n">
        <f aca="false">SUM(AX239:AX245)</f>
        <v>73402</v>
      </c>
      <c r="AY246" s="97" t="n">
        <f aca="false">SUM(AY239:AY245)</f>
        <v>0</v>
      </c>
      <c r="AZ246" s="39"/>
      <c r="BA246" s="97" t="n">
        <f aca="false">SUM(BA239:BA245)</f>
        <v>14245</v>
      </c>
      <c r="BB246" s="97" t="n">
        <f aca="false">SUM(BB239:BB245)</f>
        <v>2943</v>
      </c>
      <c r="BC246" s="97" t="n">
        <f aca="false">SUM(BC239:BC245)</f>
        <v>70459</v>
      </c>
      <c r="BD246" s="39"/>
      <c r="BE246" s="97" t="n">
        <f aca="false">SUM(BE239:BE245)</f>
        <v>73402</v>
      </c>
      <c r="BF246" s="39"/>
      <c r="BG246" s="98" t="n">
        <f aca="false">SUM(BG239:BG245)</f>
        <v>73402</v>
      </c>
      <c r="BH246" s="39" t="n">
        <f aca="false">SUM(BH239:BH245)</f>
        <v>0</v>
      </c>
      <c r="BI246" s="39"/>
      <c r="BJ246" s="39"/>
      <c r="BK246" s="39"/>
      <c r="BL246" s="39"/>
      <c r="BM246" s="39"/>
      <c r="BN246" s="39"/>
      <c r="BO246" s="39"/>
      <c r="BP246" s="39"/>
      <c r="BQ246" s="39"/>
      <c r="BR246" s="39"/>
      <c r="BS246" s="39"/>
      <c r="BT246" s="39"/>
      <c r="BU246" s="39"/>
      <c r="BV246" s="39"/>
      <c r="BW246" s="39"/>
      <c r="BX246" s="39"/>
      <c r="BY246" s="39"/>
      <c r="BZ246" s="39"/>
      <c r="CA246" s="39"/>
      <c r="CB246" s="39"/>
      <c r="CC246" s="39"/>
      <c r="CD246" s="39"/>
      <c r="CE246" s="39"/>
      <c r="CF246" s="39"/>
      <c r="CG246" s="39"/>
      <c r="CH246" s="39"/>
      <c r="CI246" s="39"/>
      <c r="CJ246" s="39"/>
      <c r="CK246" s="39"/>
      <c r="CL246" s="39"/>
      <c r="CM246" s="39"/>
      <c r="CN246" s="39"/>
      <c r="CO246" s="39"/>
      <c r="CP246" s="39"/>
      <c r="CQ246" s="39"/>
      <c r="CR246" s="39"/>
      <c r="CS246" s="39"/>
      <c r="CT246" s="39"/>
      <c r="CU246" s="39"/>
      <c r="CV246" s="39"/>
      <c r="CW246" s="39"/>
      <c r="CX246" s="39"/>
      <c r="CY246" s="39"/>
      <c r="CZ246" s="39"/>
      <c r="DA246" s="39"/>
      <c r="DB246" s="39"/>
      <c r="DC246" s="39"/>
      <c r="DD246" s="39"/>
      <c r="DE246" s="39"/>
      <c r="DF246" s="39"/>
      <c r="DG246" s="39"/>
      <c r="DH246" s="39"/>
      <c r="DI246" s="39"/>
      <c r="DJ246" s="39"/>
      <c r="DK246" s="39"/>
      <c r="DL246" s="39"/>
      <c r="DM246" s="39"/>
      <c r="DN246" s="39"/>
      <c r="DO246" s="39"/>
      <c r="DP246" s="39"/>
      <c r="DQ246" s="39"/>
      <c r="DR246" s="39"/>
      <c r="DS246" s="39"/>
      <c r="DT246" s="39"/>
      <c r="DU246" s="39"/>
      <c r="DV246" s="39"/>
      <c r="DW246" s="39"/>
      <c r="DX246" s="39"/>
      <c r="DY246" s="39"/>
      <c r="DZ246" s="39"/>
      <c r="EA246" s="39"/>
      <c r="EB246" s="39"/>
      <c r="EC246" s="39"/>
      <c r="ED246" s="39"/>
      <c r="EE246" s="39"/>
      <c r="EF246" s="39"/>
      <c r="EG246" s="39"/>
      <c r="EH246" s="39"/>
      <c r="EI246" s="39"/>
      <c r="EJ246" s="39"/>
      <c r="EK246" s="39"/>
      <c r="EL246" s="39"/>
      <c r="EM246" s="39"/>
      <c r="EN246" s="39"/>
      <c r="EO246" s="39"/>
      <c r="EP246" s="39"/>
      <c r="EQ246" s="39"/>
      <c r="ER246" s="39"/>
      <c r="ES246" s="39"/>
      <c r="ET246" s="39"/>
      <c r="EU246" s="39"/>
      <c r="EV246" s="39"/>
      <c r="EW246" s="39"/>
      <c r="EX246" s="39"/>
      <c r="EY246" s="39"/>
      <c r="EZ246" s="39"/>
      <c r="FA246" s="39"/>
      <c r="FB246" s="39"/>
      <c r="FC246" s="39"/>
      <c r="FD246" s="39"/>
      <c r="FE246" s="39"/>
      <c r="FF246" s="39"/>
      <c r="FG246" s="39"/>
      <c r="FH246" s="39"/>
      <c r="FI246" s="39"/>
      <c r="FJ246" s="39"/>
      <c r="FK246" s="39"/>
      <c r="FL246" s="39"/>
      <c r="FM246" s="39"/>
      <c r="FN246" s="39"/>
      <c r="FO246" s="39"/>
      <c r="FP246" s="39"/>
      <c r="FQ246" s="39"/>
      <c r="FR246" s="39"/>
      <c r="FS246" s="39"/>
      <c r="FT246" s="39"/>
      <c r="FU246" s="39"/>
      <c r="FV246" s="39"/>
      <c r="FW246" s="39"/>
      <c r="FX246" s="39"/>
      <c r="FY246" s="39"/>
      <c r="FZ246" s="39"/>
      <c r="GA246" s="39"/>
      <c r="GB246" s="39"/>
      <c r="GC246" s="39"/>
      <c r="GD246" s="39"/>
      <c r="GE246" s="39"/>
      <c r="GF246" s="39"/>
      <c r="GG246" s="39"/>
      <c r="GH246" s="39"/>
      <c r="GI246" s="39"/>
      <c r="GJ246" s="39"/>
      <c r="GK246" s="39"/>
      <c r="GL246" s="39"/>
      <c r="GM246" s="39"/>
      <c r="GN246" s="39"/>
      <c r="GO246" s="39"/>
      <c r="GP246" s="39"/>
      <c r="GQ246" s="39"/>
      <c r="GR246" s="39"/>
      <c r="GS246" s="39"/>
      <c r="GT246" s="39"/>
      <c r="GU246" s="39"/>
      <c r="GV246" s="39"/>
      <c r="GW246" s="39"/>
      <c r="GX246" s="39"/>
      <c r="GY246" s="39"/>
      <c r="GZ246" s="39"/>
      <c r="HA246" s="39"/>
      <c r="HB246" s="39"/>
      <c r="HC246" s="39"/>
      <c r="HD246" s="39"/>
      <c r="HE246" s="39"/>
      <c r="HF246" s="39"/>
      <c r="HG246" s="39"/>
      <c r="HH246" s="39"/>
      <c r="HI246" s="39"/>
      <c r="HJ246" s="39"/>
      <c r="HK246" s="39"/>
      <c r="HL246" s="39"/>
      <c r="HM246" s="39"/>
      <c r="HN246" s="39"/>
      <c r="HO246" s="39"/>
      <c r="HP246" s="39"/>
      <c r="HQ246" s="39"/>
      <c r="HR246" s="39"/>
      <c r="HS246" s="39"/>
      <c r="HT246" s="39"/>
      <c r="HU246" s="39"/>
      <c r="HV246" s="39"/>
      <c r="HW246" s="39"/>
      <c r="HX246" s="39"/>
      <c r="HY246" s="39"/>
      <c r="HZ246" s="39"/>
      <c r="IA246" s="39"/>
      <c r="IB246" s="39"/>
      <c r="IC246" s="39"/>
      <c r="ID246" s="39"/>
      <c r="IE246" s="39"/>
      <c r="IF246" s="39"/>
      <c r="IG246" s="39"/>
      <c r="IH246" s="39"/>
      <c r="II246" s="39"/>
      <c r="IJ246" s="39"/>
      <c r="IK246" s="39"/>
      <c r="IL246" s="39"/>
      <c r="IM246" s="39"/>
      <c r="IN246" s="39"/>
      <c r="IO246" s="39"/>
      <c r="IP246" s="39"/>
      <c r="IQ246" s="39"/>
      <c r="IR246" s="39"/>
      <c r="IS246" s="39"/>
      <c r="IT246" s="39"/>
      <c r="IU246" s="39"/>
      <c r="IV246" s="39"/>
      <c r="IW246" s="39"/>
    </row>
    <row r="247" customFormat="false" ht="8.1" hidden="false" customHeight="true" outlineLevel="0" collapsed="false">
      <c r="A247" s="37"/>
      <c r="B247" s="39"/>
      <c r="C247" s="39"/>
      <c r="D247" s="96"/>
      <c r="E247" s="39"/>
      <c r="F247" s="39"/>
      <c r="G247" s="39"/>
      <c r="H247" s="39"/>
      <c r="I247" s="39"/>
      <c r="J247" s="39"/>
      <c r="K247" s="71"/>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0"/>
      <c r="AX247" s="71"/>
      <c r="AY247" s="71"/>
      <c r="AZ247" s="39"/>
      <c r="BA247" s="39"/>
      <c r="BB247" s="39"/>
      <c r="BC247" s="39"/>
      <c r="BD247" s="39"/>
      <c r="BE247" s="39"/>
      <c r="BF247" s="39"/>
      <c r="BG247" s="48"/>
      <c r="BH247" s="39"/>
      <c r="BI247" s="39"/>
      <c r="BJ247" s="39"/>
      <c r="BK247" s="39"/>
      <c r="BL247" s="39"/>
      <c r="BM247" s="39"/>
      <c r="BN247" s="39"/>
      <c r="BO247" s="39"/>
      <c r="BP247" s="39"/>
      <c r="BQ247" s="39"/>
      <c r="BR247" s="39"/>
      <c r="BS247" s="39"/>
      <c r="BT247" s="39"/>
      <c r="BU247" s="39"/>
      <c r="BV247" s="39"/>
      <c r="BW247" s="39"/>
      <c r="BX247" s="39"/>
      <c r="BY247" s="39"/>
      <c r="BZ247" s="39"/>
      <c r="CA247" s="39"/>
      <c r="CB247" s="39"/>
      <c r="CC247" s="39"/>
      <c r="CD247" s="39"/>
      <c r="CE247" s="39"/>
      <c r="CF247" s="39"/>
      <c r="CG247" s="39"/>
      <c r="CH247" s="39"/>
      <c r="CI247" s="39"/>
      <c r="CJ247" s="39"/>
      <c r="CK247" s="39"/>
      <c r="CL247" s="39"/>
      <c r="CM247" s="39"/>
      <c r="CN247" s="39"/>
      <c r="CO247" s="39"/>
      <c r="CP247" s="39"/>
      <c r="CQ247" s="39"/>
      <c r="CR247" s="39"/>
      <c r="CS247" s="39"/>
      <c r="CT247" s="39"/>
      <c r="CU247" s="39"/>
      <c r="CV247" s="39"/>
      <c r="CW247" s="39"/>
      <c r="CX247" s="39"/>
      <c r="CY247" s="39"/>
      <c r="CZ247" s="39"/>
      <c r="DA247" s="39"/>
      <c r="DB247" s="39"/>
      <c r="DC247" s="39"/>
      <c r="DD247" s="39"/>
      <c r="DE247" s="39"/>
      <c r="DF247" s="39"/>
      <c r="DG247" s="39"/>
      <c r="DH247" s="39"/>
      <c r="DI247" s="39"/>
      <c r="DJ247" s="39"/>
      <c r="DK247" s="39"/>
      <c r="DL247" s="39"/>
      <c r="DM247" s="39"/>
      <c r="DN247" s="39"/>
      <c r="DO247" s="39"/>
      <c r="DP247" s="39"/>
      <c r="DQ247" s="39"/>
      <c r="DR247" s="39"/>
      <c r="DS247" s="39"/>
      <c r="DT247" s="39"/>
      <c r="DU247" s="39"/>
      <c r="DV247" s="39"/>
      <c r="DW247" s="39"/>
      <c r="DX247" s="39"/>
      <c r="DY247" s="39"/>
      <c r="DZ247" s="39"/>
      <c r="EA247" s="39"/>
      <c r="EB247" s="39"/>
      <c r="EC247" s="39"/>
      <c r="ED247" s="39"/>
      <c r="EE247" s="39"/>
      <c r="EF247" s="39"/>
      <c r="EG247" s="39"/>
      <c r="EH247" s="39"/>
      <c r="EI247" s="39"/>
      <c r="EJ247" s="39"/>
      <c r="EK247" s="39"/>
      <c r="EL247" s="39"/>
      <c r="EM247" s="39"/>
      <c r="EN247" s="39"/>
      <c r="EO247" s="39"/>
      <c r="EP247" s="39"/>
      <c r="EQ247" s="39"/>
      <c r="ER247" s="39"/>
      <c r="ES247" s="39"/>
      <c r="ET247" s="39"/>
      <c r="EU247" s="39"/>
      <c r="EV247" s="39"/>
      <c r="EW247" s="39"/>
      <c r="EX247" s="39"/>
      <c r="EY247" s="39"/>
      <c r="EZ247" s="39"/>
      <c r="FA247" s="39"/>
      <c r="FB247" s="39"/>
      <c r="FC247" s="39"/>
      <c r="FD247" s="39"/>
      <c r="FE247" s="39"/>
      <c r="FF247" s="39"/>
      <c r="FG247" s="39"/>
      <c r="FH247" s="39"/>
      <c r="FI247" s="39"/>
      <c r="FJ247" s="39"/>
      <c r="FK247" s="39"/>
      <c r="FL247" s="39"/>
      <c r="FM247" s="39"/>
      <c r="FN247" s="39"/>
      <c r="FO247" s="39"/>
      <c r="FP247" s="39"/>
      <c r="FQ247" s="39"/>
      <c r="FR247" s="39"/>
      <c r="FS247" s="39"/>
      <c r="FT247" s="39"/>
      <c r="FU247" s="39"/>
      <c r="FV247" s="39"/>
      <c r="FW247" s="39"/>
      <c r="FX247" s="39"/>
      <c r="FY247" s="39"/>
      <c r="FZ247" s="39"/>
      <c r="GA247" s="39"/>
      <c r="GB247" s="39"/>
      <c r="GC247" s="39"/>
      <c r="GD247" s="39"/>
      <c r="GE247" s="39"/>
      <c r="GF247" s="39"/>
      <c r="GG247" s="39"/>
      <c r="GH247" s="39"/>
      <c r="GI247" s="39"/>
      <c r="GJ247" s="39"/>
      <c r="GK247" s="39"/>
      <c r="GL247" s="39"/>
      <c r="GM247" s="39"/>
      <c r="GN247" s="39"/>
      <c r="GO247" s="39"/>
      <c r="GP247" s="39"/>
      <c r="GQ247" s="39"/>
      <c r="GR247" s="39"/>
      <c r="GS247" s="39"/>
      <c r="GT247" s="39"/>
      <c r="GU247" s="39"/>
      <c r="GV247" s="39"/>
      <c r="GW247" s="39"/>
      <c r="GX247" s="39"/>
      <c r="GY247" s="39"/>
      <c r="GZ247" s="39"/>
      <c r="HA247" s="39"/>
      <c r="HB247" s="39"/>
      <c r="HC247" s="39"/>
      <c r="HD247" s="39"/>
      <c r="HE247" s="39"/>
      <c r="HF247" s="39"/>
      <c r="HG247" s="39"/>
      <c r="HH247" s="39"/>
      <c r="HI247" s="39"/>
      <c r="HJ247" s="39"/>
      <c r="HK247" s="39"/>
      <c r="HL247" s="39"/>
      <c r="HM247" s="39"/>
      <c r="HN247" s="39"/>
      <c r="HO247" s="39"/>
      <c r="HP247" s="39"/>
      <c r="HQ247" s="39"/>
      <c r="HR247" s="39"/>
      <c r="HS247" s="39"/>
      <c r="HT247" s="39"/>
      <c r="HU247" s="39"/>
      <c r="HV247" s="39"/>
      <c r="HW247" s="39"/>
      <c r="HX247" s="39"/>
      <c r="HY247" s="39"/>
      <c r="HZ247" s="39"/>
      <c r="IA247" s="39"/>
      <c r="IB247" s="39"/>
      <c r="IC247" s="39"/>
      <c r="ID247" s="39"/>
      <c r="IE247" s="39"/>
      <c r="IF247" s="39"/>
      <c r="IG247" s="39"/>
      <c r="IH247" s="39"/>
      <c r="II247" s="39"/>
      <c r="IJ247" s="39"/>
      <c r="IK247" s="39"/>
      <c r="IL247" s="39"/>
      <c r="IM247" s="39"/>
      <c r="IN247" s="39"/>
      <c r="IO247" s="39"/>
      <c r="IP247" s="39"/>
      <c r="IQ247" s="39"/>
      <c r="IR247" s="39"/>
      <c r="IS247" s="39"/>
      <c r="IT247" s="39"/>
      <c r="IU247" s="39"/>
      <c r="IV247" s="39"/>
      <c r="IW247" s="39"/>
    </row>
    <row r="248" customFormat="false" ht="8.1" hidden="false" customHeight="true" outlineLevel="0" collapsed="false">
      <c r="A248" s="37"/>
      <c r="B248" s="38"/>
      <c r="C248" s="39"/>
      <c r="D248" s="96"/>
      <c r="E248" s="39"/>
      <c r="F248" s="71"/>
      <c r="G248" s="71"/>
      <c r="H248" s="39"/>
      <c r="I248" s="39"/>
      <c r="J248" s="39"/>
      <c r="K248" s="71"/>
      <c r="L248" s="39"/>
      <c r="M248" s="39"/>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0"/>
      <c r="AX248" s="71"/>
      <c r="AY248" s="71"/>
      <c r="AZ248" s="39"/>
      <c r="BA248" s="71"/>
      <c r="BB248" s="71"/>
      <c r="BC248" s="71"/>
      <c r="BD248" s="39"/>
      <c r="BE248" s="71"/>
      <c r="BF248" s="71"/>
      <c r="BG248" s="48"/>
      <c r="BH248" s="39"/>
      <c r="BI248" s="39"/>
      <c r="BJ248" s="39"/>
      <c r="BK248" s="39"/>
      <c r="BL248" s="39"/>
      <c r="BM248" s="39"/>
      <c r="BN248" s="39"/>
      <c r="BO248" s="39"/>
      <c r="BP248" s="39"/>
      <c r="BQ248" s="39"/>
      <c r="BR248" s="39"/>
      <c r="BS248" s="39"/>
      <c r="BT248" s="39"/>
      <c r="BU248" s="39"/>
      <c r="BV248" s="39"/>
      <c r="BW248" s="39"/>
      <c r="BX248" s="39"/>
      <c r="BY248" s="39"/>
      <c r="BZ248" s="39"/>
      <c r="CA248" s="39"/>
      <c r="CB248" s="39"/>
      <c r="CC248" s="39"/>
      <c r="CD248" s="39"/>
      <c r="CE248" s="39"/>
      <c r="CF248" s="39"/>
      <c r="CG248" s="39"/>
      <c r="CH248" s="39"/>
      <c r="CI248" s="39"/>
      <c r="CJ248" s="39"/>
      <c r="CK248" s="39"/>
      <c r="CL248" s="39"/>
      <c r="CM248" s="39"/>
      <c r="CN248" s="39"/>
      <c r="CO248" s="39"/>
      <c r="CP248" s="39"/>
      <c r="CQ248" s="39"/>
      <c r="CR248" s="39"/>
      <c r="CS248" s="39"/>
      <c r="CT248" s="39"/>
      <c r="CU248" s="39"/>
      <c r="CV248" s="39"/>
      <c r="CW248" s="39"/>
      <c r="CX248" s="39"/>
      <c r="CY248" s="39"/>
      <c r="CZ248" s="39"/>
      <c r="DA248" s="39"/>
      <c r="DB248" s="39"/>
      <c r="DC248" s="39"/>
      <c r="DD248" s="39"/>
      <c r="DE248" s="39"/>
      <c r="DF248" s="39"/>
      <c r="DG248" s="39"/>
      <c r="DH248" s="39"/>
      <c r="DI248" s="39"/>
      <c r="DJ248" s="39"/>
      <c r="DK248" s="39"/>
      <c r="DL248" s="39"/>
      <c r="DM248" s="39"/>
      <c r="DN248" s="39"/>
      <c r="DO248" s="39"/>
      <c r="DP248" s="39"/>
      <c r="DQ248" s="39"/>
      <c r="DR248" s="39"/>
      <c r="DS248" s="39"/>
      <c r="DT248" s="39"/>
      <c r="DU248" s="39"/>
      <c r="DV248" s="39"/>
      <c r="DW248" s="39"/>
      <c r="DX248" s="39"/>
      <c r="DY248" s="39"/>
      <c r="DZ248" s="39"/>
      <c r="EA248" s="39"/>
      <c r="EB248" s="39"/>
      <c r="EC248" s="39"/>
      <c r="ED248" s="39"/>
      <c r="EE248" s="39"/>
      <c r="EF248" s="39"/>
      <c r="EG248" s="39"/>
      <c r="EH248" s="39"/>
      <c r="EI248" s="39"/>
      <c r="EJ248" s="39"/>
      <c r="EK248" s="39"/>
      <c r="EL248" s="39"/>
      <c r="EM248" s="39"/>
      <c r="EN248" s="39"/>
      <c r="EO248" s="39"/>
      <c r="EP248" s="39"/>
      <c r="EQ248" s="39"/>
      <c r="ER248" s="39"/>
      <c r="ES248" s="39"/>
      <c r="ET248" s="39"/>
      <c r="EU248" s="39"/>
      <c r="EV248" s="39"/>
      <c r="EW248" s="39"/>
      <c r="EX248" s="39"/>
      <c r="EY248" s="39"/>
      <c r="EZ248" s="39"/>
      <c r="FA248" s="39"/>
      <c r="FB248" s="39"/>
      <c r="FC248" s="39"/>
      <c r="FD248" s="39"/>
      <c r="FE248" s="39"/>
      <c r="FF248" s="39"/>
      <c r="FG248" s="39"/>
      <c r="FH248" s="39"/>
      <c r="FI248" s="39"/>
      <c r="FJ248" s="39"/>
      <c r="FK248" s="39"/>
      <c r="FL248" s="39"/>
      <c r="FM248" s="39"/>
      <c r="FN248" s="39"/>
      <c r="FO248" s="39"/>
      <c r="FP248" s="39"/>
      <c r="FQ248" s="39"/>
      <c r="FR248" s="39"/>
      <c r="FS248" s="39"/>
      <c r="FT248" s="39"/>
      <c r="FU248" s="39"/>
      <c r="FV248" s="39"/>
      <c r="FW248" s="39"/>
      <c r="FX248" s="39"/>
      <c r="FY248" s="39"/>
      <c r="FZ248" s="39"/>
      <c r="GA248" s="39"/>
      <c r="GB248" s="39"/>
      <c r="GC248" s="39"/>
      <c r="GD248" s="39"/>
      <c r="GE248" s="39"/>
      <c r="GF248" s="39"/>
      <c r="GG248" s="39"/>
      <c r="GH248" s="39"/>
      <c r="GI248" s="39"/>
      <c r="GJ248" s="39"/>
      <c r="GK248" s="39"/>
      <c r="GL248" s="39"/>
      <c r="GM248" s="39"/>
      <c r="GN248" s="39"/>
      <c r="GO248" s="39"/>
      <c r="GP248" s="39"/>
      <c r="GQ248" s="39"/>
      <c r="GR248" s="39"/>
      <c r="GS248" s="39"/>
      <c r="GT248" s="39"/>
      <c r="GU248" s="39"/>
      <c r="GV248" s="39"/>
      <c r="GW248" s="39"/>
      <c r="GX248" s="39"/>
      <c r="GY248" s="39"/>
      <c r="GZ248" s="39"/>
      <c r="HA248" s="39"/>
      <c r="HB248" s="39"/>
      <c r="HC248" s="39"/>
      <c r="HD248" s="39"/>
      <c r="HE248" s="39"/>
      <c r="HF248" s="39"/>
      <c r="HG248" s="39"/>
      <c r="HH248" s="39"/>
      <c r="HI248" s="39"/>
      <c r="HJ248" s="39"/>
      <c r="HK248" s="39"/>
      <c r="HL248" s="39"/>
      <c r="HM248" s="39"/>
      <c r="HN248" s="39"/>
      <c r="HO248" s="39"/>
      <c r="HP248" s="39"/>
      <c r="HQ248" s="39"/>
      <c r="HR248" s="39"/>
      <c r="HS248" s="39"/>
      <c r="HT248" s="39"/>
      <c r="HU248" s="39"/>
      <c r="HV248" s="39"/>
      <c r="HW248" s="39"/>
      <c r="HX248" s="39"/>
      <c r="HY248" s="39"/>
      <c r="HZ248" s="39"/>
      <c r="IA248" s="39"/>
      <c r="IB248" s="39"/>
      <c r="IC248" s="39"/>
      <c r="ID248" s="39"/>
      <c r="IE248" s="39"/>
      <c r="IF248" s="39"/>
      <c r="IG248" s="39"/>
      <c r="IH248" s="39"/>
      <c r="II248" s="39"/>
      <c r="IJ248" s="39"/>
      <c r="IK248" s="39"/>
      <c r="IL248" s="39"/>
      <c r="IM248" s="39"/>
      <c r="IN248" s="39"/>
      <c r="IO248" s="39"/>
      <c r="IP248" s="39"/>
      <c r="IQ248" s="39"/>
      <c r="IR248" s="39"/>
      <c r="IS248" s="39"/>
      <c r="IT248" s="39"/>
      <c r="IU248" s="39"/>
      <c r="IV248" s="39"/>
      <c r="IW248" s="39"/>
    </row>
    <row r="249" customFormat="false" ht="12.95" hidden="false" customHeight="true" outlineLevel="0" collapsed="false">
      <c r="A249" s="106" t="s">
        <v>432</v>
      </c>
      <c r="B249" s="38"/>
      <c r="C249" s="39"/>
      <c r="D249" s="96"/>
      <c r="E249" s="39"/>
      <c r="F249" s="71"/>
      <c r="G249" s="71"/>
      <c r="H249" s="39"/>
      <c r="I249" s="39"/>
      <c r="J249" s="39"/>
      <c r="K249" s="71"/>
      <c r="L249" s="39"/>
      <c r="M249" s="39"/>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0"/>
      <c r="AX249" s="71"/>
      <c r="AY249" s="71"/>
      <c r="AZ249" s="39"/>
      <c r="BA249" s="71"/>
      <c r="BB249" s="71"/>
      <c r="BC249" s="71"/>
      <c r="BD249" s="39"/>
      <c r="BE249" s="71"/>
      <c r="BF249" s="71"/>
      <c r="BG249" s="48"/>
      <c r="BH249" s="39"/>
      <c r="BI249" s="39"/>
      <c r="BJ249" s="39"/>
      <c r="BK249" s="39"/>
      <c r="BL249" s="39"/>
      <c r="BM249" s="39"/>
      <c r="BN249" s="39"/>
      <c r="BO249" s="39"/>
      <c r="BP249" s="39"/>
      <c r="BQ249" s="39"/>
      <c r="BR249" s="39"/>
      <c r="BS249" s="39"/>
      <c r="BT249" s="39"/>
      <c r="BU249" s="39"/>
      <c r="BV249" s="39"/>
      <c r="BW249" s="39"/>
      <c r="BX249" s="39"/>
      <c r="BY249" s="39"/>
      <c r="BZ249" s="39"/>
      <c r="CA249" s="39"/>
      <c r="CB249" s="39"/>
      <c r="CC249" s="39"/>
      <c r="CD249" s="39"/>
      <c r="CE249" s="39"/>
      <c r="CF249" s="39"/>
      <c r="CG249" s="39"/>
      <c r="CH249" s="39"/>
      <c r="CI249" s="39"/>
      <c r="CJ249" s="39"/>
      <c r="CK249" s="39"/>
      <c r="CL249" s="39"/>
      <c r="CM249" s="39"/>
      <c r="CN249" s="39"/>
      <c r="CO249" s="39"/>
      <c r="CP249" s="39"/>
      <c r="CQ249" s="39"/>
      <c r="CR249" s="39"/>
      <c r="CS249" s="39"/>
      <c r="CT249" s="39"/>
      <c r="CU249" s="39"/>
      <c r="CV249" s="39"/>
      <c r="CW249" s="39"/>
      <c r="CX249" s="39"/>
      <c r="CY249" s="39"/>
      <c r="CZ249" s="39"/>
      <c r="DA249" s="39"/>
      <c r="DB249" s="39"/>
      <c r="DC249" s="39"/>
      <c r="DD249" s="39"/>
      <c r="DE249" s="39"/>
      <c r="DF249" s="39"/>
      <c r="DG249" s="39"/>
      <c r="DH249" s="39"/>
      <c r="DI249" s="39"/>
      <c r="DJ249" s="39"/>
      <c r="DK249" s="39"/>
      <c r="DL249" s="39"/>
      <c r="DM249" s="39"/>
      <c r="DN249" s="39"/>
      <c r="DO249" s="39"/>
      <c r="DP249" s="39"/>
      <c r="DQ249" s="39"/>
      <c r="DR249" s="39"/>
      <c r="DS249" s="39"/>
      <c r="DT249" s="39"/>
      <c r="DU249" s="39"/>
      <c r="DV249" s="39"/>
      <c r="DW249" s="39"/>
      <c r="DX249" s="39"/>
      <c r="DY249" s="39"/>
      <c r="DZ249" s="39"/>
      <c r="EA249" s="39"/>
      <c r="EB249" s="39"/>
      <c r="EC249" s="39"/>
      <c r="ED249" s="39"/>
      <c r="EE249" s="39"/>
      <c r="EF249" s="39"/>
      <c r="EG249" s="39"/>
      <c r="EH249" s="39"/>
      <c r="EI249" s="39"/>
      <c r="EJ249" s="39"/>
      <c r="EK249" s="39"/>
      <c r="EL249" s="39"/>
      <c r="EM249" s="39"/>
      <c r="EN249" s="39"/>
      <c r="EO249" s="39"/>
      <c r="EP249" s="39"/>
      <c r="EQ249" s="39"/>
      <c r="ER249" s="39"/>
      <c r="ES249" s="39"/>
      <c r="ET249" s="39"/>
      <c r="EU249" s="39"/>
      <c r="EV249" s="39"/>
      <c r="EW249" s="39"/>
      <c r="EX249" s="39"/>
      <c r="EY249" s="39"/>
      <c r="EZ249" s="39"/>
      <c r="FA249" s="39"/>
      <c r="FB249" s="39"/>
      <c r="FC249" s="39"/>
      <c r="FD249" s="39"/>
      <c r="FE249" s="39"/>
      <c r="FF249" s="39"/>
      <c r="FG249" s="39"/>
      <c r="FH249" s="39"/>
      <c r="FI249" s="39"/>
      <c r="FJ249" s="39"/>
      <c r="FK249" s="39"/>
      <c r="FL249" s="39"/>
      <c r="FM249" s="39"/>
      <c r="FN249" s="39"/>
      <c r="FO249" s="39"/>
      <c r="FP249" s="39"/>
      <c r="FQ249" s="39"/>
      <c r="FR249" s="39"/>
      <c r="FS249" s="39"/>
      <c r="FT249" s="39"/>
      <c r="FU249" s="39"/>
      <c r="FV249" s="39"/>
      <c r="FW249" s="39"/>
      <c r="FX249" s="39"/>
      <c r="FY249" s="39"/>
      <c r="FZ249" s="39"/>
      <c r="GA249" s="39"/>
      <c r="GB249" s="39"/>
      <c r="GC249" s="39"/>
      <c r="GD249" s="39"/>
      <c r="GE249" s="39"/>
      <c r="GF249" s="39"/>
      <c r="GG249" s="39"/>
      <c r="GH249" s="39"/>
      <c r="GI249" s="39"/>
      <c r="GJ249" s="39"/>
      <c r="GK249" s="39"/>
      <c r="GL249" s="39"/>
      <c r="GM249" s="39"/>
      <c r="GN249" s="39"/>
      <c r="GO249" s="39"/>
      <c r="GP249" s="39"/>
      <c r="GQ249" s="39"/>
      <c r="GR249" s="39"/>
      <c r="GS249" s="39"/>
      <c r="GT249" s="39"/>
      <c r="GU249" s="39"/>
      <c r="GV249" s="39"/>
      <c r="GW249" s="39"/>
      <c r="GX249" s="39"/>
      <c r="GY249" s="39"/>
      <c r="GZ249" s="39"/>
      <c r="HA249" s="39"/>
      <c r="HB249" s="39"/>
      <c r="HC249" s="39"/>
      <c r="HD249" s="39"/>
      <c r="HE249" s="39"/>
      <c r="HF249" s="39"/>
      <c r="HG249" s="39"/>
      <c r="HH249" s="39"/>
      <c r="HI249" s="39"/>
      <c r="HJ249" s="39"/>
      <c r="HK249" s="39"/>
      <c r="HL249" s="39"/>
      <c r="HM249" s="39"/>
      <c r="HN249" s="39"/>
      <c r="HO249" s="39"/>
      <c r="HP249" s="39"/>
      <c r="HQ249" s="39"/>
      <c r="HR249" s="39"/>
      <c r="HS249" s="39"/>
      <c r="HT249" s="39"/>
      <c r="HU249" s="39"/>
      <c r="HV249" s="39"/>
      <c r="HW249" s="39"/>
      <c r="HX249" s="39"/>
      <c r="HY249" s="39"/>
      <c r="HZ249" s="39"/>
      <c r="IA249" s="39"/>
      <c r="IB249" s="39"/>
      <c r="IC249" s="39"/>
      <c r="ID249" s="39"/>
      <c r="IE249" s="39"/>
      <c r="IF249" s="39"/>
      <c r="IG249" s="39"/>
      <c r="IH249" s="39"/>
      <c r="II249" s="39"/>
      <c r="IJ249" s="39"/>
      <c r="IK249" s="39"/>
      <c r="IL249" s="39"/>
      <c r="IM249" s="39"/>
      <c r="IN249" s="39"/>
      <c r="IO249" s="39"/>
      <c r="IP249" s="39"/>
      <c r="IQ249" s="39"/>
      <c r="IR249" s="39"/>
      <c r="IS249" s="39"/>
      <c r="IT249" s="39"/>
      <c r="IU249" s="39"/>
      <c r="IV249" s="39"/>
      <c r="IW249" s="39"/>
    </row>
    <row r="250" customFormat="false" ht="12.95" hidden="false" customHeight="true" outlineLevel="0" collapsed="false">
      <c r="A250" s="37" t="n">
        <f aca="false">+'CCs # Master'!A52</f>
        <v>901</v>
      </c>
      <c r="B250" s="39" t="str">
        <f aca="false">+'CCs # Master'!B52</f>
        <v>Vacant  Space</v>
      </c>
      <c r="C250" s="39" t="str">
        <f aca="false">+'CCs # Master'!C52</f>
        <v>Akhave, Billie</v>
      </c>
      <c r="D250" s="96" t="n">
        <f aca="false">+'CCs # Master'!D52</f>
        <v>100064</v>
      </c>
      <c r="E250" s="39" t="n">
        <f aca="false">+'CCs # Master'!E52</f>
        <v>0</v>
      </c>
      <c r="F250" s="39" t="n">
        <f aca="false">+'CCs # Master'!F52</f>
        <v>0</v>
      </c>
      <c r="G250" s="39" t="n">
        <f aca="false">+'CCs # Master'!G52</f>
        <v>0</v>
      </c>
      <c r="H250" s="39" t="n">
        <f aca="false">+'CCs # Master'!H52</f>
        <v>0</v>
      </c>
      <c r="I250" s="39" t="n">
        <f aca="false">+'CCs # Master'!I52</f>
        <v>727</v>
      </c>
      <c r="J250" s="39" t="n">
        <f aca="false">+'CCs # Master'!J52</f>
        <v>0</v>
      </c>
      <c r="K250" s="71" t="n">
        <f aca="false">SUM(E250:J250)</f>
        <v>727</v>
      </c>
      <c r="L250" s="39"/>
      <c r="M250" s="39" t="str">
        <f aca="false">+'CCs # Master'!M52</f>
        <v>MMF</v>
      </c>
      <c r="N250" s="39" t="n">
        <f aca="false">+'CCs # Master'!AW52</f>
        <v>727</v>
      </c>
      <c r="O250" s="39" t="n">
        <v>0</v>
      </c>
      <c r="P250" s="39" t="n">
        <f aca="false">+'CCs # Master'!N52</f>
        <v>0</v>
      </c>
      <c r="Q250" s="39" t="n">
        <f aca="false">+'CCs # Master'!O52</f>
        <v>0</v>
      </c>
      <c r="R250" s="39" t="n">
        <f aca="false">+'CCs # Master'!P52</f>
        <v>0</v>
      </c>
      <c r="S250" s="39" t="n">
        <f aca="false">+'CCs # Master'!Q52</f>
        <v>0</v>
      </c>
      <c r="T250" s="39" t="n">
        <f aca="false">+'CCs # Master'!R52</f>
        <v>0</v>
      </c>
      <c r="U250" s="39" t="n">
        <f aca="false">+'CCs # Master'!S52</f>
        <v>0</v>
      </c>
      <c r="V250" s="39" t="n">
        <f aca="false">+'CCs # Master'!T52</f>
        <v>0</v>
      </c>
      <c r="W250" s="39" t="n">
        <f aca="false">+'CCs # Master'!U52</f>
        <v>0</v>
      </c>
      <c r="X250" s="39" t="n">
        <f aca="false">+'CCs # Master'!V52</f>
        <v>0</v>
      </c>
      <c r="Y250" s="39" t="n">
        <f aca="false">+'CCs # Master'!W52</f>
        <v>0</v>
      </c>
      <c r="Z250" s="39" t="n">
        <f aca="false">+'CCs # Master'!X52</f>
        <v>0</v>
      </c>
      <c r="AA250" s="39" t="n">
        <f aca="false">+'CCs # Master'!Y52</f>
        <v>0</v>
      </c>
      <c r="AB250" s="39" t="n">
        <f aca="false">+'CCs # Master'!Z52</f>
        <v>0</v>
      </c>
      <c r="AC250" s="39" t="n">
        <f aca="false">+'CCs # Master'!AA52</f>
        <v>0</v>
      </c>
      <c r="AD250" s="39" t="n">
        <f aca="false">+'CCs # Master'!AB52</f>
        <v>0</v>
      </c>
      <c r="AE250" s="39" t="n">
        <f aca="false">+'CCs # Master'!AC52</f>
        <v>0</v>
      </c>
      <c r="AF250" s="39" t="n">
        <f aca="false">+'CCs # Master'!AD52</f>
        <v>0</v>
      </c>
      <c r="AG250" s="39" t="n">
        <f aca="false">+'CCs # Master'!AE52</f>
        <v>0</v>
      </c>
      <c r="AH250" s="39" t="n">
        <f aca="false">+'CCs # Master'!AF52</f>
        <v>0</v>
      </c>
      <c r="AI250" s="39" t="n">
        <f aca="false">+'CCs # Master'!AG52</f>
        <v>0</v>
      </c>
      <c r="AJ250" s="39" t="n">
        <f aca="false">+'CCs # Master'!AH52</f>
        <v>0</v>
      </c>
      <c r="AK250" s="39" t="n">
        <f aca="false">+'CCs # Master'!AI52</f>
        <v>0</v>
      </c>
      <c r="AL250" s="39" t="n">
        <f aca="false">+'CCs # Master'!AJ52</f>
        <v>0</v>
      </c>
      <c r="AM250" s="39" t="n">
        <f aca="false">+'CCs # Master'!AK52</f>
        <v>0</v>
      </c>
      <c r="AN250" s="39" t="n">
        <f aca="false">+'CCs # Master'!AL52</f>
        <v>0</v>
      </c>
      <c r="AO250" s="39" t="n">
        <f aca="false">+'CCs # Master'!AM52</f>
        <v>0</v>
      </c>
      <c r="AP250" s="39" t="n">
        <f aca="false">+'CCs # Master'!AN52</f>
        <v>0</v>
      </c>
      <c r="AQ250" s="39" t="n">
        <f aca="false">+'CCs # Master'!AO52</f>
        <v>0</v>
      </c>
      <c r="AR250" s="39" t="n">
        <f aca="false">+'CCs # Master'!AP52</f>
        <v>0</v>
      </c>
      <c r="AS250" s="39" t="n">
        <f aca="false">+'CCs # Master'!AQ52</f>
        <v>0</v>
      </c>
      <c r="AT250" s="39" t="n">
        <f aca="false">+'CCs # Master'!AR52</f>
        <v>0</v>
      </c>
      <c r="AU250" s="39" t="n">
        <f aca="false">+'CCs # Master'!AS52</f>
        <v>0</v>
      </c>
      <c r="AV250" s="39" t="n">
        <f aca="false">+'CCs # Master'!AT52</f>
        <v>0</v>
      </c>
      <c r="AW250" s="0"/>
      <c r="AX250" s="71" t="n">
        <f aca="false">SUM(N250:AW250)</f>
        <v>727</v>
      </c>
      <c r="AY250" s="71" t="n">
        <f aca="false">+K250-AX250</f>
        <v>0</v>
      </c>
      <c r="AZ250" s="39"/>
      <c r="BA250" s="39" t="n">
        <f aca="false">+P250+Q250+T250+U250+V250+W250+X250+Y250</f>
        <v>0</v>
      </c>
      <c r="BB250" s="39" t="n">
        <f aca="false">N250</f>
        <v>727</v>
      </c>
      <c r="BC250" s="39" t="n">
        <f aca="false">SUM(P250:AW250)</f>
        <v>0</v>
      </c>
      <c r="BD250" s="39"/>
      <c r="BE250" s="39" t="n">
        <f aca="false">SUM(BB250:BC250)</f>
        <v>727</v>
      </c>
      <c r="BF250" s="39"/>
      <c r="BG250" s="48" t="n">
        <f aca="false">SUM(N250:AW250)</f>
        <v>727</v>
      </c>
      <c r="BH250" s="39" t="n">
        <f aca="false">BE250-BG250</f>
        <v>0</v>
      </c>
      <c r="BI250" s="39"/>
      <c r="BJ250" s="39"/>
      <c r="BK250" s="39"/>
      <c r="BL250" s="39"/>
      <c r="BM250" s="39"/>
      <c r="BN250" s="39"/>
      <c r="BO250" s="39"/>
      <c r="BP250" s="39"/>
      <c r="BQ250" s="39"/>
      <c r="BR250" s="39"/>
      <c r="BS250" s="39"/>
      <c r="BT250" s="39"/>
      <c r="BU250" s="39"/>
      <c r="BV250" s="39"/>
      <c r="BW250" s="39"/>
      <c r="BX250" s="39"/>
      <c r="BY250" s="39"/>
      <c r="BZ250" s="39"/>
      <c r="CA250" s="39"/>
      <c r="CB250" s="39"/>
      <c r="CC250" s="39"/>
      <c r="CD250" s="39"/>
      <c r="CE250" s="39"/>
      <c r="CF250" s="39"/>
      <c r="CG250" s="39"/>
      <c r="CH250" s="39"/>
      <c r="CI250" s="39"/>
      <c r="CJ250" s="39"/>
      <c r="CK250" s="39"/>
      <c r="CL250" s="39"/>
      <c r="CM250" s="39"/>
      <c r="CN250" s="39"/>
      <c r="CO250" s="39"/>
      <c r="CP250" s="39"/>
      <c r="CQ250" s="39"/>
      <c r="CR250" s="39"/>
      <c r="CS250" s="39"/>
      <c r="CT250" s="39"/>
      <c r="CU250" s="39"/>
      <c r="CV250" s="39"/>
      <c r="CW250" s="39"/>
      <c r="CX250" s="39"/>
      <c r="CY250" s="39"/>
      <c r="CZ250" s="39"/>
      <c r="DA250" s="39"/>
      <c r="DB250" s="39"/>
      <c r="DC250" s="39"/>
      <c r="DD250" s="39"/>
      <c r="DE250" s="39"/>
      <c r="DF250" s="39"/>
      <c r="DG250" s="39"/>
      <c r="DH250" s="39"/>
      <c r="DI250" s="39"/>
      <c r="DJ250" s="39"/>
      <c r="DK250" s="39"/>
      <c r="DL250" s="39"/>
      <c r="DM250" s="39"/>
      <c r="DN250" s="39"/>
      <c r="DO250" s="39"/>
      <c r="DP250" s="39"/>
      <c r="DQ250" s="39"/>
      <c r="DR250" s="39"/>
      <c r="DS250" s="39"/>
      <c r="DT250" s="39"/>
      <c r="DU250" s="39"/>
      <c r="DV250" s="39"/>
      <c r="DW250" s="39"/>
      <c r="DX250" s="39"/>
      <c r="DY250" s="39"/>
      <c r="DZ250" s="39"/>
      <c r="EA250" s="39"/>
      <c r="EB250" s="39"/>
      <c r="EC250" s="39"/>
      <c r="ED250" s="39"/>
      <c r="EE250" s="39"/>
      <c r="EF250" s="39"/>
      <c r="EG250" s="39"/>
      <c r="EH250" s="39"/>
      <c r="EI250" s="39"/>
      <c r="EJ250" s="39"/>
      <c r="EK250" s="39"/>
      <c r="EL250" s="39"/>
      <c r="EM250" s="39"/>
      <c r="EN250" s="39"/>
      <c r="EO250" s="39"/>
      <c r="EP250" s="39"/>
      <c r="EQ250" s="39"/>
      <c r="ER250" s="39"/>
      <c r="ES250" s="39"/>
      <c r="ET250" s="39"/>
      <c r="EU250" s="39"/>
      <c r="EV250" s="39"/>
      <c r="EW250" s="39"/>
      <c r="EX250" s="39"/>
      <c r="EY250" s="39"/>
      <c r="EZ250" s="39"/>
      <c r="FA250" s="39"/>
      <c r="FB250" s="39"/>
      <c r="FC250" s="39"/>
      <c r="FD250" s="39"/>
      <c r="FE250" s="39"/>
      <c r="FF250" s="39"/>
      <c r="FG250" s="39"/>
      <c r="FH250" s="39"/>
      <c r="FI250" s="39"/>
      <c r="FJ250" s="39"/>
      <c r="FK250" s="39"/>
      <c r="FL250" s="39"/>
      <c r="FM250" s="39"/>
      <c r="FN250" s="39"/>
      <c r="FO250" s="39"/>
      <c r="FP250" s="39"/>
      <c r="FQ250" s="39"/>
      <c r="FR250" s="39"/>
      <c r="FS250" s="39"/>
      <c r="FT250" s="39"/>
      <c r="FU250" s="39"/>
      <c r="FV250" s="39"/>
      <c r="FW250" s="39"/>
      <c r="FX250" s="39"/>
      <c r="FY250" s="39"/>
      <c r="FZ250" s="39"/>
      <c r="GA250" s="39"/>
      <c r="GB250" s="39"/>
      <c r="GC250" s="39"/>
      <c r="GD250" s="39"/>
      <c r="GE250" s="39"/>
      <c r="GF250" s="39"/>
      <c r="GG250" s="39"/>
      <c r="GH250" s="39"/>
      <c r="GI250" s="39"/>
      <c r="GJ250" s="39"/>
      <c r="GK250" s="39"/>
      <c r="GL250" s="39"/>
      <c r="GM250" s="39"/>
      <c r="GN250" s="39"/>
      <c r="GO250" s="39"/>
      <c r="GP250" s="39"/>
      <c r="GQ250" s="39"/>
      <c r="GR250" s="39"/>
      <c r="GS250" s="39"/>
      <c r="GT250" s="39"/>
      <c r="GU250" s="39"/>
      <c r="GV250" s="39"/>
      <c r="GW250" s="39"/>
      <c r="GX250" s="39"/>
      <c r="GY250" s="39"/>
      <c r="GZ250" s="39"/>
      <c r="HA250" s="39"/>
      <c r="HB250" s="39"/>
      <c r="HC250" s="39"/>
      <c r="HD250" s="39"/>
      <c r="HE250" s="39"/>
      <c r="HF250" s="39"/>
      <c r="HG250" s="39"/>
      <c r="HH250" s="39"/>
      <c r="HI250" s="39"/>
      <c r="HJ250" s="39"/>
      <c r="HK250" s="39"/>
      <c r="HL250" s="39"/>
      <c r="HM250" s="39"/>
      <c r="HN250" s="39"/>
      <c r="HO250" s="39"/>
      <c r="HP250" s="39"/>
      <c r="HQ250" s="39"/>
      <c r="HR250" s="39"/>
      <c r="HS250" s="39"/>
      <c r="HT250" s="39"/>
      <c r="HU250" s="39"/>
      <c r="HV250" s="39"/>
      <c r="HW250" s="39"/>
      <c r="HX250" s="39"/>
      <c r="HY250" s="39"/>
      <c r="HZ250" s="39"/>
      <c r="IA250" s="39"/>
      <c r="IB250" s="39"/>
      <c r="IC250" s="39"/>
      <c r="ID250" s="39"/>
      <c r="IE250" s="39"/>
      <c r="IF250" s="39"/>
      <c r="IG250" s="39"/>
      <c r="IH250" s="39"/>
      <c r="II250" s="39"/>
      <c r="IJ250" s="39"/>
      <c r="IK250" s="39"/>
      <c r="IL250" s="39"/>
      <c r="IM250" s="39"/>
      <c r="IN250" s="39"/>
      <c r="IO250" s="39"/>
      <c r="IP250" s="39"/>
      <c r="IQ250" s="39"/>
      <c r="IR250" s="39"/>
      <c r="IS250" s="39"/>
      <c r="IT250" s="39"/>
      <c r="IU250" s="39"/>
      <c r="IV250" s="39"/>
      <c r="IW250" s="39"/>
    </row>
    <row r="251" customFormat="false" ht="12.95" hidden="false" customHeight="true" outlineLevel="0" collapsed="false">
      <c r="A251" s="37"/>
      <c r="B251" s="39" t="s">
        <v>433</v>
      </c>
      <c r="C251" s="39"/>
      <c r="D251" s="96"/>
      <c r="E251" s="39"/>
      <c r="F251" s="39"/>
      <c r="G251" s="39"/>
      <c r="H251" s="39"/>
      <c r="I251" s="39"/>
      <c r="J251" s="39"/>
      <c r="K251" s="71" t="n">
        <v>0</v>
      </c>
      <c r="L251" s="39"/>
      <c r="M251" s="39"/>
      <c r="N251" s="39" t="n">
        <v>0</v>
      </c>
      <c r="O251" s="39" t="n">
        <v>0</v>
      </c>
      <c r="P251" s="39" t="n">
        <v>0</v>
      </c>
      <c r="Q251" s="39" t="n">
        <v>0</v>
      </c>
      <c r="R251" s="39" t="n">
        <v>0</v>
      </c>
      <c r="S251" s="39" t="n">
        <v>0</v>
      </c>
      <c r="T251" s="39" t="n">
        <v>0</v>
      </c>
      <c r="U251" s="39" t="n">
        <v>0</v>
      </c>
      <c r="V251" s="39" t="n">
        <v>0</v>
      </c>
      <c r="W251" s="39" t="n">
        <v>0</v>
      </c>
      <c r="X251" s="39" t="n">
        <v>0</v>
      </c>
      <c r="Y251" s="39" t="n">
        <v>0</v>
      </c>
      <c r="Z251" s="39" t="n">
        <v>0</v>
      </c>
      <c r="AA251" s="39" t="n">
        <v>0</v>
      </c>
      <c r="AB251" s="39" t="n">
        <v>0</v>
      </c>
      <c r="AC251" s="39" t="n">
        <v>0</v>
      </c>
      <c r="AD251" s="39" t="n">
        <v>0</v>
      </c>
      <c r="AE251" s="39" t="n">
        <v>0</v>
      </c>
      <c r="AF251" s="39" t="n">
        <v>0</v>
      </c>
      <c r="AG251" s="39" t="n">
        <v>0</v>
      </c>
      <c r="AH251" s="39" t="n">
        <v>0</v>
      </c>
      <c r="AI251" s="39" t="n">
        <v>0</v>
      </c>
      <c r="AJ251" s="39" t="n">
        <v>0</v>
      </c>
      <c r="AK251" s="39" t="n">
        <v>0</v>
      </c>
      <c r="AL251" s="39" t="n">
        <v>0</v>
      </c>
      <c r="AM251" s="39" t="n">
        <v>0</v>
      </c>
      <c r="AN251" s="39" t="n">
        <v>0</v>
      </c>
      <c r="AO251" s="39" t="n">
        <v>0</v>
      </c>
      <c r="AP251" s="39" t="n">
        <v>0</v>
      </c>
      <c r="AQ251" s="39" t="n">
        <v>0</v>
      </c>
      <c r="AR251" s="39" t="n">
        <v>0</v>
      </c>
      <c r="AS251" s="39" t="n">
        <v>0</v>
      </c>
      <c r="AT251" s="39" t="n">
        <v>0</v>
      </c>
      <c r="AU251" s="39" t="n">
        <v>0</v>
      </c>
      <c r="AV251" s="39" t="n">
        <v>0</v>
      </c>
      <c r="AW251" s="0"/>
      <c r="AX251" s="71"/>
      <c r="AY251" s="71"/>
      <c r="AZ251" s="39"/>
      <c r="BA251" s="39" t="n">
        <f aca="false">+P251+Q251+T251+U251+V251+W251+X251+Y251</f>
        <v>0</v>
      </c>
      <c r="BB251" s="39" t="n">
        <v>0</v>
      </c>
      <c r="BC251" s="97" t="n">
        <f aca="false">SUM(P251:AW251)</f>
        <v>0</v>
      </c>
      <c r="BD251" s="39"/>
      <c r="BE251" s="97" t="n">
        <f aca="false">SUM(BB251:BC251)</f>
        <v>0</v>
      </c>
      <c r="BF251" s="39"/>
      <c r="BG251" s="98" t="n">
        <f aca="false">SUM(N251:AW251)</f>
        <v>0</v>
      </c>
      <c r="BH251" s="39" t="n">
        <f aca="false">BE251-BG251</f>
        <v>0</v>
      </c>
      <c r="BI251" s="39"/>
      <c r="BJ251" s="39"/>
      <c r="BK251" s="39"/>
      <c r="BL251" s="39"/>
      <c r="BM251" s="39"/>
      <c r="BN251" s="39"/>
      <c r="BO251" s="39"/>
      <c r="BP251" s="39"/>
      <c r="BQ251" s="39"/>
      <c r="BR251" s="39"/>
      <c r="BS251" s="39"/>
      <c r="BT251" s="39"/>
      <c r="BU251" s="39"/>
      <c r="BV251" s="39"/>
      <c r="BW251" s="39"/>
      <c r="BX251" s="39"/>
      <c r="BY251" s="39"/>
      <c r="BZ251" s="39"/>
      <c r="CA251" s="39"/>
      <c r="CB251" s="39"/>
      <c r="CC251" s="39"/>
      <c r="CD251" s="39"/>
      <c r="CE251" s="39"/>
      <c r="CF251" s="39"/>
      <c r="CG251" s="39"/>
      <c r="CH251" s="39"/>
      <c r="CI251" s="39"/>
      <c r="CJ251" s="39"/>
      <c r="CK251" s="39"/>
      <c r="CL251" s="39"/>
      <c r="CM251" s="39"/>
      <c r="CN251" s="39"/>
      <c r="CO251" s="39"/>
      <c r="CP251" s="39"/>
      <c r="CQ251" s="39"/>
      <c r="CR251" s="39"/>
      <c r="CS251" s="39"/>
      <c r="CT251" s="39"/>
      <c r="CU251" s="39"/>
      <c r="CV251" s="39"/>
      <c r="CW251" s="39"/>
      <c r="CX251" s="39"/>
      <c r="CY251" s="39"/>
      <c r="CZ251" s="39"/>
      <c r="DA251" s="39"/>
      <c r="DB251" s="39"/>
      <c r="DC251" s="39"/>
      <c r="DD251" s="39"/>
      <c r="DE251" s="39"/>
      <c r="DF251" s="39"/>
      <c r="DG251" s="39"/>
      <c r="DH251" s="39"/>
      <c r="DI251" s="39"/>
      <c r="DJ251" s="39"/>
      <c r="DK251" s="39"/>
      <c r="DL251" s="39"/>
      <c r="DM251" s="39"/>
      <c r="DN251" s="39"/>
      <c r="DO251" s="39"/>
      <c r="DP251" s="39"/>
      <c r="DQ251" s="39"/>
      <c r="DR251" s="39"/>
      <c r="DS251" s="39"/>
      <c r="DT251" s="39"/>
      <c r="DU251" s="39"/>
      <c r="DV251" s="39"/>
      <c r="DW251" s="39"/>
      <c r="DX251" s="39"/>
      <c r="DY251" s="39"/>
      <c r="DZ251" s="39"/>
      <c r="EA251" s="39"/>
      <c r="EB251" s="39"/>
      <c r="EC251" s="39"/>
      <c r="ED251" s="39"/>
      <c r="EE251" s="39"/>
      <c r="EF251" s="39"/>
      <c r="EG251" s="39"/>
      <c r="EH251" s="39"/>
      <c r="EI251" s="39"/>
      <c r="EJ251" s="39"/>
      <c r="EK251" s="39"/>
      <c r="EL251" s="39"/>
      <c r="EM251" s="39"/>
      <c r="EN251" s="39"/>
      <c r="EO251" s="39"/>
      <c r="EP251" s="39"/>
      <c r="EQ251" s="39"/>
      <c r="ER251" s="39"/>
      <c r="ES251" s="39"/>
      <c r="ET251" s="39"/>
      <c r="EU251" s="39"/>
      <c r="EV251" s="39"/>
      <c r="EW251" s="39"/>
      <c r="EX251" s="39"/>
      <c r="EY251" s="39"/>
      <c r="EZ251" s="39"/>
      <c r="FA251" s="39"/>
      <c r="FB251" s="39"/>
      <c r="FC251" s="39"/>
      <c r="FD251" s="39"/>
      <c r="FE251" s="39"/>
      <c r="FF251" s="39"/>
      <c r="FG251" s="39"/>
      <c r="FH251" s="39"/>
      <c r="FI251" s="39"/>
      <c r="FJ251" s="39"/>
      <c r="FK251" s="39"/>
      <c r="FL251" s="39"/>
      <c r="FM251" s="39"/>
      <c r="FN251" s="39"/>
      <c r="FO251" s="39"/>
      <c r="FP251" s="39"/>
      <c r="FQ251" s="39"/>
      <c r="FR251" s="39"/>
      <c r="FS251" s="39"/>
      <c r="FT251" s="39"/>
      <c r="FU251" s="39"/>
      <c r="FV251" s="39"/>
      <c r="FW251" s="39"/>
      <c r="FX251" s="39"/>
      <c r="FY251" s="39"/>
      <c r="FZ251" s="39"/>
      <c r="GA251" s="39"/>
      <c r="GB251" s="39"/>
      <c r="GC251" s="39"/>
      <c r="GD251" s="39"/>
      <c r="GE251" s="39"/>
      <c r="GF251" s="39"/>
      <c r="GG251" s="39"/>
      <c r="GH251" s="39"/>
      <c r="GI251" s="39"/>
      <c r="GJ251" s="39"/>
      <c r="GK251" s="39"/>
      <c r="GL251" s="39"/>
      <c r="GM251" s="39"/>
      <c r="GN251" s="39"/>
      <c r="GO251" s="39"/>
      <c r="GP251" s="39"/>
      <c r="GQ251" s="39"/>
      <c r="GR251" s="39"/>
      <c r="GS251" s="39"/>
      <c r="GT251" s="39"/>
      <c r="GU251" s="39"/>
      <c r="GV251" s="39"/>
      <c r="GW251" s="39"/>
      <c r="GX251" s="39"/>
      <c r="GY251" s="39"/>
      <c r="GZ251" s="39"/>
      <c r="HA251" s="39"/>
      <c r="HB251" s="39"/>
      <c r="HC251" s="39"/>
      <c r="HD251" s="39"/>
      <c r="HE251" s="39"/>
      <c r="HF251" s="39"/>
      <c r="HG251" s="39"/>
      <c r="HH251" s="39"/>
      <c r="HI251" s="39"/>
      <c r="HJ251" s="39"/>
      <c r="HK251" s="39"/>
      <c r="HL251" s="39"/>
      <c r="HM251" s="39"/>
      <c r="HN251" s="39"/>
      <c r="HO251" s="39"/>
      <c r="HP251" s="39"/>
      <c r="HQ251" s="39"/>
      <c r="HR251" s="39"/>
      <c r="HS251" s="39"/>
      <c r="HT251" s="39"/>
      <c r="HU251" s="39"/>
      <c r="HV251" s="39"/>
      <c r="HW251" s="39"/>
      <c r="HX251" s="39"/>
      <c r="HY251" s="39"/>
      <c r="HZ251" s="39"/>
      <c r="IA251" s="39"/>
      <c r="IB251" s="39"/>
      <c r="IC251" s="39"/>
      <c r="ID251" s="39"/>
      <c r="IE251" s="39"/>
      <c r="IF251" s="39"/>
      <c r="IG251" s="39"/>
      <c r="IH251" s="39"/>
      <c r="II251" s="39"/>
      <c r="IJ251" s="39"/>
      <c r="IK251" s="39"/>
      <c r="IL251" s="39"/>
      <c r="IM251" s="39"/>
      <c r="IN251" s="39"/>
      <c r="IO251" s="39"/>
      <c r="IP251" s="39"/>
      <c r="IQ251" s="39"/>
      <c r="IR251" s="39"/>
      <c r="IS251" s="39"/>
      <c r="IT251" s="39"/>
      <c r="IU251" s="39"/>
      <c r="IV251" s="39"/>
      <c r="IW251" s="39"/>
    </row>
    <row r="252" customFormat="false" ht="12.95" hidden="false" customHeight="true" outlineLevel="0" collapsed="false">
      <c r="A252" s="37"/>
      <c r="B252" s="107" t="s">
        <v>434</v>
      </c>
      <c r="C252" s="39"/>
      <c r="D252" s="96"/>
      <c r="E252" s="108" t="n">
        <f aca="false">SUM(E250:E251)</f>
        <v>0</v>
      </c>
      <c r="F252" s="108" t="n">
        <f aca="false">SUM(F250:F251)</f>
        <v>0</v>
      </c>
      <c r="G252" s="108" t="n">
        <f aca="false">SUM(G250:G251)</f>
        <v>0</v>
      </c>
      <c r="H252" s="108" t="n">
        <f aca="false">SUM(H250:H251)</f>
        <v>0</v>
      </c>
      <c r="I252" s="108" t="n">
        <f aca="false">SUM(I250:I251)</f>
        <v>727</v>
      </c>
      <c r="J252" s="108" t="n">
        <f aca="false">SUM(J250:J251)</f>
        <v>0</v>
      </c>
      <c r="K252" s="108" t="n">
        <f aca="false">SUM(K250:K251)</f>
        <v>727</v>
      </c>
      <c r="L252" s="39"/>
      <c r="M252" s="39"/>
      <c r="N252" s="108" t="n">
        <f aca="false">SUM(N250:N251)</f>
        <v>727</v>
      </c>
      <c r="O252" s="108" t="n">
        <f aca="false">SUM(O250:O251)</f>
        <v>0</v>
      </c>
      <c r="P252" s="108" t="n">
        <f aca="false">SUM(P250:P251)</f>
        <v>0</v>
      </c>
      <c r="Q252" s="108" t="n">
        <f aca="false">SUM(Q250:Q251)</f>
        <v>0</v>
      </c>
      <c r="R252" s="108" t="n">
        <f aca="false">SUM(R250:R251)</f>
        <v>0</v>
      </c>
      <c r="S252" s="108" t="n">
        <f aca="false">SUM(S250:S251)</f>
        <v>0</v>
      </c>
      <c r="T252" s="108" t="n">
        <f aca="false">SUM(T250:T251)</f>
        <v>0</v>
      </c>
      <c r="U252" s="108" t="n">
        <f aca="false">SUM(U250:U251)</f>
        <v>0</v>
      </c>
      <c r="V252" s="108" t="n">
        <f aca="false">SUM(V250:V251)</f>
        <v>0</v>
      </c>
      <c r="W252" s="108" t="n">
        <f aca="false">SUM(W250:W251)</f>
        <v>0</v>
      </c>
      <c r="X252" s="108" t="n">
        <f aca="false">SUM(X250:X251)</f>
        <v>0</v>
      </c>
      <c r="Y252" s="108" t="n">
        <f aca="false">SUM(Y250:Y251)</f>
        <v>0</v>
      </c>
      <c r="Z252" s="108" t="n">
        <f aca="false">SUM(Z250:Z251)</f>
        <v>0</v>
      </c>
      <c r="AA252" s="108" t="n">
        <f aca="false">SUM(AA250:AA251)</f>
        <v>0</v>
      </c>
      <c r="AB252" s="108" t="n">
        <f aca="false">SUM(AB250:AB251)</f>
        <v>0</v>
      </c>
      <c r="AC252" s="108" t="n">
        <f aca="false">SUM(AC250:AC251)</f>
        <v>0</v>
      </c>
      <c r="AD252" s="108" t="n">
        <f aca="false">SUM(AD250:AD251)</f>
        <v>0</v>
      </c>
      <c r="AE252" s="108" t="n">
        <f aca="false">SUM(AE250:AE251)</f>
        <v>0</v>
      </c>
      <c r="AF252" s="108" t="n">
        <f aca="false">SUM(AF250:AF251)</f>
        <v>0</v>
      </c>
      <c r="AG252" s="108" t="n">
        <f aca="false">SUM(AG250:AG251)</f>
        <v>0</v>
      </c>
      <c r="AH252" s="108" t="n">
        <f aca="false">SUM(AH250:AH251)</f>
        <v>0</v>
      </c>
      <c r="AI252" s="108" t="n">
        <f aca="false">SUM(AI250:AI251)</f>
        <v>0</v>
      </c>
      <c r="AJ252" s="108" t="n">
        <f aca="false">SUM(AJ250:AJ251)</f>
        <v>0</v>
      </c>
      <c r="AK252" s="108" t="n">
        <f aca="false">SUM(AK250:AK251)</f>
        <v>0</v>
      </c>
      <c r="AL252" s="108" t="n">
        <f aca="false">SUM(AL250:AL251)</f>
        <v>0</v>
      </c>
      <c r="AM252" s="108" t="n">
        <f aca="false">SUM(AM250:AM251)</f>
        <v>0</v>
      </c>
      <c r="AN252" s="108" t="n">
        <f aca="false">SUM(AN250:AN251)</f>
        <v>0</v>
      </c>
      <c r="AO252" s="108" t="n">
        <f aca="false">SUM(AO250:AO251)</f>
        <v>0</v>
      </c>
      <c r="AP252" s="108" t="n">
        <f aca="false">SUM(AP250:AP251)</f>
        <v>0</v>
      </c>
      <c r="AQ252" s="108" t="n">
        <f aca="false">SUM(AQ250:AQ251)</f>
        <v>0</v>
      </c>
      <c r="AR252" s="108" t="n">
        <f aca="false">SUM(AR250:AR251)</f>
        <v>0</v>
      </c>
      <c r="AS252" s="108" t="n">
        <f aca="false">SUM(AS250:AS251)</f>
        <v>0</v>
      </c>
      <c r="AT252" s="108" t="n">
        <f aca="false">SUM(AT250:AT251)</f>
        <v>0</v>
      </c>
      <c r="AU252" s="108" t="n">
        <f aca="false">SUM(AU250:AU251)</f>
        <v>0</v>
      </c>
      <c r="AV252" s="108" t="n">
        <f aca="false">SUM(AV250:AV251)</f>
        <v>0</v>
      </c>
      <c r="AW252" s="30"/>
      <c r="AX252" s="108" t="n">
        <f aca="false">SUM(AX250:AX251)</f>
        <v>727</v>
      </c>
      <c r="AY252" s="108" t="n">
        <f aca="false">SUM(AY250:AY251)</f>
        <v>0</v>
      </c>
      <c r="AZ252" s="39"/>
      <c r="BA252" s="108" t="n">
        <f aca="false">SUM(BA250:BA251)</f>
        <v>0</v>
      </c>
      <c r="BB252" s="108" t="n">
        <f aca="false">SUM(BB250:BB251)</f>
        <v>727</v>
      </c>
      <c r="BC252" s="97" t="n">
        <f aca="false">SUM(BC250:BC251)</f>
        <v>0</v>
      </c>
      <c r="BD252" s="39"/>
      <c r="BE252" s="97" t="n">
        <f aca="false">SUM(BE250:BE251)</f>
        <v>727</v>
      </c>
      <c r="BF252" s="39"/>
      <c r="BG252" s="109" t="n">
        <f aca="false">SUM(BG250:BG251)</f>
        <v>727</v>
      </c>
      <c r="BH252" s="39" t="n">
        <f aca="false">SUM(BH250:BH251)</f>
        <v>0</v>
      </c>
      <c r="BI252" s="39"/>
      <c r="BJ252" s="39"/>
      <c r="BK252" s="39"/>
      <c r="BL252" s="39"/>
      <c r="BM252" s="39"/>
      <c r="BN252" s="39"/>
      <c r="BO252" s="39"/>
      <c r="BP252" s="39"/>
      <c r="BQ252" s="39"/>
      <c r="BR252" s="39"/>
      <c r="BS252" s="39"/>
      <c r="BT252" s="39"/>
      <c r="BU252" s="39"/>
      <c r="BV252" s="39"/>
      <c r="BW252" s="39"/>
      <c r="BX252" s="39"/>
      <c r="BY252" s="39"/>
      <c r="BZ252" s="39"/>
      <c r="CA252" s="39"/>
      <c r="CB252" s="39"/>
      <c r="CC252" s="39"/>
      <c r="CD252" s="39"/>
      <c r="CE252" s="39"/>
      <c r="CF252" s="39"/>
      <c r="CG252" s="39"/>
      <c r="CH252" s="39"/>
      <c r="CI252" s="39"/>
      <c r="CJ252" s="39"/>
      <c r="CK252" s="39"/>
      <c r="CL252" s="39"/>
      <c r="CM252" s="39"/>
      <c r="CN252" s="39"/>
      <c r="CO252" s="39"/>
      <c r="CP252" s="39"/>
      <c r="CQ252" s="39"/>
      <c r="CR252" s="39"/>
      <c r="CS252" s="39"/>
      <c r="CT252" s="39"/>
      <c r="CU252" s="39"/>
      <c r="CV252" s="39"/>
      <c r="CW252" s="39"/>
      <c r="CX252" s="39"/>
      <c r="CY252" s="39"/>
      <c r="CZ252" s="39"/>
      <c r="DA252" s="39"/>
      <c r="DB252" s="39"/>
      <c r="DC252" s="39"/>
      <c r="DD252" s="39"/>
      <c r="DE252" s="39"/>
      <c r="DF252" s="39"/>
      <c r="DG252" s="39"/>
      <c r="DH252" s="39"/>
      <c r="DI252" s="39"/>
      <c r="DJ252" s="39"/>
      <c r="DK252" s="39"/>
      <c r="DL252" s="39"/>
      <c r="DM252" s="39"/>
      <c r="DN252" s="39"/>
      <c r="DO252" s="39"/>
      <c r="DP252" s="39"/>
      <c r="DQ252" s="39"/>
      <c r="DR252" s="39"/>
      <c r="DS252" s="39"/>
      <c r="DT252" s="39"/>
      <c r="DU252" s="39"/>
      <c r="DV252" s="39"/>
      <c r="DW252" s="39"/>
      <c r="DX252" s="39"/>
      <c r="DY252" s="39"/>
      <c r="DZ252" s="39"/>
      <c r="EA252" s="39"/>
      <c r="EB252" s="39"/>
      <c r="EC252" s="39"/>
      <c r="ED252" s="39"/>
      <c r="EE252" s="39"/>
      <c r="EF252" s="39"/>
      <c r="EG252" s="39"/>
      <c r="EH252" s="39"/>
      <c r="EI252" s="39"/>
      <c r="EJ252" s="39"/>
      <c r="EK252" s="39"/>
      <c r="EL252" s="39"/>
      <c r="EM252" s="39"/>
      <c r="EN252" s="39"/>
      <c r="EO252" s="39"/>
      <c r="EP252" s="39"/>
      <c r="EQ252" s="39"/>
      <c r="ER252" s="39"/>
      <c r="ES252" s="39"/>
      <c r="ET252" s="39"/>
      <c r="EU252" s="39"/>
      <c r="EV252" s="39"/>
      <c r="EW252" s="39"/>
      <c r="EX252" s="39"/>
      <c r="EY252" s="39"/>
      <c r="EZ252" s="39"/>
      <c r="FA252" s="39"/>
      <c r="FB252" s="39"/>
      <c r="FC252" s="39"/>
      <c r="FD252" s="39"/>
      <c r="FE252" s="39"/>
      <c r="FF252" s="39"/>
      <c r="FG252" s="39"/>
      <c r="FH252" s="39"/>
      <c r="FI252" s="39"/>
      <c r="FJ252" s="39"/>
      <c r="FK252" s="39"/>
      <c r="FL252" s="39"/>
      <c r="FM252" s="39"/>
      <c r="FN252" s="39"/>
      <c r="FO252" s="39"/>
      <c r="FP252" s="39"/>
      <c r="FQ252" s="39"/>
      <c r="FR252" s="39"/>
      <c r="FS252" s="39"/>
      <c r="FT252" s="39"/>
      <c r="FU252" s="39"/>
      <c r="FV252" s="39"/>
      <c r="FW252" s="39"/>
      <c r="FX252" s="39"/>
      <c r="FY252" s="39"/>
      <c r="FZ252" s="39"/>
      <c r="GA252" s="39"/>
      <c r="GB252" s="39"/>
      <c r="GC252" s="39"/>
      <c r="GD252" s="39"/>
      <c r="GE252" s="39"/>
      <c r="GF252" s="39"/>
      <c r="GG252" s="39"/>
      <c r="GH252" s="39"/>
      <c r="GI252" s="39"/>
      <c r="GJ252" s="39"/>
      <c r="GK252" s="39"/>
      <c r="GL252" s="39"/>
      <c r="GM252" s="39"/>
      <c r="GN252" s="39"/>
      <c r="GO252" s="39"/>
      <c r="GP252" s="39"/>
      <c r="GQ252" s="39"/>
      <c r="GR252" s="39"/>
      <c r="GS252" s="39"/>
      <c r="GT252" s="39"/>
      <c r="GU252" s="39"/>
      <c r="GV252" s="39"/>
      <c r="GW252" s="39"/>
      <c r="GX252" s="39"/>
      <c r="GY252" s="39"/>
      <c r="GZ252" s="39"/>
      <c r="HA252" s="39"/>
      <c r="HB252" s="39"/>
      <c r="HC252" s="39"/>
      <c r="HD252" s="39"/>
      <c r="HE252" s="39"/>
      <c r="HF252" s="39"/>
      <c r="HG252" s="39"/>
      <c r="HH252" s="39"/>
      <c r="HI252" s="39"/>
      <c r="HJ252" s="39"/>
      <c r="HK252" s="39"/>
      <c r="HL252" s="39"/>
      <c r="HM252" s="39"/>
      <c r="HN252" s="39"/>
      <c r="HO252" s="39"/>
      <c r="HP252" s="39"/>
      <c r="HQ252" s="39"/>
      <c r="HR252" s="39"/>
      <c r="HS252" s="39"/>
      <c r="HT252" s="39"/>
      <c r="HU252" s="39"/>
      <c r="HV252" s="39"/>
      <c r="HW252" s="39"/>
      <c r="HX252" s="39"/>
      <c r="HY252" s="39"/>
      <c r="HZ252" s="39"/>
      <c r="IA252" s="39"/>
      <c r="IB252" s="39"/>
      <c r="IC252" s="39"/>
      <c r="ID252" s="39"/>
      <c r="IE252" s="39"/>
      <c r="IF252" s="39"/>
      <c r="IG252" s="39"/>
      <c r="IH252" s="39"/>
      <c r="II252" s="39"/>
      <c r="IJ252" s="39"/>
      <c r="IK252" s="39"/>
      <c r="IL252" s="39"/>
      <c r="IM252" s="39"/>
      <c r="IN252" s="39"/>
      <c r="IO252" s="39"/>
      <c r="IP252" s="39"/>
      <c r="IQ252" s="39"/>
      <c r="IR252" s="39"/>
      <c r="IS252" s="39"/>
      <c r="IT252" s="39"/>
      <c r="IU252" s="39"/>
      <c r="IV252" s="39"/>
      <c r="IW252" s="39"/>
    </row>
    <row r="253" customFormat="false" ht="8.1" hidden="false" customHeight="true" outlineLevel="0" collapsed="false">
      <c r="A253" s="37"/>
      <c r="B253" s="38"/>
      <c r="C253" s="39"/>
      <c r="D253" s="96"/>
      <c r="E253" s="39"/>
      <c r="F253" s="71"/>
      <c r="G253" s="71"/>
      <c r="H253" s="39"/>
      <c r="I253" s="39"/>
      <c r="J253" s="39"/>
      <c r="K253" s="110"/>
      <c r="L253" s="39"/>
      <c r="M253" s="39"/>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c r="AV253" s="71"/>
      <c r="AW253" s="30"/>
      <c r="AX253" s="71"/>
      <c r="AY253" s="71"/>
      <c r="AZ253" s="39"/>
      <c r="BA253" s="71"/>
      <c r="BB253" s="71"/>
      <c r="BC253" s="71"/>
      <c r="BD253" s="39"/>
      <c r="BE253" s="71"/>
      <c r="BF253" s="71"/>
      <c r="BG253" s="48"/>
      <c r="BH253" s="39"/>
      <c r="BI253" s="39"/>
      <c r="BJ253" s="39"/>
      <c r="BK253" s="39"/>
      <c r="BL253" s="39"/>
      <c r="BM253" s="39"/>
      <c r="BN253" s="39"/>
      <c r="BO253" s="39"/>
      <c r="BP253" s="39"/>
      <c r="BQ253" s="39"/>
      <c r="BR253" s="39"/>
      <c r="BS253" s="39"/>
      <c r="BT253" s="39"/>
      <c r="BU253" s="39"/>
      <c r="BV253" s="39"/>
      <c r="BW253" s="39"/>
      <c r="BX253" s="39"/>
      <c r="BY253" s="39"/>
      <c r="BZ253" s="39"/>
      <c r="CA253" s="39"/>
      <c r="CB253" s="39"/>
      <c r="CC253" s="39"/>
      <c r="CD253" s="39"/>
      <c r="CE253" s="39"/>
      <c r="CF253" s="39"/>
      <c r="CG253" s="39"/>
      <c r="CH253" s="39"/>
      <c r="CI253" s="39"/>
      <c r="CJ253" s="39"/>
      <c r="CK253" s="39"/>
      <c r="CL253" s="39"/>
      <c r="CM253" s="39"/>
      <c r="CN253" s="39"/>
      <c r="CO253" s="39"/>
      <c r="CP253" s="39"/>
      <c r="CQ253" s="39"/>
      <c r="CR253" s="39"/>
      <c r="CS253" s="39"/>
      <c r="CT253" s="39"/>
      <c r="CU253" s="39"/>
      <c r="CV253" s="39"/>
      <c r="CW253" s="39"/>
      <c r="CX253" s="39"/>
      <c r="CY253" s="39"/>
      <c r="CZ253" s="39"/>
      <c r="DA253" s="39"/>
      <c r="DB253" s="39"/>
      <c r="DC253" s="39"/>
      <c r="DD253" s="39"/>
      <c r="DE253" s="39"/>
      <c r="DF253" s="39"/>
      <c r="DG253" s="39"/>
      <c r="DH253" s="39"/>
      <c r="DI253" s="39"/>
      <c r="DJ253" s="39"/>
      <c r="DK253" s="39"/>
      <c r="DL253" s="39"/>
      <c r="DM253" s="39"/>
      <c r="DN253" s="39"/>
      <c r="DO253" s="39"/>
      <c r="DP253" s="39"/>
      <c r="DQ253" s="39"/>
      <c r="DR253" s="39"/>
      <c r="DS253" s="39"/>
      <c r="DT253" s="39"/>
      <c r="DU253" s="39"/>
      <c r="DV253" s="39"/>
      <c r="DW253" s="39"/>
      <c r="DX253" s="39"/>
      <c r="DY253" s="39"/>
      <c r="DZ253" s="39"/>
      <c r="EA253" s="39"/>
      <c r="EB253" s="39"/>
      <c r="EC253" s="39"/>
      <c r="ED253" s="39"/>
      <c r="EE253" s="39"/>
      <c r="EF253" s="39"/>
      <c r="EG253" s="39"/>
      <c r="EH253" s="39"/>
      <c r="EI253" s="39"/>
      <c r="EJ253" s="39"/>
      <c r="EK253" s="39"/>
      <c r="EL253" s="39"/>
      <c r="EM253" s="39"/>
      <c r="EN253" s="39"/>
      <c r="EO253" s="39"/>
      <c r="EP253" s="39"/>
      <c r="EQ253" s="39"/>
      <c r="ER253" s="39"/>
      <c r="ES253" s="39"/>
      <c r="ET253" s="39"/>
      <c r="EU253" s="39"/>
      <c r="EV253" s="39"/>
      <c r="EW253" s="39"/>
      <c r="EX253" s="39"/>
      <c r="EY253" s="39"/>
      <c r="EZ253" s="39"/>
      <c r="FA253" s="39"/>
      <c r="FB253" s="39"/>
      <c r="FC253" s="39"/>
      <c r="FD253" s="39"/>
      <c r="FE253" s="39"/>
      <c r="FF253" s="39"/>
      <c r="FG253" s="39"/>
      <c r="FH253" s="39"/>
      <c r="FI253" s="39"/>
      <c r="FJ253" s="39"/>
      <c r="FK253" s="39"/>
      <c r="FL253" s="39"/>
      <c r="FM253" s="39"/>
      <c r="FN253" s="39"/>
      <c r="FO253" s="39"/>
      <c r="FP253" s="39"/>
      <c r="FQ253" s="39"/>
      <c r="FR253" s="39"/>
      <c r="FS253" s="39"/>
      <c r="FT253" s="39"/>
      <c r="FU253" s="39"/>
      <c r="FV253" s="39"/>
      <c r="FW253" s="39"/>
      <c r="FX253" s="39"/>
      <c r="FY253" s="39"/>
      <c r="FZ253" s="39"/>
      <c r="GA253" s="39"/>
      <c r="GB253" s="39"/>
      <c r="GC253" s="39"/>
      <c r="GD253" s="39"/>
      <c r="GE253" s="39"/>
      <c r="GF253" s="39"/>
      <c r="GG253" s="39"/>
      <c r="GH253" s="39"/>
      <c r="GI253" s="39"/>
      <c r="GJ253" s="39"/>
      <c r="GK253" s="39"/>
      <c r="GL253" s="39"/>
      <c r="GM253" s="39"/>
      <c r="GN253" s="39"/>
      <c r="GO253" s="39"/>
      <c r="GP253" s="39"/>
      <c r="GQ253" s="39"/>
      <c r="GR253" s="39"/>
      <c r="GS253" s="39"/>
      <c r="GT253" s="39"/>
      <c r="GU253" s="39"/>
      <c r="GV253" s="39"/>
      <c r="GW253" s="39"/>
      <c r="GX253" s="39"/>
      <c r="GY253" s="39"/>
      <c r="GZ253" s="39"/>
      <c r="HA253" s="39"/>
      <c r="HB253" s="39"/>
      <c r="HC253" s="39"/>
      <c r="HD253" s="39"/>
      <c r="HE253" s="39"/>
      <c r="HF253" s="39"/>
      <c r="HG253" s="39"/>
      <c r="HH253" s="39"/>
      <c r="HI253" s="39"/>
      <c r="HJ253" s="39"/>
      <c r="HK253" s="39"/>
      <c r="HL253" s="39"/>
      <c r="HM253" s="39"/>
      <c r="HN253" s="39"/>
      <c r="HO253" s="39"/>
      <c r="HP253" s="39"/>
      <c r="HQ253" s="39"/>
      <c r="HR253" s="39"/>
      <c r="HS253" s="39"/>
      <c r="HT253" s="39"/>
      <c r="HU253" s="39"/>
      <c r="HV253" s="39"/>
      <c r="HW253" s="39"/>
      <c r="HX253" s="39"/>
      <c r="HY253" s="39"/>
      <c r="HZ253" s="39"/>
      <c r="IA253" s="39"/>
      <c r="IB253" s="39"/>
      <c r="IC253" s="39"/>
      <c r="ID253" s="39"/>
      <c r="IE253" s="39"/>
      <c r="IF253" s="39"/>
      <c r="IG253" s="39"/>
      <c r="IH253" s="39"/>
      <c r="II253" s="39"/>
      <c r="IJ253" s="39"/>
      <c r="IK253" s="39"/>
      <c r="IL253" s="39"/>
      <c r="IM253" s="39"/>
      <c r="IN253" s="39"/>
      <c r="IO253" s="39"/>
      <c r="IP253" s="39"/>
      <c r="IQ253" s="39"/>
      <c r="IR253" s="39"/>
      <c r="IS253" s="39"/>
      <c r="IT253" s="39"/>
      <c r="IU253" s="39"/>
      <c r="IV253" s="39"/>
      <c r="IW253" s="39"/>
    </row>
    <row r="254" customFormat="false" ht="12.95" hidden="false" customHeight="true" outlineLevel="0" collapsed="false">
      <c r="A254" s="111"/>
      <c r="B254" s="112"/>
      <c r="C254" s="113"/>
      <c r="D254" s="114"/>
      <c r="E254" s="115" t="n">
        <f aca="false">E22+E34+E72+E83+E86+E89+E118+E134+E183+E209+E222+E232+E246+E252+E193+E146</f>
        <v>310207</v>
      </c>
      <c r="F254" s="115" t="n">
        <f aca="false">F22+F34+F72+F83+F86+F89+F118+F134+F183+F209+F222+F232+F246+F252+F193+F146</f>
        <v>30305</v>
      </c>
      <c r="G254" s="115" t="n">
        <f aca="false">G22+G34+G72+G83+G86+G89+G118+G134+G183+G209+G222+G232+G246+G252+G193+G146</f>
        <v>1539</v>
      </c>
      <c r="H254" s="115" t="n">
        <f aca="false">H22+H34+H72+H83+H86+H89+H118+H134+H183+H209+H222+H232+H246+H252+H193+H146</f>
        <v>94055</v>
      </c>
      <c r="I254" s="115" t="n">
        <f aca="false">I22+I34+I72+I83+I86+I89+I118+I134+I183+I209+I222+I232+I246+I252+I193+I146</f>
        <v>17103</v>
      </c>
      <c r="J254" s="115" t="n">
        <f aca="false">J22+J34+J72+J83+J86+J89+J118+J134+J183+J209+J222+J232+J246+J252+J193+J146</f>
        <v>389643</v>
      </c>
      <c r="K254" s="115" t="n">
        <f aca="false">K22+K34+K72+K83+K86+K89+K118+K134+K183+K209+K222+K232+K246+K252+K193+K146</f>
        <v>842852</v>
      </c>
      <c r="L254" s="113"/>
      <c r="M254" s="113"/>
      <c r="N254" s="115" t="n">
        <f aca="false">N22+N34+N72+N83+N86+N89+N118+N134+N183+N209+N222+N232+N246+N252+N193+N146</f>
        <v>272718</v>
      </c>
      <c r="O254" s="115" t="n">
        <f aca="false">O22+O34+O72+O83+O86+O89+O118+O134+O183+O209+O222+O232+O246+O252+O193+O146</f>
        <v>63859</v>
      </c>
      <c r="P254" s="115" t="n">
        <f aca="false">P22+P34+P72+P83+P86+P89+P118+P134+P183+P209+P222+P232+P246+P252+P193+P146</f>
        <v>4677</v>
      </c>
      <c r="Q254" s="115" t="n">
        <f aca="false">Q22+Q34+Q72+Q83+Q86+Q89+Q118+Q134+Q183+Q209+Q222+Q232+Q246+Q252+Q193+Q146</f>
        <v>13988</v>
      </c>
      <c r="R254" s="115" t="n">
        <f aca="false">R22+R34+R72+R83+R86+R89+R118+R134+R183+R209+R222+R232+R246+R252+R193+R146</f>
        <v>17873</v>
      </c>
      <c r="S254" s="115" t="n">
        <f aca="false">S22+S34+S72+S83+S86+S89+S118+S134+S183+S209+S222+S232+S246+S252+S193+S146</f>
        <v>4114</v>
      </c>
      <c r="T254" s="115" t="n">
        <f aca="false">T22+T34+T72+T83+T86+T89+T118+T134+T183+T209+T222+T232+T246+T252+T193+T146</f>
        <v>922</v>
      </c>
      <c r="U254" s="115" t="n">
        <f aca="false">U22+U34+U72+U83+U86+U89+U118+U134+U183+U209+U222+U232+U246+U252+U193+U146</f>
        <v>3161</v>
      </c>
      <c r="V254" s="115" t="n">
        <f aca="false">V22+V34+V72+V83+V86+V89+V118+V134+V183+V209+V222+V232+V246+V252+V193+V146</f>
        <v>4677</v>
      </c>
      <c r="W254" s="115" t="n">
        <f aca="false">W22+W34+W72+W83+W86+W89+W118+W134+W183+W209+W222+W232+W246+W252+W193+W146</f>
        <v>30313</v>
      </c>
      <c r="X254" s="115" t="n">
        <f aca="false">X22+X34+X72+X83+X86+X89+X118+X134+X183+X209+X222+X232+X246+X252+X193+X146</f>
        <v>15423</v>
      </c>
      <c r="Y254" s="115" t="n">
        <f aca="false">Y22+Y34+Y72+Y83+Y86+Y89+Y118+Y134+Y183+Y209+Y222+Y232+Y246+Y252+Y193+Y146</f>
        <v>922</v>
      </c>
      <c r="Z254" s="115" t="n">
        <f aca="false">Z22+Z34+Z72+Z83+Z86+Z89+Z118+Z134+Z183+Z209+Z222+Z232+Z246+Z252+Z193+Z146</f>
        <v>97878</v>
      </c>
      <c r="AA254" s="115" t="n">
        <f aca="false">AA22+AA34+AA72+AA83+AA86+AA89+AA118+AA134+AA183+AA209+AA222+AA232+AA246+AA252+AA193+AA146</f>
        <v>499</v>
      </c>
      <c r="AB254" s="115" t="n">
        <f aca="false">AB22+AB34+AB72+AB83+AB86+AB89+AB118+AB134+AB183+AB209+AB222+AB232+AB246+AB252+AB193+AB146</f>
        <v>5898</v>
      </c>
      <c r="AC254" s="115" t="n">
        <f aca="false">AC22+AC34+AC72+AC83+AC86+AC89+AC118+AC134+AC183+AC209+AC222+AC232+AC246+AC252+AC193+AC146</f>
        <v>2500</v>
      </c>
      <c r="AD254" s="115" t="n">
        <f aca="false">AD22+AD34+AD72+AD83+AD86+AD89+AD118+AD134+AD183+AD209+AD222+AD232+AD246+AD252+AD193+AD146</f>
        <v>29176</v>
      </c>
      <c r="AE254" s="115" t="n">
        <f aca="false">AE22+AE34+AE72+AE83+AE86+AE89+AE118+AE134+AE183+AE209+AE222+AE232+AE246+AE252+AE193+AE146</f>
        <v>4561</v>
      </c>
      <c r="AF254" s="115" t="n">
        <f aca="false">AF22+AF34+AF72+AF83+AF86+AF89+AF118+AF134+AF183+AF209+AF222+AF232+AF246+AF252+AF193+AF146</f>
        <v>67380</v>
      </c>
      <c r="AG254" s="115" t="n">
        <f aca="false">AG22+AG34+AG72+AG83+AG86+AG89+AG118+AG134+AG183+AG209+AG222+AG232+AG246+AG252+AG193+AG146</f>
        <v>73388</v>
      </c>
      <c r="AH254" s="115" t="n">
        <f aca="false">AH22+AH34+AH72+AH83+AH86+AH89+AH118+AH134+AH183+AH209+AH222+AH232+AH246+AH252+AH193+AH146</f>
        <v>2785</v>
      </c>
      <c r="AI254" s="115" t="n">
        <f aca="false">AI22+AI34+AI72+AI83+AI86+AI89+AI118+AI134+AI183+AI209+AI222+AI232+AI246+AI252+AI193+AI146</f>
        <v>2541</v>
      </c>
      <c r="AJ254" s="115" t="n">
        <f aca="false">AJ22+AJ34+AJ72+AJ83+AJ86+AJ89+AJ118+AJ134+AJ183+AJ209+AJ222+AJ232+AJ246+AJ252+AJ193+AJ146</f>
        <v>12775</v>
      </c>
      <c r="AK254" s="115" t="n">
        <f aca="false">AK22+AK34+AK72+AK83+AK86+AK89+AK118+AK134+AK183+AK209+AK222+AK232+AK246+AK252+AK193+AK146</f>
        <v>36233</v>
      </c>
      <c r="AL254" s="115" t="n">
        <f aca="false">AL22+AL34+AL72+AL83+AL86+AL89+AL118+AL134+AL183+AL209+AL222+AL232+AL246+AL252+AL193+AL146</f>
        <v>14394</v>
      </c>
      <c r="AM254" s="115" t="n">
        <f aca="false">AM22+AM34+AM72+AM83+AM86+AM89+AM118+AM134+AM183+AM209+AM222+AM232+AM246+AM252+AM193+AM146</f>
        <v>4738</v>
      </c>
      <c r="AN254" s="115" t="n">
        <f aca="false">AN22+AN34+AN72+AN83+AN86+AN89+AN118+AN134+AN183+AN209+AN222+AN232+AN246+AN252+AN193+AN146</f>
        <v>10605</v>
      </c>
      <c r="AO254" s="115" t="n">
        <f aca="false">AO22+AO34+AO72+AO83+AO86+AO89+AO118+AO134+AO183+AO209+AO222+AO232+AO246+AO252+AO193+AO146</f>
        <v>18199</v>
      </c>
      <c r="AP254" s="115" t="n">
        <f aca="false">AP22+AP34+AP72+AP83+AP86+AP89+AP118+AP134+AP183+AP209+AP222+AP232+AP246+AP252+AP193+AP146</f>
        <v>0</v>
      </c>
      <c r="AQ254" s="115" t="n">
        <f aca="false">AQ22+AQ34+AQ72+AQ83+AQ86+AQ89+AQ118+AQ134+AQ183+AQ209+AQ222+AQ232+AQ246+AQ252+AQ193+AQ146</f>
        <v>17934</v>
      </c>
      <c r="AR254" s="115" t="n">
        <f aca="false">AR22+AR34+AR72+AR83+AR86+AR89+AR118+AR134+AR183+AR209+AR222+AR232+AR246+AR252+AR193+AR146</f>
        <v>6542</v>
      </c>
      <c r="AS254" s="115" t="n">
        <f aca="false">AS22+AS34+AS72+AS83+AS86+AS89+AS118+AS134+AS183+AS209+AS222+AS232+AS246+AS252+AS193+AS146</f>
        <v>2130</v>
      </c>
      <c r="AT254" s="115" t="n">
        <f aca="false">AT22+AT34+AT72+AT83+AT86+AT89+AT118+AT134+AT183+AT209+AT222+AT232+AT246+AT252+AT193+AT146</f>
        <v>24</v>
      </c>
      <c r="AU254" s="115" t="n">
        <f aca="false">AU22+AU34+AU72+AU83+AU86+AU89+AU118+AU134+AU183+AU209+AU222+AU232+AU246+AU252+AU193+AU146</f>
        <v>25</v>
      </c>
      <c r="AV254" s="115" t="n">
        <f aca="false">AV22+AV34+AV72+AV83+AV86+AV89+AV118+AV134+AV183+AV209+AV222+AV232+AV246+AV252+AV193+AV146</f>
        <v>0</v>
      </c>
      <c r="AW254" s="113"/>
      <c r="AX254" s="115" t="n">
        <f aca="false">AX22+AX34+AX72+AX83+AX86+AX89+AX118+AX134+AX183+AX209+AX222+AX232+AX246+AX252+AX193+AX146</f>
        <v>842852</v>
      </c>
      <c r="AY254" s="115" t="n">
        <f aca="false">AY22+AY34+AY72+AY83+AY86+AY89+AY118+AY134+AY183+AY209+AY222+AY232+AY246+AY252+AY193+AY146</f>
        <v>0</v>
      </c>
      <c r="AZ254" s="113"/>
      <c r="BA254" s="115" t="n">
        <f aca="false">BA22+BA34+BA72+BA83+BA86+BA89+BA118+BA134+BA183+BA209+BA222+BA232+BA246+BA252+BA193+BA146</f>
        <v>74083</v>
      </c>
      <c r="BB254" s="115" t="n">
        <f aca="false">BB22+BB34+BB72+BB83+BB86+BB89+BB118+BB134+BB183+BB209+BB222+BB232+BB246+BB252+BB193+BB146</f>
        <v>336577</v>
      </c>
      <c r="BC254" s="115" t="n">
        <f aca="false">BC22+BC34+BC72+BC83+BC86+BC89+BC118+BC134+BC183+BC209+BC222+BC232+BC246+BC252+BC193+BC146</f>
        <v>506275</v>
      </c>
      <c r="BD254" s="113"/>
      <c r="BE254" s="115" t="n">
        <f aca="false">BE22+BE34+BE72+BE83+BE86+BE89+BE118+BE134+BE183+BE209+BE222+BE232+BE246+BE252+BE193+BE146</f>
        <v>842852</v>
      </c>
      <c r="BF254" s="113"/>
      <c r="BG254" s="116" t="e">
        <f aca="false">+BG252+#REF!+BG246+BG236+BG232+BG183+BG134+BG118+BG89+BG86+BG83+BG72+BG34+BG22+BG222+BG209</f>
        <v>#REF!</v>
      </c>
      <c r="BH254" s="116" t="e">
        <f aca="false">+BH252+#REF!+BH246+BH236+BH232+BH183+BH134+BH118+BH89+BH86+BH83+BH72+BH34+BH22+BH222+BH209</f>
        <v>#REF!</v>
      </c>
      <c r="BI254" s="113"/>
      <c r="BJ254" s="113"/>
      <c r="BK254" s="113"/>
      <c r="BL254" s="113"/>
      <c r="BM254" s="113"/>
      <c r="BN254" s="113"/>
      <c r="BO254" s="113"/>
      <c r="BP254" s="113"/>
      <c r="BQ254" s="113"/>
      <c r="BR254" s="113"/>
      <c r="BS254" s="113"/>
      <c r="BT254" s="113"/>
      <c r="BU254" s="113"/>
      <c r="BV254" s="113"/>
      <c r="BW254" s="113"/>
      <c r="BX254" s="113"/>
      <c r="BY254" s="113"/>
      <c r="BZ254" s="113"/>
      <c r="CA254" s="113"/>
      <c r="CB254" s="113"/>
      <c r="CC254" s="113"/>
      <c r="CD254" s="113"/>
      <c r="CE254" s="113"/>
      <c r="CF254" s="113"/>
      <c r="CG254" s="113"/>
      <c r="CH254" s="113"/>
      <c r="CI254" s="113"/>
      <c r="CJ254" s="113"/>
      <c r="CK254" s="113"/>
      <c r="CL254" s="113"/>
      <c r="CM254" s="113"/>
      <c r="CN254" s="113"/>
      <c r="CO254" s="113"/>
      <c r="CP254" s="113"/>
      <c r="CQ254" s="113"/>
      <c r="CR254" s="113"/>
      <c r="CS254" s="113"/>
      <c r="CT254" s="113"/>
      <c r="CU254" s="113"/>
      <c r="CV254" s="113"/>
      <c r="CW254" s="113"/>
      <c r="CX254" s="113"/>
      <c r="CY254" s="113"/>
      <c r="CZ254" s="113"/>
      <c r="DA254" s="113"/>
      <c r="DB254" s="113"/>
      <c r="DC254" s="113"/>
      <c r="DD254" s="113"/>
      <c r="DE254" s="113"/>
      <c r="DF254" s="113"/>
      <c r="DG254" s="113"/>
      <c r="DH254" s="113"/>
      <c r="DI254" s="113"/>
      <c r="DJ254" s="113"/>
      <c r="DK254" s="113"/>
      <c r="DL254" s="113"/>
      <c r="DM254" s="113"/>
      <c r="DN254" s="113"/>
      <c r="DO254" s="113"/>
      <c r="DP254" s="113"/>
      <c r="DQ254" s="113"/>
      <c r="DR254" s="113"/>
      <c r="DS254" s="113"/>
      <c r="DT254" s="113"/>
      <c r="DU254" s="113"/>
      <c r="DV254" s="113"/>
      <c r="DW254" s="113"/>
      <c r="DX254" s="113"/>
      <c r="DY254" s="113"/>
      <c r="DZ254" s="113"/>
      <c r="EA254" s="113"/>
      <c r="EB254" s="113"/>
      <c r="EC254" s="113"/>
      <c r="ED254" s="113"/>
      <c r="EE254" s="113"/>
      <c r="EF254" s="113"/>
      <c r="EG254" s="113"/>
      <c r="EH254" s="113"/>
      <c r="EI254" s="113"/>
      <c r="EJ254" s="113"/>
      <c r="EK254" s="113"/>
      <c r="EL254" s="113"/>
      <c r="EM254" s="113"/>
      <c r="EN254" s="113"/>
      <c r="EO254" s="113"/>
      <c r="EP254" s="113"/>
      <c r="EQ254" s="113"/>
      <c r="ER254" s="113"/>
      <c r="ES254" s="113"/>
      <c r="ET254" s="113"/>
      <c r="EU254" s="113"/>
      <c r="EV254" s="113"/>
      <c r="EW254" s="113"/>
      <c r="EX254" s="113"/>
      <c r="EY254" s="113"/>
      <c r="EZ254" s="113"/>
      <c r="FA254" s="113"/>
      <c r="FB254" s="113"/>
      <c r="FC254" s="113"/>
      <c r="FD254" s="113"/>
      <c r="FE254" s="113"/>
      <c r="FF254" s="113"/>
      <c r="FG254" s="113"/>
      <c r="FH254" s="113"/>
      <c r="FI254" s="113"/>
      <c r="FJ254" s="113"/>
      <c r="FK254" s="113"/>
      <c r="FL254" s="113"/>
      <c r="FM254" s="113"/>
      <c r="FN254" s="113"/>
      <c r="FO254" s="113"/>
      <c r="FP254" s="113"/>
      <c r="FQ254" s="113"/>
      <c r="FR254" s="113"/>
      <c r="FS254" s="113"/>
      <c r="FT254" s="113"/>
      <c r="FU254" s="113"/>
      <c r="FV254" s="113"/>
      <c r="FW254" s="113"/>
      <c r="FX254" s="113"/>
      <c r="FY254" s="113"/>
      <c r="FZ254" s="113"/>
      <c r="GA254" s="113"/>
      <c r="GB254" s="113"/>
      <c r="GC254" s="113"/>
      <c r="GD254" s="113"/>
      <c r="GE254" s="113"/>
      <c r="GF254" s="113"/>
      <c r="GG254" s="113"/>
      <c r="GH254" s="113"/>
      <c r="GI254" s="113"/>
      <c r="GJ254" s="113"/>
      <c r="GK254" s="113"/>
      <c r="GL254" s="113"/>
      <c r="GM254" s="113"/>
      <c r="GN254" s="113"/>
      <c r="GO254" s="113"/>
      <c r="GP254" s="113"/>
      <c r="GQ254" s="113"/>
      <c r="GR254" s="113"/>
      <c r="GS254" s="113"/>
      <c r="GT254" s="113"/>
      <c r="GU254" s="113"/>
      <c r="GV254" s="113"/>
      <c r="GW254" s="113"/>
      <c r="GX254" s="113"/>
      <c r="GY254" s="113"/>
      <c r="GZ254" s="113"/>
      <c r="HA254" s="113"/>
      <c r="HB254" s="113"/>
      <c r="HC254" s="113"/>
      <c r="HD254" s="113"/>
      <c r="HE254" s="113"/>
      <c r="HF254" s="113"/>
      <c r="HG254" s="113"/>
      <c r="HH254" s="113"/>
      <c r="HI254" s="113"/>
      <c r="HJ254" s="113"/>
      <c r="HK254" s="113"/>
      <c r="HL254" s="113"/>
      <c r="HM254" s="113"/>
      <c r="HN254" s="113"/>
      <c r="HO254" s="113"/>
      <c r="HP254" s="113"/>
      <c r="HQ254" s="113"/>
      <c r="HR254" s="113"/>
      <c r="HS254" s="113"/>
      <c r="HT254" s="113"/>
      <c r="HU254" s="113"/>
      <c r="HV254" s="113"/>
      <c r="HW254" s="113"/>
      <c r="HX254" s="113"/>
      <c r="HY254" s="113"/>
      <c r="HZ254" s="113"/>
      <c r="IA254" s="113"/>
      <c r="IB254" s="113"/>
      <c r="IC254" s="113"/>
      <c r="ID254" s="113"/>
      <c r="IE254" s="113"/>
      <c r="IF254" s="113"/>
      <c r="IG254" s="113"/>
      <c r="IH254" s="113"/>
      <c r="II254" s="113"/>
      <c r="IJ254" s="113"/>
      <c r="IK254" s="113"/>
      <c r="IL254" s="113"/>
      <c r="IM254" s="113"/>
      <c r="IN254" s="113"/>
      <c r="IO254" s="113"/>
      <c r="IP254" s="113"/>
      <c r="IQ254" s="113"/>
      <c r="IR254" s="113"/>
      <c r="IS254" s="113"/>
      <c r="IT254" s="113"/>
      <c r="IU254" s="113"/>
      <c r="IV254" s="113"/>
      <c r="IW254" s="113"/>
    </row>
    <row r="255" customFormat="false" ht="12.95" hidden="false" customHeight="true" outlineLevel="0" collapsed="false">
      <c r="A255" s="37"/>
      <c r="B255" s="38"/>
      <c r="C255" s="39"/>
      <c r="D255" s="96"/>
      <c r="E255" s="39" t="n">
        <f aca="false">E254-'CCs # Master'!E193</f>
        <v>0</v>
      </c>
      <c r="F255" s="39" t="n">
        <f aca="false">F254-'CCs # Master'!F193</f>
        <v>0</v>
      </c>
      <c r="G255" s="39" t="n">
        <f aca="false">G254-'CCs # Master'!G193</f>
        <v>0</v>
      </c>
      <c r="H255" s="39" t="n">
        <f aca="false">H254-'CCs # Master'!H193</f>
        <v>0</v>
      </c>
      <c r="I255" s="39" t="n">
        <f aca="false">I254-'CCs # Master'!I193</f>
        <v>0</v>
      </c>
      <c r="J255" s="39" t="n">
        <f aca="false">J254-'CCs # Master'!J193</f>
        <v>0</v>
      </c>
      <c r="K255" s="71"/>
      <c r="L255" s="39"/>
      <c r="M255" s="39"/>
      <c r="N255" s="71" t="n">
        <f aca="false">N254-'CCs # Master'!AW193</f>
        <v>0</v>
      </c>
      <c r="O255" s="71" t="n">
        <f aca="false">O254-'CCs # Master'!AX193</f>
        <v>0</v>
      </c>
      <c r="P255" s="71" t="n">
        <f aca="false">P254-'CCs # Master'!N193</f>
        <v>0</v>
      </c>
      <c r="Q255" s="71" t="n">
        <f aca="false">Q254-'CCs # Master'!O193</f>
        <v>0</v>
      </c>
      <c r="R255" s="71" t="n">
        <f aca="false">R254-'CCs # Master'!P193</f>
        <v>0</v>
      </c>
      <c r="S255" s="71" t="n">
        <f aca="false">S254-'CCs # Master'!Q193</f>
        <v>0</v>
      </c>
      <c r="T255" s="71" t="n">
        <f aca="false">T254-'CCs # Master'!R193</f>
        <v>0</v>
      </c>
      <c r="U255" s="71" t="n">
        <f aca="false">U254-'CCs # Master'!S193</f>
        <v>0</v>
      </c>
      <c r="V255" s="71" t="n">
        <f aca="false">V254-'CCs # Master'!T193</f>
        <v>0</v>
      </c>
      <c r="W255" s="71" t="n">
        <f aca="false">W254-'CCs # Master'!U193</f>
        <v>0</v>
      </c>
      <c r="X255" s="71" t="n">
        <f aca="false">X254-'CCs # Master'!V193</f>
        <v>0</v>
      </c>
      <c r="Y255" s="71" t="n">
        <f aca="false">Y254-'CCs # Master'!W193</f>
        <v>0</v>
      </c>
      <c r="Z255" s="71" t="n">
        <f aca="false">Z254-'CCs # Master'!X193</f>
        <v>0</v>
      </c>
      <c r="AA255" s="71" t="n">
        <f aca="false">AA254-'CCs # Master'!Y193</f>
        <v>0</v>
      </c>
      <c r="AB255" s="71" t="n">
        <f aca="false">AB254-'CCs # Master'!Z193</f>
        <v>0</v>
      </c>
      <c r="AC255" s="71" t="n">
        <f aca="false">AC254-'CCs # Master'!AA193</f>
        <v>0</v>
      </c>
      <c r="AD255" s="71" t="n">
        <f aca="false">AD254-'CCs # Master'!AB193</f>
        <v>0</v>
      </c>
      <c r="AE255" s="71" t="n">
        <f aca="false">AE254-'CCs # Master'!AC193</f>
        <v>0</v>
      </c>
      <c r="AF255" s="71" t="n">
        <f aca="false">AF254-'CCs # Master'!AD193</f>
        <v>0</v>
      </c>
      <c r="AG255" s="71" t="n">
        <f aca="false">AG254-'CCs # Master'!AE193</f>
        <v>0</v>
      </c>
      <c r="AH255" s="71" t="n">
        <f aca="false">AH254-'CCs # Master'!AF193</f>
        <v>0</v>
      </c>
      <c r="AI255" s="71" t="n">
        <f aca="false">AI254-'CCs # Master'!AG193</f>
        <v>0</v>
      </c>
      <c r="AJ255" s="71" t="n">
        <f aca="false">AJ254-'CCs # Master'!AH193</f>
        <v>0</v>
      </c>
      <c r="AK255" s="71" t="n">
        <f aca="false">AK254-'CCs # Master'!AI193</f>
        <v>0</v>
      </c>
      <c r="AL255" s="71" t="n">
        <f aca="false">AL254-'CCs # Master'!AJ193</f>
        <v>0</v>
      </c>
      <c r="AM255" s="71" t="n">
        <f aca="false">AM254-'CCs # Master'!AK193</f>
        <v>0</v>
      </c>
      <c r="AN255" s="71" t="n">
        <f aca="false">AN254-'CCs # Master'!AL193</f>
        <v>0</v>
      </c>
      <c r="AO255" s="71" t="n">
        <f aca="false">AO254-'CCs # Master'!AM193</f>
        <v>0</v>
      </c>
      <c r="AP255" s="71" t="n">
        <f aca="false">AP254-'CCs # Master'!AN193</f>
        <v>0</v>
      </c>
      <c r="AQ255" s="71" t="n">
        <f aca="false">AQ254-'CCs # Master'!AO193</f>
        <v>0</v>
      </c>
      <c r="AR255" s="71" t="n">
        <f aca="false">AR254-'CCs # Master'!AP193</f>
        <v>0</v>
      </c>
      <c r="AS255" s="71" t="n">
        <f aca="false">AS254-'CCs # Master'!AQ193</f>
        <v>0</v>
      </c>
      <c r="AT255" s="71" t="n">
        <f aca="false">AT254-'CCs # Master'!AR193</f>
        <v>0</v>
      </c>
      <c r="AU255" s="71" t="n">
        <f aca="false">AU254-'CCs # Master'!AS193</f>
        <v>0</v>
      </c>
      <c r="AV255" s="71" t="n">
        <f aca="false">AV254-'CCs # Master'!AT193</f>
        <v>0</v>
      </c>
      <c r="AW255" s="30"/>
      <c r="AX255" s="71"/>
      <c r="AY255" s="71"/>
      <c r="AZ255" s="39"/>
      <c r="BA255" s="71"/>
      <c r="BB255" s="71"/>
      <c r="BC255" s="71"/>
      <c r="BD255" s="39"/>
      <c r="BE255" s="71"/>
      <c r="BF255" s="71"/>
      <c r="BG255" s="48"/>
      <c r="BH255" s="39"/>
      <c r="BI255" s="39"/>
      <c r="BJ255" s="39"/>
      <c r="BK255" s="39"/>
      <c r="BL255" s="39"/>
      <c r="BM255" s="39"/>
      <c r="BN255" s="39"/>
      <c r="BO255" s="39"/>
      <c r="BP255" s="39"/>
      <c r="BQ255" s="39"/>
      <c r="BR255" s="39"/>
      <c r="BS255" s="39"/>
      <c r="BT255" s="39"/>
      <c r="BU255" s="39"/>
      <c r="BV255" s="39"/>
      <c r="BW255" s="39"/>
      <c r="BX255" s="39"/>
      <c r="BY255" s="39"/>
      <c r="BZ255" s="39"/>
      <c r="CA255" s="39"/>
      <c r="CB255" s="39"/>
      <c r="CC255" s="39"/>
      <c r="CD255" s="39"/>
      <c r="CE255" s="39"/>
      <c r="CF255" s="39"/>
      <c r="CG255" s="39"/>
      <c r="CH255" s="39"/>
      <c r="CI255" s="39"/>
      <c r="CJ255" s="39"/>
      <c r="CK255" s="39"/>
      <c r="CL255" s="39"/>
      <c r="CM255" s="39"/>
      <c r="CN255" s="39"/>
      <c r="CO255" s="39"/>
      <c r="CP255" s="39"/>
      <c r="CQ255" s="39"/>
      <c r="CR255" s="39"/>
      <c r="CS255" s="39"/>
      <c r="CT255" s="39"/>
      <c r="CU255" s="39"/>
      <c r="CV255" s="39"/>
      <c r="CW255" s="39"/>
      <c r="CX255" s="39"/>
      <c r="CY255" s="39"/>
      <c r="CZ255" s="39"/>
      <c r="DA255" s="39"/>
      <c r="DB255" s="39"/>
      <c r="DC255" s="39"/>
      <c r="DD255" s="39"/>
      <c r="DE255" s="39"/>
      <c r="DF255" s="39"/>
      <c r="DG255" s="39"/>
      <c r="DH255" s="39"/>
      <c r="DI255" s="39"/>
      <c r="DJ255" s="39"/>
      <c r="DK255" s="39"/>
      <c r="DL255" s="39"/>
      <c r="DM255" s="39"/>
      <c r="DN255" s="39"/>
      <c r="DO255" s="39"/>
      <c r="DP255" s="39"/>
      <c r="DQ255" s="39"/>
      <c r="DR255" s="39"/>
      <c r="DS255" s="39"/>
      <c r="DT255" s="39"/>
      <c r="DU255" s="39"/>
      <c r="DV255" s="39"/>
      <c r="DW255" s="39"/>
      <c r="DX255" s="39"/>
      <c r="DY255" s="39"/>
      <c r="DZ255" s="39"/>
      <c r="EA255" s="39"/>
      <c r="EB255" s="39"/>
      <c r="EC255" s="39"/>
      <c r="ED255" s="39"/>
      <c r="EE255" s="39"/>
      <c r="EF255" s="39"/>
      <c r="EG255" s="39"/>
      <c r="EH255" s="39"/>
      <c r="EI255" s="39"/>
      <c r="EJ255" s="39"/>
      <c r="EK255" s="39"/>
      <c r="EL255" s="39"/>
      <c r="EM255" s="39"/>
      <c r="EN255" s="39"/>
      <c r="EO255" s="39"/>
      <c r="EP255" s="39"/>
      <c r="EQ255" s="39"/>
      <c r="ER255" s="39"/>
      <c r="ES255" s="39"/>
      <c r="ET255" s="39"/>
      <c r="EU255" s="39"/>
      <c r="EV255" s="39"/>
      <c r="EW255" s="39"/>
      <c r="EX255" s="39"/>
      <c r="EY255" s="39"/>
      <c r="EZ255" s="39"/>
      <c r="FA255" s="39"/>
      <c r="FB255" s="39"/>
      <c r="FC255" s="39"/>
      <c r="FD255" s="39"/>
      <c r="FE255" s="39"/>
      <c r="FF255" s="39"/>
      <c r="FG255" s="39"/>
      <c r="FH255" s="39"/>
      <c r="FI255" s="39"/>
      <c r="FJ255" s="39"/>
      <c r="FK255" s="39"/>
      <c r="FL255" s="39"/>
      <c r="FM255" s="39"/>
      <c r="FN255" s="39"/>
      <c r="FO255" s="39"/>
      <c r="FP255" s="39"/>
      <c r="FQ255" s="39"/>
      <c r="FR255" s="39"/>
      <c r="FS255" s="39"/>
      <c r="FT255" s="39"/>
      <c r="FU255" s="39"/>
      <c r="FV255" s="39"/>
      <c r="FW255" s="39"/>
      <c r="FX255" s="39"/>
      <c r="FY255" s="39"/>
      <c r="FZ255" s="39"/>
      <c r="GA255" s="39"/>
      <c r="GB255" s="39"/>
      <c r="GC255" s="39"/>
      <c r="GD255" s="39"/>
      <c r="GE255" s="39"/>
      <c r="GF255" s="39"/>
      <c r="GG255" s="39"/>
      <c r="GH255" s="39"/>
      <c r="GI255" s="39"/>
      <c r="GJ255" s="39"/>
      <c r="GK255" s="39"/>
      <c r="GL255" s="39"/>
      <c r="GM255" s="39"/>
      <c r="GN255" s="39"/>
      <c r="GO255" s="39"/>
      <c r="GP255" s="39"/>
      <c r="GQ255" s="39"/>
      <c r="GR255" s="39"/>
      <c r="GS255" s="39"/>
      <c r="GT255" s="39"/>
      <c r="GU255" s="39"/>
      <c r="GV255" s="39"/>
      <c r="GW255" s="39"/>
      <c r="GX255" s="39"/>
      <c r="GY255" s="39"/>
      <c r="GZ255" s="39"/>
      <c r="HA255" s="39"/>
      <c r="HB255" s="39"/>
      <c r="HC255" s="39"/>
      <c r="HD255" s="39"/>
      <c r="HE255" s="39"/>
      <c r="HF255" s="39"/>
      <c r="HG255" s="39"/>
      <c r="HH255" s="39"/>
      <c r="HI255" s="39"/>
      <c r="HJ255" s="39"/>
      <c r="HK255" s="39"/>
      <c r="HL255" s="39"/>
      <c r="HM255" s="39"/>
      <c r="HN255" s="39"/>
      <c r="HO255" s="39"/>
      <c r="HP255" s="39"/>
      <c r="HQ255" s="39"/>
      <c r="HR255" s="39"/>
      <c r="HS255" s="39"/>
      <c r="HT255" s="39"/>
      <c r="HU255" s="39"/>
      <c r="HV255" s="39"/>
      <c r="HW255" s="39"/>
      <c r="HX255" s="39"/>
      <c r="HY255" s="39"/>
      <c r="HZ255" s="39"/>
      <c r="IA255" s="39"/>
      <c r="IB255" s="39"/>
      <c r="IC255" s="39"/>
      <c r="ID255" s="39"/>
      <c r="IE255" s="39"/>
      <c r="IF255" s="39"/>
      <c r="IG255" s="39"/>
      <c r="IH255" s="39"/>
      <c r="II255" s="39"/>
      <c r="IJ255" s="39"/>
      <c r="IK255" s="39"/>
      <c r="IL255" s="39"/>
      <c r="IM255" s="39"/>
      <c r="IN255" s="39"/>
      <c r="IO255" s="39"/>
      <c r="IP255" s="39"/>
      <c r="IQ255" s="39"/>
      <c r="IR255" s="39"/>
      <c r="IS255" s="39"/>
      <c r="IT255" s="39"/>
      <c r="IU255" s="39"/>
      <c r="IV255" s="39"/>
      <c r="IW255" s="39"/>
    </row>
    <row r="256" customFormat="false" ht="12.95" hidden="true" customHeight="true" outlineLevel="0" collapsed="false">
      <c r="A256" s="37"/>
      <c r="B256" s="38"/>
      <c r="C256" s="39"/>
      <c r="D256" s="96"/>
      <c r="E256" s="39"/>
      <c r="F256" s="71"/>
      <c r="G256" s="71"/>
      <c r="H256" s="39"/>
      <c r="I256" s="39"/>
      <c r="J256" s="39"/>
      <c r="K256" s="71" t="n">
        <f aca="false">K254-'CCs # Master'!AY193</f>
        <v>0</v>
      </c>
      <c r="L256" s="39"/>
      <c r="M256" s="39"/>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71"/>
      <c r="AY256" s="71"/>
      <c r="AZ256" s="39"/>
      <c r="BA256" s="71"/>
      <c r="BB256" s="71"/>
      <c r="BC256" s="71" t="n">
        <v>109710</v>
      </c>
      <c r="BD256" s="39"/>
      <c r="BE256" s="71" t="n">
        <v>119010</v>
      </c>
      <c r="BF256" s="71"/>
      <c r="BG256" s="48"/>
      <c r="BH256" s="39"/>
      <c r="BI256" s="39"/>
      <c r="BJ256" s="39"/>
      <c r="BK256" s="39"/>
      <c r="BL256" s="39"/>
      <c r="BM256" s="39"/>
      <c r="BN256" s="39"/>
      <c r="BO256" s="39"/>
      <c r="BP256" s="39"/>
      <c r="BQ256" s="39"/>
      <c r="BR256" s="39"/>
      <c r="BS256" s="39"/>
      <c r="BT256" s="39"/>
      <c r="BU256" s="39"/>
      <c r="BV256" s="39"/>
      <c r="BW256" s="39"/>
      <c r="BX256" s="39"/>
      <c r="BY256" s="39"/>
      <c r="BZ256" s="39"/>
      <c r="CA256" s="39"/>
      <c r="CB256" s="39"/>
      <c r="CC256" s="39"/>
      <c r="CD256" s="39"/>
      <c r="CE256" s="39"/>
      <c r="CF256" s="39"/>
      <c r="CG256" s="39"/>
      <c r="CH256" s="39"/>
      <c r="CI256" s="39"/>
      <c r="CJ256" s="39"/>
      <c r="CK256" s="39"/>
      <c r="CL256" s="39"/>
      <c r="CM256" s="39"/>
      <c r="CN256" s="39"/>
      <c r="CO256" s="39"/>
      <c r="CP256" s="39"/>
      <c r="CQ256" s="39"/>
      <c r="CR256" s="39"/>
      <c r="CS256" s="39"/>
      <c r="CT256" s="39"/>
      <c r="CU256" s="39"/>
      <c r="CV256" s="39"/>
      <c r="CW256" s="39"/>
      <c r="CX256" s="39"/>
      <c r="CY256" s="39"/>
      <c r="CZ256" s="39"/>
      <c r="DA256" s="39"/>
      <c r="DB256" s="39"/>
      <c r="DC256" s="39"/>
      <c r="DD256" s="39"/>
      <c r="DE256" s="39"/>
      <c r="DF256" s="39"/>
      <c r="DG256" s="39"/>
      <c r="DH256" s="39"/>
      <c r="DI256" s="39"/>
      <c r="DJ256" s="39"/>
      <c r="DK256" s="39"/>
      <c r="DL256" s="39"/>
      <c r="DM256" s="39"/>
      <c r="DN256" s="39"/>
      <c r="DO256" s="39"/>
      <c r="DP256" s="39"/>
      <c r="DQ256" s="39"/>
      <c r="DR256" s="39"/>
      <c r="DS256" s="39"/>
      <c r="DT256" s="39"/>
      <c r="DU256" s="39"/>
      <c r="DV256" s="39"/>
      <c r="DW256" s="39"/>
      <c r="DX256" s="39"/>
      <c r="DY256" s="39"/>
      <c r="DZ256" s="39"/>
      <c r="EA256" s="39"/>
      <c r="EB256" s="39"/>
      <c r="EC256" s="39"/>
      <c r="ED256" s="39"/>
      <c r="EE256" s="39"/>
      <c r="EF256" s="39"/>
      <c r="EG256" s="39"/>
      <c r="EH256" s="39"/>
      <c r="EI256" s="39"/>
      <c r="EJ256" s="39"/>
      <c r="EK256" s="39"/>
      <c r="EL256" s="39"/>
      <c r="EM256" s="39"/>
      <c r="EN256" s="39"/>
      <c r="EO256" s="39"/>
      <c r="EP256" s="39"/>
      <c r="EQ256" s="39"/>
      <c r="ER256" s="39"/>
      <c r="ES256" s="39"/>
      <c r="ET256" s="39"/>
      <c r="EU256" s="39"/>
      <c r="EV256" s="39"/>
      <c r="EW256" s="39"/>
      <c r="EX256" s="39"/>
      <c r="EY256" s="39"/>
      <c r="EZ256" s="39"/>
      <c r="FA256" s="39"/>
      <c r="FB256" s="39"/>
      <c r="FC256" s="39"/>
      <c r="FD256" s="39"/>
      <c r="FE256" s="39"/>
      <c r="FF256" s="39"/>
      <c r="FG256" s="39"/>
      <c r="FH256" s="39"/>
      <c r="FI256" s="39"/>
      <c r="FJ256" s="39"/>
      <c r="FK256" s="39"/>
      <c r="FL256" s="39"/>
      <c r="FM256" s="39"/>
      <c r="FN256" s="39"/>
      <c r="FO256" s="39"/>
      <c r="FP256" s="39"/>
      <c r="FQ256" s="39"/>
      <c r="FR256" s="39"/>
      <c r="FS256" s="39"/>
      <c r="FT256" s="39"/>
      <c r="FU256" s="39"/>
      <c r="FV256" s="39"/>
      <c r="FW256" s="39"/>
      <c r="FX256" s="39"/>
      <c r="FY256" s="39"/>
      <c r="FZ256" s="39"/>
      <c r="GA256" s="39"/>
      <c r="GB256" s="39"/>
      <c r="GC256" s="39"/>
      <c r="GD256" s="39"/>
      <c r="GE256" s="39"/>
      <c r="GF256" s="39"/>
      <c r="GG256" s="39"/>
      <c r="GH256" s="39"/>
      <c r="GI256" s="39"/>
      <c r="GJ256" s="39"/>
      <c r="GK256" s="39"/>
      <c r="GL256" s="39"/>
      <c r="GM256" s="39"/>
      <c r="GN256" s="39"/>
      <c r="GO256" s="39"/>
      <c r="GP256" s="39"/>
      <c r="GQ256" s="39"/>
      <c r="GR256" s="39"/>
      <c r="GS256" s="39"/>
      <c r="GT256" s="39"/>
      <c r="GU256" s="39"/>
      <c r="GV256" s="39"/>
      <c r="GW256" s="39"/>
      <c r="GX256" s="39"/>
      <c r="GY256" s="39"/>
      <c r="GZ256" s="39"/>
      <c r="HA256" s="39"/>
      <c r="HB256" s="39"/>
      <c r="HC256" s="39"/>
      <c r="HD256" s="39"/>
      <c r="HE256" s="39"/>
      <c r="HF256" s="39"/>
      <c r="HG256" s="39"/>
      <c r="HH256" s="39"/>
      <c r="HI256" s="39"/>
      <c r="HJ256" s="39"/>
      <c r="HK256" s="39"/>
      <c r="HL256" s="39"/>
      <c r="HM256" s="39"/>
      <c r="HN256" s="39"/>
      <c r="HO256" s="39"/>
      <c r="HP256" s="39"/>
      <c r="HQ256" s="39"/>
      <c r="HR256" s="39"/>
      <c r="HS256" s="39"/>
      <c r="HT256" s="39"/>
      <c r="HU256" s="39"/>
      <c r="HV256" s="39"/>
      <c r="HW256" s="39"/>
      <c r="HX256" s="39"/>
      <c r="HY256" s="39"/>
      <c r="HZ256" s="39"/>
      <c r="IA256" s="39"/>
      <c r="IB256" s="39"/>
      <c r="IC256" s="39"/>
      <c r="ID256" s="39"/>
      <c r="IE256" s="39"/>
      <c r="IF256" s="39"/>
      <c r="IG256" s="39"/>
      <c r="IH256" s="39"/>
      <c r="II256" s="39"/>
      <c r="IJ256" s="39"/>
      <c r="IK256" s="39"/>
      <c r="IL256" s="39"/>
      <c r="IM256" s="39"/>
      <c r="IN256" s="39"/>
      <c r="IO256" s="39"/>
      <c r="IP256" s="39"/>
      <c r="IQ256" s="39"/>
      <c r="IR256" s="39"/>
      <c r="IS256" s="39"/>
      <c r="IT256" s="39"/>
      <c r="IU256" s="39"/>
      <c r="IV256" s="39"/>
      <c r="IW256" s="39"/>
    </row>
    <row r="257" customFormat="false" ht="12.95" hidden="true" customHeight="true" outlineLevel="0" collapsed="false">
      <c r="A257" s="37"/>
      <c r="B257" s="107"/>
      <c r="C257" s="39"/>
      <c r="D257" s="96"/>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t="n">
        <f aca="false">BC254-BC256</f>
        <v>396565</v>
      </c>
      <c r="BD257" s="39"/>
      <c r="BE257" s="39" t="n">
        <f aca="false">BE254-BE256</f>
        <v>723842</v>
      </c>
      <c r="BF257" s="39"/>
      <c r="BG257" s="48"/>
      <c r="BH257" s="39"/>
      <c r="BI257" s="39"/>
      <c r="BJ257" s="39"/>
      <c r="BK257" s="39"/>
      <c r="BL257" s="39"/>
      <c r="BM257" s="39"/>
      <c r="BN257" s="39"/>
      <c r="BO257" s="39"/>
      <c r="BP257" s="39"/>
      <c r="BQ257" s="39"/>
      <c r="BR257" s="39"/>
      <c r="BS257" s="39"/>
      <c r="BT257" s="39"/>
      <c r="BU257" s="39"/>
      <c r="BV257" s="39"/>
      <c r="BW257" s="39"/>
      <c r="BX257" s="39"/>
      <c r="BY257" s="39"/>
      <c r="BZ257" s="39"/>
      <c r="CA257" s="39"/>
      <c r="CB257" s="39"/>
      <c r="CC257" s="39"/>
      <c r="CD257" s="39"/>
      <c r="CE257" s="39"/>
      <c r="CF257" s="39"/>
      <c r="CG257" s="39"/>
      <c r="CH257" s="39"/>
      <c r="CI257" s="39"/>
      <c r="CJ257" s="39"/>
      <c r="CK257" s="39"/>
      <c r="CL257" s="39"/>
      <c r="CM257" s="39"/>
      <c r="CN257" s="39"/>
      <c r="CO257" s="39"/>
      <c r="CP257" s="39"/>
      <c r="CQ257" s="39"/>
      <c r="CR257" s="39"/>
      <c r="CS257" s="39"/>
      <c r="CT257" s="39"/>
      <c r="CU257" s="39"/>
      <c r="CV257" s="39"/>
      <c r="CW257" s="39"/>
      <c r="CX257" s="39"/>
      <c r="CY257" s="39"/>
      <c r="CZ257" s="39"/>
      <c r="DA257" s="39"/>
      <c r="DB257" s="39"/>
      <c r="DC257" s="39"/>
      <c r="DD257" s="39"/>
      <c r="DE257" s="39"/>
      <c r="DF257" s="39"/>
      <c r="DG257" s="39"/>
      <c r="DH257" s="39"/>
      <c r="DI257" s="39"/>
      <c r="DJ257" s="39"/>
      <c r="DK257" s="39"/>
      <c r="DL257" s="39"/>
      <c r="DM257" s="39"/>
      <c r="DN257" s="39"/>
      <c r="DO257" s="39"/>
      <c r="DP257" s="39"/>
      <c r="DQ257" s="39"/>
      <c r="DR257" s="39"/>
      <c r="DS257" s="39"/>
      <c r="DT257" s="39"/>
      <c r="DU257" s="39"/>
      <c r="DV257" s="39"/>
      <c r="DW257" s="39"/>
      <c r="DX257" s="39"/>
      <c r="DY257" s="39"/>
      <c r="DZ257" s="39"/>
      <c r="EA257" s="39"/>
      <c r="EB257" s="39"/>
      <c r="EC257" s="39"/>
      <c r="ED257" s="39"/>
      <c r="EE257" s="39"/>
      <c r="EF257" s="39"/>
      <c r="EG257" s="39"/>
      <c r="EH257" s="39"/>
      <c r="EI257" s="39"/>
      <c r="EJ257" s="39"/>
      <c r="EK257" s="39"/>
      <c r="EL257" s="39"/>
      <c r="EM257" s="39"/>
      <c r="EN257" s="39"/>
      <c r="EO257" s="39"/>
      <c r="EP257" s="39"/>
      <c r="EQ257" s="39"/>
      <c r="ER257" s="39"/>
      <c r="ES257" s="39"/>
      <c r="ET257" s="39"/>
      <c r="EU257" s="39"/>
      <c r="EV257" s="39"/>
      <c r="EW257" s="39"/>
      <c r="EX257" s="39"/>
      <c r="EY257" s="39"/>
      <c r="EZ257" s="39"/>
      <c r="FA257" s="39"/>
      <c r="FB257" s="39"/>
      <c r="FC257" s="39"/>
      <c r="FD257" s="39"/>
      <c r="FE257" s="39"/>
      <c r="FF257" s="39"/>
      <c r="FG257" s="39"/>
      <c r="FH257" s="39"/>
      <c r="FI257" s="39"/>
      <c r="FJ257" s="39"/>
      <c r="FK257" s="39"/>
      <c r="FL257" s="39"/>
      <c r="FM257" s="39"/>
      <c r="FN257" s="39"/>
      <c r="FO257" s="39"/>
      <c r="FP257" s="39"/>
      <c r="FQ257" s="39"/>
      <c r="FR257" s="39"/>
      <c r="FS257" s="39"/>
      <c r="FT257" s="39"/>
      <c r="FU257" s="39"/>
      <c r="FV257" s="39"/>
      <c r="FW257" s="39"/>
      <c r="FX257" s="39"/>
      <c r="FY257" s="39"/>
      <c r="FZ257" s="39"/>
      <c r="GA257" s="39"/>
      <c r="GB257" s="39"/>
      <c r="GC257" s="39"/>
      <c r="GD257" s="39"/>
      <c r="GE257" s="39"/>
      <c r="GF257" s="39"/>
      <c r="GG257" s="39"/>
      <c r="GH257" s="39"/>
      <c r="GI257" s="39"/>
      <c r="GJ257" s="39"/>
      <c r="GK257" s="39"/>
      <c r="GL257" s="39"/>
      <c r="GM257" s="39"/>
      <c r="GN257" s="39"/>
      <c r="GO257" s="39"/>
      <c r="GP257" s="39"/>
      <c r="GQ257" s="39"/>
      <c r="GR257" s="39"/>
      <c r="GS257" s="39"/>
      <c r="GT257" s="39"/>
      <c r="GU257" s="39"/>
      <c r="GV257" s="39"/>
      <c r="GW257" s="39"/>
      <c r="GX257" s="39"/>
      <c r="GY257" s="39"/>
      <c r="GZ257" s="39"/>
      <c r="HA257" s="39"/>
      <c r="HB257" s="39"/>
      <c r="HC257" s="39"/>
      <c r="HD257" s="39"/>
      <c r="HE257" s="39"/>
      <c r="HF257" s="39"/>
      <c r="HG257" s="39"/>
      <c r="HH257" s="39"/>
      <c r="HI257" s="39"/>
      <c r="HJ257" s="39"/>
      <c r="HK257" s="39"/>
      <c r="HL257" s="39"/>
      <c r="HM257" s="39"/>
      <c r="HN257" s="39"/>
      <c r="HO257" s="39"/>
      <c r="HP257" s="39"/>
      <c r="HQ257" s="39"/>
      <c r="HR257" s="39"/>
      <c r="HS257" s="39"/>
      <c r="HT257" s="39"/>
      <c r="HU257" s="39"/>
      <c r="HV257" s="39"/>
      <c r="HW257" s="39"/>
      <c r="HX257" s="39"/>
      <c r="HY257" s="39"/>
      <c r="HZ257" s="39"/>
      <c r="IA257" s="39"/>
      <c r="IB257" s="39"/>
      <c r="IC257" s="39"/>
      <c r="ID257" s="39"/>
      <c r="IE257" s="39"/>
      <c r="IF257" s="39"/>
      <c r="IG257" s="39"/>
      <c r="IH257" s="39"/>
      <c r="II257" s="39"/>
      <c r="IJ257" s="39"/>
      <c r="IK257" s="39"/>
      <c r="IL257" s="39"/>
      <c r="IM257" s="39"/>
      <c r="IN257" s="39"/>
      <c r="IO257" s="39"/>
      <c r="IP257" s="39"/>
      <c r="IQ257" s="39"/>
      <c r="IR257" s="39"/>
      <c r="IS257" s="39"/>
      <c r="IT257" s="39"/>
      <c r="IU257" s="39"/>
      <c r="IV257" s="39"/>
      <c r="IW257" s="39"/>
    </row>
    <row r="258" customFormat="false" ht="12.95" hidden="true" customHeight="true" outlineLevel="0" collapsed="false">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c r="BC258" s="39" t="n">
        <v>13737</v>
      </c>
      <c r="BD258" s="39"/>
      <c r="BE258" s="39" t="n">
        <v>-727</v>
      </c>
      <c r="BF258" s="39"/>
      <c r="BG258" s="48"/>
      <c r="BH258" s="39"/>
      <c r="BI258" s="39"/>
      <c r="BJ258" s="39"/>
      <c r="BK258" s="39"/>
      <c r="BL258" s="39"/>
      <c r="BM258" s="39"/>
      <c r="BN258" s="39"/>
      <c r="BO258" s="39"/>
      <c r="BP258" s="39"/>
      <c r="BQ258" s="39"/>
      <c r="BR258" s="39"/>
      <c r="BS258" s="39"/>
      <c r="BT258" s="39"/>
      <c r="BU258" s="39"/>
      <c r="BV258" s="39"/>
      <c r="BW258" s="39"/>
      <c r="BX258" s="39"/>
      <c r="BY258" s="39"/>
      <c r="BZ258" s="39"/>
      <c r="CA258" s="39"/>
      <c r="CB258" s="39"/>
      <c r="CC258" s="39"/>
      <c r="CD258" s="39"/>
      <c r="CE258" s="39"/>
      <c r="CF258" s="39"/>
      <c r="CG258" s="39"/>
      <c r="CH258" s="39"/>
      <c r="CI258" s="39"/>
      <c r="CJ258" s="39"/>
      <c r="CK258" s="39"/>
      <c r="CL258" s="39"/>
      <c r="CM258" s="39"/>
      <c r="CN258" s="39"/>
      <c r="CO258" s="39"/>
      <c r="CP258" s="39"/>
      <c r="CQ258" s="39"/>
      <c r="CR258" s="39"/>
      <c r="CS258" s="39"/>
      <c r="CT258" s="39"/>
      <c r="CU258" s="39"/>
      <c r="CV258" s="39"/>
      <c r="CW258" s="39"/>
      <c r="CX258" s="39"/>
      <c r="CY258" s="39"/>
      <c r="CZ258" s="39"/>
      <c r="DA258" s="39"/>
      <c r="DB258" s="39"/>
      <c r="DC258" s="39"/>
      <c r="DD258" s="39"/>
      <c r="DE258" s="39"/>
      <c r="DF258" s="39"/>
      <c r="DG258" s="39"/>
      <c r="DH258" s="39"/>
      <c r="DI258" s="39"/>
      <c r="DJ258" s="39"/>
      <c r="DK258" s="39"/>
      <c r="DL258" s="39"/>
      <c r="DM258" s="39"/>
      <c r="DN258" s="39"/>
      <c r="DO258" s="39"/>
      <c r="DP258" s="39"/>
      <c r="DQ258" s="39"/>
      <c r="DR258" s="39"/>
      <c r="DS258" s="39"/>
      <c r="DT258" s="39"/>
      <c r="DU258" s="39"/>
      <c r="DV258" s="39"/>
      <c r="DW258" s="39"/>
      <c r="DX258" s="39"/>
      <c r="DY258" s="39"/>
      <c r="DZ258" s="39"/>
      <c r="EA258" s="39"/>
      <c r="EB258" s="39"/>
      <c r="EC258" s="39"/>
      <c r="ED258" s="39"/>
      <c r="EE258" s="39"/>
      <c r="EF258" s="39"/>
      <c r="EG258" s="39"/>
      <c r="EH258" s="39"/>
      <c r="EI258" s="39"/>
      <c r="EJ258" s="39"/>
      <c r="EK258" s="39"/>
      <c r="EL258" s="39"/>
      <c r="EM258" s="39"/>
      <c r="EN258" s="39"/>
      <c r="EO258" s="39"/>
      <c r="EP258" s="39"/>
      <c r="EQ258" s="39"/>
      <c r="ER258" s="39"/>
      <c r="ES258" s="39"/>
      <c r="ET258" s="39"/>
      <c r="EU258" s="39"/>
      <c r="EV258" s="39"/>
      <c r="EW258" s="39"/>
      <c r="EX258" s="39"/>
      <c r="EY258" s="39"/>
      <c r="EZ258" s="39"/>
      <c r="FA258" s="39"/>
      <c r="FB258" s="39"/>
      <c r="FC258" s="39"/>
      <c r="FD258" s="39"/>
      <c r="FE258" s="39"/>
      <c r="FF258" s="39"/>
      <c r="FG258" s="39"/>
      <c r="FH258" s="39"/>
      <c r="FI258" s="39"/>
      <c r="FJ258" s="39"/>
      <c r="FK258" s="39"/>
      <c r="FL258" s="39"/>
      <c r="FM258" s="39"/>
      <c r="FN258" s="39"/>
      <c r="FO258" s="39"/>
      <c r="FP258" s="39"/>
      <c r="FQ258" s="39"/>
      <c r="FR258" s="39"/>
      <c r="FS258" s="39"/>
      <c r="FT258" s="39"/>
      <c r="FU258" s="39"/>
      <c r="FV258" s="39"/>
      <c r="FW258" s="39"/>
      <c r="FX258" s="39"/>
      <c r="FY258" s="39"/>
      <c r="FZ258" s="39"/>
      <c r="GA258" s="39"/>
      <c r="GB258" s="39"/>
      <c r="GC258" s="39"/>
      <c r="GD258" s="39"/>
      <c r="GE258" s="39"/>
      <c r="GF258" s="39"/>
      <c r="GG258" s="39"/>
      <c r="GH258" s="39"/>
      <c r="GI258" s="39"/>
      <c r="GJ258" s="39"/>
      <c r="GK258" s="39"/>
      <c r="GL258" s="39"/>
      <c r="GM258" s="39"/>
      <c r="GN258" s="39"/>
      <c r="GO258" s="39"/>
      <c r="GP258" s="39"/>
      <c r="GQ258" s="39"/>
      <c r="GR258" s="39"/>
      <c r="GS258" s="39"/>
      <c r="GT258" s="39"/>
      <c r="GU258" s="39"/>
      <c r="GV258" s="39"/>
      <c r="GW258" s="39"/>
      <c r="GX258" s="39"/>
      <c r="GY258" s="39"/>
      <c r="GZ258" s="39"/>
      <c r="HA258" s="39"/>
      <c r="HB258" s="39"/>
      <c r="HC258" s="39"/>
      <c r="HD258" s="39"/>
      <c r="HE258" s="39"/>
      <c r="HF258" s="39"/>
      <c r="HG258" s="39"/>
      <c r="HH258" s="39"/>
      <c r="HI258" s="39"/>
      <c r="HJ258" s="39"/>
      <c r="HK258" s="39"/>
      <c r="HL258" s="39"/>
      <c r="HM258" s="39"/>
      <c r="HN258" s="39"/>
      <c r="HO258" s="39"/>
      <c r="HP258" s="39"/>
      <c r="HQ258" s="39"/>
      <c r="HR258" s="39"/>
      <c r="HS258" s="39"/>
      <c r="HT258" s="39"/>
      <c r="HU258" s="39"/>
      <c r="HV258" s="39"/>
      <c r="HW258" s="39"/>
      <c r="HX258" s="39"/>
      <c r="HY258" s="39"/>
      <c r="HZ258" s="39"/>
      <c r="IA258" s="39"/>
      <c r="IB258" s="39"/>
      <c r="IC258" s="39"/>
      <c r="ID258" s="39"/>
      <c r="IE258" s="39"/>
      <c r="IF258" s="39"/>
      <c r="IG258" s="39"/>
      <c r="IH258" s="39"/>
      <c r="II258" s="39"/>
      <c r="IJ258" s="39"/>
      <c r="IK258" s="39"/>
      <c r="IL258" s="39"/>
      <c r="IM258" s="39"/>
      <c r="IN258" s="39"/>
      <c r="IO258" s="39"/>
      <c r="IP258" s="39"/>
      <c r="IQ258" s="39"/>
      <c r="IR258" s="39"/>
      <c r="IS258" s="39"/>
      <c r="IT258" s="39"/>
      <c r="IU258" s="39"/>
      <c r="IV258" s="39"/>
      <c r="IW258" s="39"/>
    </row>
    <row r="259" customFormat="false" ht="12.95" hidden="true" customHeight="true" outlineLevel="0" collapsed="false">
      <c r="A259" s="39"/>
      <c r="B259" s="39"/>
      <c r="C259" s="39"/>
      <c r="D259" s="39"/>
      <c r="E259" s="39"/>
      <c r="F259" s="39"/>
      <c r="G259" s="39"/>
      <c r="H259" s="39"/>
      <c r="I259" s="39"/>
      <c r="J259" s="39"/>
      <c r="K259" s="39"/>
      <c r="L259" s="39"/>
      <c r="M259" s="39"/>
      <c r="N259" s="39" t="n">
        <v>295328</v>
      </c>
      <c r="O259" s="39" t="n">
        <v>65400</v>
      </c>
      <c r="P259" s="39" t="n">
        <v>4622</v>
      </c>
      <c r="Q259" s="39" t="n">
        <v>13831</v>
      </c>
      <c r="R259" s="39" t="n">
        <v>19094</v>
      </c>
      <c r="S259" s="39" t="n">
        <v>4797</v>
      </c>
      <c r="T259" s="39" t="n">
        <v>961</v>
      </c>
      <c r="U259" s="39" t="n">
        <v>5017</v>
      </c>
      <c r="V259" s="39" t="n">
        <v>4697</v>
      </c>
      <c r="W259" s="39" t="n">
        <v>29025</v>
      </c>
      <c r="X259" s="39" t="n">
        <v>16762</v>
      </c>
      <c r="Y259" s="39" t="n">
        <v>2162</v>
      </c>
      <c r="Z259" s="39" t="n">
        <v>102105</v>
      </c>
      <c r="AA259" s="39" t="n">
        <v>370</v>
      </c>
      <c r="AB259" s="39" t="n">
        <v>6076</v>
      </c>
      <c r="AC259" s="39" t="n">
        <v>2107</v>
      </c>
      <c r="AD259" s="39" t="n">
        <v>34607</v>
      </c>
      <c r="AE259" s="39" t="n">
        <v>4546</v>
      </c>
      <c r="AF259" s="39" t="n">
        <v>69739</v>
      </c>
      <c r="AG259" s="39" t="n">
        <v>76383</v>
      </c>
      <c r="AH259" s="39" t="n">
        <v>3681</v>
      </c>
      <c r="AI259" s="39" t="n">
        <v>5137</v>
      </c>
      <c r="AJ259" s="39" t="n">
        <v>15025</v>
      </c>
      <c r="AK259" s="39" t="n">
        <v>38764</v>
      </c>
      <c r="AL259" s="39" t="n">
        <v>18162</v>
      </c>
      <c r="AM259" s="39" t="n">
        <v>5213</v>
      </c>
      <c r="AN259" s="39" t="n">
        <v>11565</v>
      </c>
      <c r="AO259" s="39" t="n">
        <v>18864</v>
      </c>
      <c r="AP259" s="39" t="n">
        <v>0</v>
      </c>
      <c r="AQ259" s="39" t="n">
        <v>19316</v>
      </c>
      <c r="AR259" s="39" t="n">
        <v>6013</v>
      </c>
      <c r="AS259" s="39" t="n">
        <v>30</v>
      </c>
      <c r="AT259" s="39" t="n">
        <v>24</v>
      </c>
      <c r="AU259" s="39" t="n">
        <v>25</v>
      </c>
      <c r="AV259" s="39" t="n">
        <v>0</v>
      </c>
      <c r="AW259" s="39" t="n">
        <v>0</v>
      </c>
      <c r="AX259" s="39" t="n">
        <v>899448</v>
      </c>
      <c r="AY259" s="39" t="n">
        <v>0</v>
      </c>
      <c r="AZ259" s="39"/>
      <c r="BA259" s="39" t="n">
        <v>80991</v>
      </c>
      <c r="BB259" s="39" t="n">
        <v>360728</v>
      </c>
      <c r="BC259" s="39" t="n">
        <v>538720</v>
      </c>
      <c r="BD259" s="39"/>
      <c r="BE259" s="39" t="n">
        <v>899448</v>
      </c>
      <c r="BF259" s="39"/>
      <c r="BG259" s="48"/>
      <c r="BH259" s="39"/>
      <c r="BI259" s="39"/>
      <c r="BJ259" s="39"/>
      <c r="BK259" s="39"/>
      <c r="BL259" s="39"/>
      <c r="BM259" s="39"/>
      <c r="BN259" s="39"/>
      <c r="BO259" s="39"/>
      <c r="BP259" s="39"/>
      <c r="BQ259" s="39"/>
      <c r="BR259" s="39"/>
      <c r="BS259" s="39"/>
      <c r="BT259" s="39"/>
      <c r="BU259" s="39"/>
      <c r="BV259" s="39"/>
      <c r="BW259" s="39"/>
      <c r="BX259" s="39"/>
      <c r="BY259" s="39"/>
      <c r="BZ259" s="39"/>
      <c r="CA259" s="39"/>
      <c r="CB259" s="39"/>
      <c r="CC259" s="39"/>
      <c r="CD259" s="39"/>
      <c r="CE259" s="39"/>
      <c r="CF259" s="39"/>
      <c r="CG259" s="39"/>
      <c r="CH259" s="39"/>
      <c r="CI259" s="39"/>
      <c r="CJ259" s="39"/>
      <c r="CK259" s="39"/>
      <c r="CL259" s="39"/>
      <c r="CM259" s="39"/>
      <c r="CN259" s="39"/>
      <c r="CO259" s="39"/>
      <c r="CP259" s="39"/>
      <c r="CQ259" s="39"/>
      <c r="CR259" s="39"/>
      <c r="CS259" s="39"/>
      <c r="CT259" s="39"/>
      <c r="CU259" s="39"/>
      <c r="CV259" s="39"/>
      <c r="CW259" s="39"/>
      <c r="CX259" s="39"/>
      <c r="CY259" s="39"/>
      <c r="CZ259" s="39"/>
      <c r="DA259" s="39"/>
      <c r="DB259" s="39"/>
      <c r="DC259" s="39"/>
      <c r="DD259" s="39"/>
      <c r="DE259" s="39"/>
      <c r="DF259" s="39"/>
      <c r="DG259" s="39"/>
      <c r="DH259" s="39"/>
      <c r="DI259" s="39"/>
      <c r="DJ259" s="39"/>
      <c r="DK259" s="39"/>
      <c r="DL259" s="39"/>
      <c r="DM259" s="39"/>
      <c r="DN259" s="39"/>
      <c r="DO259" s="39"/>
      <c r="DP259" s="39"/>
      <c r="DQ259" s="39"/>
      <c r="DR259" s="39"/>
      <c r="DS259" s="39"/>
      <c r="DT259" s="39"/>
      <c r="DU259" s="39"/>
      <c r="DV259" s="39"/>
      <c r="DW259" s="39"/>
      <c r="DX259" s="39"/>
      <c r="DY259" s="39"/>
      <c r="DZ259" s="39"/>
      <c r="EA259" s="39"/>
      <c r="EB259" s="39"/>
      <c r="EC259" s="39"/>
      <c r="ED259" s="39"/>
      <c r="EE259" s="39"/>
      <c r="EF259" s="39"/>
      <c r="EG259" s="39"/>
      <c r="EH259" s="39"/>
      <c r="EI259" s="39"/>
      <c r="EJ259" s="39"/>
      <c r="EK259" s="39"/>
      <c r="EL259" s="39"/>
      <c r="EM259" s="39"/>
      <c r="EN259" s="39"/>
      <c r="EO259" s="39"/>
      <c r="EP259" s="39"/>
      <c r="EQ259" s="39"/>
      <c r="ER259" s="39"/>
      <c r="ES259" s="39"/>
      <c r="ET259" s="39"/>
      <c r="EU259" s="39"/>
      <c r="EV259" s="39"/>
      <c r="EW259" s="39"/>
      <c r="EX259" s="39"/>
      <c r="EY259" s="39"/>
      <c r="EZ259" s="39"/>
      <c r="FA259" s="39"/>
      <c r="FB259" s="39"/>
      <c r="FC259" s="39"/>
      <c r="FD259" s="39"/>
      <c r="FE259" s="39"/>
      <c r="FF259" s="39"/>
      <c r="FG259" s="39"/>
      <c r="FH259" s="39"/>
      <c r="FI259" s="39"/>
      <c r="FJ259" s="39"/>
      <c r="FK259" s="39"/>
      <c r="FL259" s="39"/>
      <c r="FM259" s="39"/>
      <c r="FN259" s="39"/>
      <c r="FO259" s="39"/>
      <c r="FP259" s="39"/>
      <c r="FQ259" s="39"/>
      <c r="FR259" s="39"/>
      <c r="FS259" s="39"/>
      <c r="FT259" s="39"/>
      <c r="FU259" s="39"/>
      <c r="FV259" s="39"/>
      <c r="FW259" s="39"/>
      <c r="FX259" s="39"/>
      <c r="FY259" s="39"/>
      <c r="FZ259" s="39"/>
      <c r="GA259" s="39"/>
      <c r="GB259" s="39"/>
      <c r="GC259" s="39"/>
      <c r="GD259" s="39"/>
      <c r="GE259" s="39"/>
      <c r="GF259" s="39"/>
      <c r="GG259" s="39"/>
      <c r="GH259" s="39"/>
      <c r="GI259" s="39"/>
      <c r="GJ259" s="39"/>
      <c r="GK259" s="39"/>
      <c r="GL259" s="39"/>
      <c r="GM259" s="39"/>
      <c r="GN259" s="39"/>
      <c r="GO259" s="39"/>
      <c r="GP259" s="39"/>
      <c r="GQ259" s="39"/>
      <c r="GR259" s="39"/>
      <c r="GS259" s="39"/>
      <c r="GT259" s="39"/>
      <c r="GU259" s="39"/>
      <c r="GV259" s="39"/>
      <c r="GW259" s="39"/>
      <c r="GX259" s="39"/>
      <c r="GY259" s="39"/>
      <c r="GZ259" s="39"/>
      <c r="HA259" s="39"/>
      <c r="HB259" s="39"/>
      <c r="HC259" s="39"/>
      <c r="HD259" s="39"/>
      <c r="HE259" s="39"/>
      <c r="HF259" s="39"/>
      <c r="HG259" s="39"/>
      <c r="HH259" s="39"/>
      <c r="HI259" s="39"/>
      <c r="HJ259" s="39"/>
      <c r="HK259" s="39"/>
      <c r="HL259" s="39"/>
      <c r="HM259" s="39"/>
      <c r="HN259" s="39"/>
      <c r="HO259" s="39"/>
      <c r="HP259" s="39"/>
      <c r="HQ259" s="39"/>
      <c r="HR259" s="39"/>
      <c r="HS259" s="39"/>
      <c r="HT259" s="39"/>
      <c r="HU259" s="39"/>
      <c r="HV259" s="39"/>
      <c r="HW259" s="39"/>
      <c r="HX259" s="39"/>
      <c r="HY259" s="39"/>
      <c r="HZ259" s="39"/>
      <c r="IA259" s="39"/>
      <c r="IB259" s="39"/>
      <c r="IC259" s="39"/>
      <c r="ID259" s="39"/>
      <c r="IE259" s="39"/>
      <c r="IF259" s="39"/>
      <c r="IG259" s="39"/>
      <c r="IH259" s="39"/>
      <c r="II259" s="39"/>
      <c r="IJ259" s="39"/>
      <c r="IK259" s="39"/>
      <c r="IL259" s="39"/>
      <c r="IM259" s="39"/>
      <c r="IN259" s="39"/>
      <c r="IO259" s="39"/>
      <c r="IP259" s="39"/>
      <c r="IQ259" s="39"/>
      <c r="IR259" s="39"/>
      <c r="IS259" s="39"/>
      <c r="IT259" s="39"/>
      <c r="IU259" s="39"/>
      <c r="IV259" s="39"/>
      <c r="IW259" s="39"/>
    </row>
    <row r="260" customFormat="false" ht="12.95" hidden="true" customHeight="true" outlineLevel="0" collapsed="false">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c r="BB260" s="39"/>
      <c r="BC260" s="39"/>
      <c r="BD260" s="39"/>
      <c r="BE260" s="39" t="n">
        <f aca="false">BE259-BC259</f>
        <v>360728</v>
      </c>
      <c r="BF260" s="39"/>
      <c r="BG260" s="48"/>
      <c r="BH260" s="39"/>
      <c r="BI260" s="39"/>
      <c r="BJ260" s="39"/>
      <c r="BK260" s="39"/>
      <c r="BL260" s="39"/>
      <c r="BM260" s="39"/>
      <c r="BN260" s="39"/>
      <c r="BO260" s="39"/>
      <c r="BP260" s="39"/>
      <c r="BQ260" s="39"/>
      <c r="BR260" s="39"/>
      <c r="BS260" s="39"/>
      <c r="BT260" s="39"/>
      <c r="BU260" s="39"/>
      <c r="BV260" s="39"/>
      <c r="BW260" s="39"/>
      <c r="BX260" s="39"/>
      <c r="BY260" s="39"/>
      <c r="BZ260" s="39"/>
      <c r="CA260" s="39"/>
      <c r="CB260" s="39"/>
      <c r="CC260" s="39"/>
      <c r="CD260" s="39"/>
      <c r="CE260" s="39"/>
      <c r="CF260" s="39"/>
      <c r="CG260" s="39"/>
      <c r="CH260" s="39"/>
      <c r="CI260" s="39"/>
      <c r="CJ260" s="39"/>
      <c r="CK260" s="39"/>
      <c r="CL260" s="39"/>
      <c r="CM260" s="39"/>
      <c r="CN260" s="39"/>
      <c r="CO260" s="39"/>
      <c r="CP260" s="39"/>
      <c r="CQ260" s="39"/>
      <c r="CR260" s="39"/>
      <c r="CS260" s="39"/>
      <c r="CT260" s="39"/>
      <c r="CU260" s="39"/>
      <c r="CV260" s="39"/>
      <c r="CW260" s="39"/>
      <c r="CX260" s="39"/>
      <c r="CY260" s="39"/>
      <c r="CZ260" s="39"/>
      <c r="DA260" s="39"/>
      <c r="DB260" s="39"/>
      <c r="DC260" s="39"/>
      <c r="DD260" s="39"/>
      <c r="DE260" s="39"/>
      <c r="DF260" s="39"/>
      <c r="DG260" s="39"/>
      <c r="DH260" s="39"/>
      <c r="DI260" s="39"/>
      <c r="DJ260" s="39"/>
      <c r="DK260" s="39"/>
      <c r="DL260" s="39"/>
      <c r="DM260" s="39"/>
      <c r="DN260" s="39"/>
      <c r="DO260" s="39"/>
      <c r="DP260" s="39"/>
      <c r="DQ260" s="39"/>
      <c r="DR260" s="39"/>
      <c r="DS260" s="39"/>
      <c r="DT260" s="39"/>
      <c r="DU260" s="39"/>
      <c r="DV260" s="39"/>
      <c r="DW260" s="39"/>
      <c r="DX260" s="39"/>
      <c r="DY260" s="39"/>
      <c r="DZ260" s="39"/>
      <c r="EA260" s="39"/>
      <c r="EB260" s="39"/>
      <c r="EC260" s="39"/>
      <c r="ED260" s="39"/>
      <c r="EE260" s="39"/>
      <c r="EF260" s="39"/>
      <c r="EG260" s="39"/>
      <c r="EH260" s="39"/>
      <c r="EI260" s="39"/>
      <c r="EJ260" s="39"/>
      <c r="EK260" s="39"/>
      <c r="EL260" s="39"/>
      <c r="EM260" s="39"/>
      <c r="EN260" s="39"/>
      <c r="EO260" s="39"/>
      <c r="EP260" s="39"/>
      <c r="EQ260" s="39"/>
      <c r="ER260" s="39"/>
      <c r="ES260" s="39"/>
      <c r="ET260" s="39"/>
      <c r="EU260" s="39"/>
      <c r="EV260" s="39"/>
      <c r="EW260" s="39"/>
      <c r="EX260" s="39"/>
      <c r="EY260" s="39"/>
      <c r="EZ260" s="39"/>
      <c r="FA260" s="39"/>
      <c r="FB260" s="39"/>
      <c r="FC260" s="39"/>
      <c r="FD260" s="39"/>
      <c r="FE260" s="39"/>
      <c r="FF260" s="39"/>
      <c r="FG260" s="39"/>
      <c r="FH260" s="39"/>
      <c r="FI260" s="39"/>
      <c r="FJ260" s="39"/>
      <c r="FK260" s="39"/>
      <c r="FL260" s="39"/>
      <c r="FM260" s="39"/>
      <c r="FN260" s="39"/>
      <c r="FO260" s="39"/>
      <c r="FP260" s="39"/>
      <c r="FQ260" s="39"/>
      <c r="FR260" s="39"/>
      <c r="FS260" s="39"/>
      <c r="FT260" s="39"/>
      <c r="FU260" s="39"/>
      <c r="FV260" s="39"/>
      <c r="FW260" s="39"/>
      <c r="FX260" s="39"/>
      <c r="FY260" s="39"/>
      <c r="FZ260" s="39"/>
      <c r="GA260" s="39"/>
      <c r="GB260" s="39"/>
      <c r="GC260" s="39"/>
      <c r="GD260" s="39"/>
      <c r="GE260" s="39"/>
      <c r="GF260" s="39"/>
      <c r="GG260" s="39"/>
      <c r="GH260" s="39"/>
      <c r="GI260" s="39"/>
      <c r="GJ260" s="39"/>
      <c r="GK260" s="39"/>
      <c r="GL260" s="39"/>
      <c r="GM260" s="39"/>
      <c r="GN260" s="39"/>
      <c r="GO260" s="39"/>
      <c r="GP260" s="39"/>
      <c r="GQ260" s="39"/>
      <c r="GR260" s="39"/>
      <c r="GS260" s="39"/>
      <c r="GT260" s="39"/>
      <c r="GU260" s="39"/>
      <c r="GV260" s="39"/>
      <c r="GW260" s="39"/>
      <c r="GX260" s="39"/>
      <c r="GY260" s="39"/>
      <c r="GZ260" s="39"/>
      <c r="HA260" s="39"/>
      <c r="HB260" s="39"/>
      <c r="HC260" s="39"/>
      <c r="HD260" s="39"/>
      <c r="HE260" s="39"/>
      <c r="HF260" s="39"/>
      <c r="HG260" s="39"/>
      <c r="HH260" s="39"/>
      <c r="HI260" s="39"/>
      <c r="HJ260" s="39"/>
      <c r="HK260" s="39"/>
      <c r="HL260" s="39"/>
      <c r="HM260" s="39"/>
      <c r="HN260" s="39"/>
      <c r="HO260" s="39"/>
      <c r="HP260" s="39"/>
      <c r="HQ260" s="39"/>
      <c r="HR260" s="39"/>
      <c r="HS260" s="39"/>
      <c r="HT260" s="39"/>
      <c r="HU260" s="39"/>
      <c r="HV260" s="39"/>
      <c r="HW260" s="39"/>
      <c r="HX260" s="39"/>
      <c r="HY260" s="39"/>
      <c r="HZ260" s="39"/>
      <c r="IA260" s="39"/>
      <c r="IB260" s="39"/>
      <c r="IC260" s="39"/>
      <c r="ID260" s="39"/>
      <c r="IE260" s="39"/>
      <c r="IF260" s="39"/>
      <c r="IG260" s="39"/>
      <c r="IH260" s="39"/>
      <c r="II260" s="39"/>
      <c r="IJ260" s="39"/>
      <c r="IK260" s="39"/>
      <c r="IL260" s="39"/>
      <c r="IM260" s="39"/>
      <c r="IN260" s="39"/>
      <c r="IO260" s="39"/>
      <c r="IP260" s="39"/>
      <c r="IQ260" s="39"/>
      <c r="IR260" s="39"/>
      <c r="IS260" s="39"/>
      <c r="IT260" s="39"/>
      <c r="IU260" s="39"/>
      <c r="IV260" s="39"/>
      <c r="IW260" s="39"/>
    </row>
    <row r="261" customFormat="false" ht="12.95" hidden="true" customHeight="true" outlineLevel="0" collapsed="false">
      <c r="A261" s="39"/>
      <c r="B261" s="39"/>
      <c r="C261" s="39"/>
      <c r="D261" s="39"/>
      <c r="E261" s="39"/>
      <c r="F261" s="39"/>
      <c r="G261" s="39"/>
      <c r="H261" s="39"/>
      <c r="I261" s="39"/>
      <c r="J261" s="39"/>
      <c r="K261" s="39"/>
      <c r="L261" s="39"/>
      <c r="M261" s="39"/>
      <c r="N261" s="39" t="n">
        <f aca="false">N254-N259</f>
        <v>-22610</v>
      </c>
      <c r="O261" s="39" t="n">
        <f aca="false">O254-O259</f>
        <v>-1541</v>
      </c>
      <c r="P261" s="39" t="n">
        <f aca="false">P254-P259</f>
        <v>55</v>
      </c>
      <c r="Q261" s="39" t="n">
        <f aca="false">Q254-Q259</f>
        <v>157</v>
      </c>
      <c r="R261" s="39" t="n">
        <f aca="false">R254-R259</f>
        <v>-1221</v>
      </c>
      <c r="S261" s="39" t="n">
        <f aca="false">S254-S259</f>
        <v>-683</v>
      </c>
      <c r="T261" s="39" t="n">
        <f aca="false">T254-T259</f>
        <v>-39</v>
      </c>
      <c r="U261" s="39" t="n">
        <f aca="false">U254-U259</f>
        <v>-1856</v>
      </c>
      <c r="V261" s="39" t="n">
        <f aca="false">V254-V259</f>
        <v>-20</v>
      </c>
      <c r="W261" s="39" t="n">
        <f aca="false">W254-W259</f>
        <v>1288</v>
      </c>
      <c r="X261" s="39" t="n">
        <f aca="false">X254-X259</f>
        <v>-1339</v>
      </c>
      <c r="Y261" s="39" t="n">
        <f aca="false">Y254-Y259</f>
        <v>-1240</v>
      </c>
      <c r="Z261" s="39" t="n">
        <f aca="false">Z254-Z259</f>
        <v>-4227</v>
      </c>
      <c r="AA261" s="39" t="n">
        <f aca="false">AA254-AA259</f>
        <v>129</v>
      </c>
      <c r="AB261" s="39" t="n">
        <f aca="false">AB254-AB259</f>
        <v>-178</v>
      </c>
      <c r="AC261" s="39" t="n">
        <f aca="false">AC254-AC259</f>
        <v>393</v>
      </c>
      <c r="AD261" s="39" t="n">
        <f aca="false">AD254-AD259</f>
        <v>-5431</v>
      </c>
      <c r="AE261" s="39" t="n">
        <f aca="false">AE254-AE259</f>
        <v>15</v>
      </c>
      <c r="AF261" s="39" t="n">
        <f aca="false">AF254-AF259</f>
        <v>-2359</v>
      </c>
      <c r="AG261" s="39" t="n">
        <f aca="false">AG254-AG259</f>
        <v>-2995</v>
      </c>
      <c r="AH261" s="39" t="n">
        <f aca="false">AH254-AH259</f>
        <v>-896</v>
      </c>
      <c r="AI261" s="39" t="n">
        <f aca="false">AI254-AI259</f>
        <v>-2596</v>
      </c>
      <c r="AJ261" s="39" t="n">
        <f aca="false">AJ254-AJ259</f>
        <v>-2250</v>
      </c>
      <c r="AK261" s="39" t="n">
        <f aca="false">AK254-AK259</f>
        <v>-2531</v>
      </c>
      <c r="AL261" s="39" t="n">
        <f aca="false">AL254-AL259</f>
        <v>-3768</v>
      </c>
      <c r="AM261" s="39" t="n">
        <f aca="false">AM254-AM259</f>
        <v>-475</v>
      </c>
      <c r="AN261" s="39" t="n">
        <f aca="false">AN254-AN259</f>
        <v>-960</v>
      </c>
      <c r="AO261" s="39" t="n">
        <f aca="false">AO254-AO259</f>
        <v>-665</v>
      </c>
      <c r="AP261" s="39" t="n">
        <f aca="false">AP254-AP259</f>
        <v>0</v>
      </c>
      <c r="AQ261" s="39" t="n">
        <f aca="false">AQ254-AQ259</f>
        <v>-1382</v>
      </c>
      <c r="AR261" s="39" t="n">
        <f aca="false">AR254-AR259</f>
        <v>529</v>
      </c>
      <c r="AS261" s="39" t="n">
        <f aca="false">AS254-AS259</f>
        <v>2100</v>
      </c>
      <c r="AT261" s="39" t="n">
        <f aca="false">AT254-AT259</f>
        <v>0</v>
      </c>
      <c r="AU261" s="39" t="n">
        <f aca="false">AU254-AU259</f>
        <v>0</v>
      </c>
      <c r="AV261" s="39" t="n">
        <f aca="false">AV254-AV259</f>
        <v>0</v>
      </c>
      <c r="AW261" s="39" t="n">
        <f aca="false">AW254-AW259</f>
        <v>0</v>
      </c>
      <c r="AX261" s="39" t="n">
        <f aca="false">AX254-AX259</f>
        <v>-56596</v>
      </c>
      <c r="AY261" s="39" t="n">
        <f aca="false">AY254-AY259</f>
        <v>0</v>
      </c>
      <c r="AZ261" s="39"/>
      <c r="BA261" s="39"/>
      <c r="BB261" s="39"/>
      <c r="BC261" s="39"/>
      <c r="BD261" s="39"/>
      <c r="BE261" s="39"/>
      <c r="BF261" s="39"/>
      <c r="BG261" s="48"/>
      <c r="BH261" s="39"/>
      <c r="BI261" s="39"/>
      <c r="BJ261" s="39"/>
      <c r="BK261" s="39"/>
      <c r="BL261" s="39"/>
      <c r="BM261" s="39"/>
      <c r="BN261" s="39"/>
      <c r="BO261" s="39"/>
      <c r="BP261" s="39"/>
      <c r="BQ261" s="39"/>
      <c r="BR261" s="39"/>
      <c r="BS261" s="39"/>
      <c r="BT261" s="39"/>
      <c r="BU261" s="39"/>
      <c r="BV261" s="39"/>
      <c r="BW261" s="39"/>
      <c r="BX261" s="39"/>
      <c r="BY261" s="39"/>
      <c r="BZ261" s="39"/>
      <c r="CA261" s="39"/>
      <c r="CB261" s="39"/>
      <c r="CC261" s="39"/>
      <c r="CD261" s="39"/>
      <c r="CE261" s="39"/>
      <c r="CF261" s="39"/>
      <c r="CG261" s="39"/>
      <c r="CH261" s="39"/>
      <c r="CI261" s="39"/>
      <c r="CJ261" s="39"/>
      <c r="CK261" s="39"/>
      <c r="CL261" s="39"/>
      <c r="CM261" s="39"/>
      <c r="CN261" s="39"/>
      <c r="CO261" s="39"/>
      <c r="CP261" s="39"/>
      <c r="CQ261" s="39"/>
      <c r="CR261" s="39"/>
      <c r="CS261" s="39"/>
      <c r="CT261" s="39"/>
      <c r="CU261" s="39"/>
      <c r="CV261" s="39"/>
      <c r="CW261" s="39"/>
      <c r="CX261" s="39"/>
      <c r="CY261" s="39"/>
      <c r="CZ261" s="39"/>
      <c r="DA261" s="39"/>
      <c r="DB261" s="39"/>
      <c r="DC261" s="39"/>
      <c r="DD261" s="39"/>
      <c r="DE261" s="39"/>
      <c r="DF261" s="39"/>
      <c r="DG261" s="39"/>
      <c r="DH261" s="39"/>
      <c r="DI261" s="39"/>
      <c r="DJ261" s="39"/>
      <c r="DK261" s="39"/>
      <c r="DL261" s="39"/>
      <c r="DM261" s="39"/>
      <c r="DN261" s="39"/>
      <c r="DO261" s="39"/>
      <c r="DP261" s="39"/>
      <c r="DQ261" s="39"/>
      <c r="DR261" s="39"/>
      <c r="DS261" s="39"/>
      <c r="DT261" s="39"/>
      <c r="DU261" s="39"/>
      <c r="DV261" s="39"/>
      <c r="DW261" s="39"/>
      <c r="DX261" s="39"/>
      <c r="DY261" s="39"/>
      <c r="DZ261" s="39"/>
      <c r="EA261" s="39"/>
      <c r="EB261" s="39"/>
      <c r="EC261" s="39"/>
      <c r="ED261" s="39"/>
      <c r="EE261" s="39"/>
      <c r="EF261" s="39"/>
      <c r="EG261" s="39"/>
      <c r="EH261" s="39"/>
      <c r="EI261" s="39"/>
      <c r="EJ261" s="39"/>
      <c r="EK261" s="39"/>
      <c r="EL261" s="39"/>
      <c r="EM261" s="39"/>
      <c r="EN261" s="39"/>
      <c r="EO261" s="39"/>
      <c r="EP261" s="39"/>
      <c r="EQ261" s="39"/>
      <c r="ER261" s="39"/>
      <c r="ES261" s="39"/>
      <c r="ET261" s="39"/>
      <c r="EU261" s="39"/>
      <c r="EV261" s="39"/>
      <c r="EW261" s="39"/>
      <c r="EX261" s="39"/>
      <c r="EY261" s="39"/>
      <c r="EZ261" s="39"/>
      <c r="FA261" s="39"/>
      <c r="FB261" s="39"/>
      <c r="FC261" s="39"/>
      <c r="FD261" s="39"/>
      <c r="FE261" s="39"/>
      <c r="FF261" s="39"/>
      <c r="FG261" s="39"/>
      <c r="FH261" s="39"/>
      <c r="FI261" s="39"/>
      <c r="FJ261" s="39"/>
      <c r="FK261" s="39"/>
      <c r="FL261" s="39"/>
      <c r="FM261" s="39"/>
      <c r="FN261" s="39"/>
      <c r="FO261" s="39"/>
      <c r="FP261" s="39"/>
      <c r="FQ261" s="39"/>
      <c r="FR261" s="39"/>
      <c r="FS261" s="39"/>
      <c r="FT261" s="39"/>
      <c r="FU261" s="39"/>
      <c r="FV261" s="39"/>
      <c r="FW261" s="39"/>
      <c r="FX261" s="39"/>
      <c r="FY261" s="39"/>
      <c r="FZ261" s="39"/>
      <c r="GA261" s="39"/>
      <c r="GB261" s="39"/>
      <c r="GC261" s="39"/>
      <c r="GD261" s="39"/>
      <c r="GE261" s="39"/>
      <c r="GF261" s="39"/>
      <c r="GG261" s="39"/>
      <c r="GH261" s="39"/>
      <c r="GI261" s="39"/>
      <c r="GJ261" s="39"/>
      <c r="GK261" s="39"/>
      <c r="GL261" s="39"/>
      <c r="GM261" s="39"/>
      <c r="GN261" s="39"/>
      <c r="GO261" s="39"/>
      <c r="GP261" s="39"/>
      <c r="GQ261" s="39"/>
      <c r="GR261" s="39"/>
      <c r="GS261" s="39"/>
      <c r="GT261" s="39"/>
      <c r="GU261" s="39"/>
      <c r="GV261" s="39"/>
      <c r="GW261" s="39"/>
      <c r="GX261" s="39"/>
      <c r="GY261" s="39"/>
      <c r="GZ261" s="39"/>
      <c r="HA261" s="39"/>
      <c r="HB261" s="39"/>
      <c r="HC261" s="39"/>
      <c r="HD261" s="39"/>
      <c r="HE261" s="39"/>
      <c r="HF261" s="39"/>
      <c r="HG261" s="39"/>
      <c r="HH261" s="39"/>
      <c r="HI261" s="39"/>
      <c r="HJ261" s="39"/>
      <c r="HK261" s="39"/>
      <c r="HL261" s="39"/>
      <c r="HM261" s="39"/>
      <c r="HN261" s="39"/>
      <c r="HO261" s="39"/>
      <c r="HP261" s="39"/>
      <c r="HQ261" s="39"/>
      <c r="HR261" s="39"/>
      <c r="HS261" s="39"/>
      <c r="HT261" s="39"/>
      <c r="HU261" s="39"/>
      <c r="HV261" s="39"/>
      <c r="HW261" s="39"/>
      <c r="HX261" s="39"/>
      <c r="HY261" s="39"/>
      <c r="HZ261" s="39"/>
      <c r="IA261" s="39"/>
      <c r="IB261" s="39"/>
      <c r="IC261" s="39"/>
      <c r="ID261" s="39"/>
      <c r="IE261" s="39"/>
      <c r="IF261" s="39"/>
      <c r="IG261" s="39"/>
      <c r="IH261" s="39"/>
      <c r="II261" s="39"/>
      <c r="IJ261" s="39"/>
      <c r="IK261" s="39"/>
      <c r="IL261" s="39"/>
      <c r="IM261" s="39"/>
      <c r="IN261" s="39"/>
      <c r="IO261" s="39"/>
      <c r="IP261" s="39"/>
      <c r="IQ261" s="39"/>
      <c r="IR261" s="39"/>
      <c r="IS261" s="39"/>
      <c r="IT261" s="39"/>
      <c r="IU261" s="39"/>
      <c r="IV261" s="39"/>
      <c r="IW261" s="39"/>
    </row>
    <row r="262" customFormat="false" ht="12.95" hidden="true" customHeight="true" outlineLevel="0" collapsed="false">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c r="BE262" s="39"/>
      <c r="BF262" s="39"/>
      <c r="BG262" s="48"/>
      <c r="BH262" s="39"/>
      <c r="BI262" s="39"/>
      <c r="BJ262" s="39"/>
      <c r="BK262" s="39"/>
      <c r="BL262" s="39"/>
      <c r="BM262" s="39"/>
      <c r="BN262" s="39"/>
      <c r="BO262" s="39"/>
      <c r="BP262" s="39"/>
      <c r="BQ262" s="39"/>
      <c r="BR262" s="39"/>
      <c r="BS262" s="39"/>
      <c r="BT262" s="39"/>
      <c r="BU262" s="39"/>
      <c r="BV262" s="39"/>
      <c r="BW262" s="39"/>
      <c r="BX262" s="39"/>
      <c r="BY262" s="39"/>
      <c r="BZ262" s="39"/>
      <c r="CA262" s="39"/>
      <c r="CB262" s="39"/>
      <c r="CC262" s="39"/>
      <c r="CD262" s="39"/>
      <c r="CE262" s="39"/>
      <c r="CF262" s="39"/>
      <c r="CG262" s="39"/>
      <c r="CH262" s="39"/>
      <c r="CI262" s="39"/>
      <c r="CJ262" s="39"/>
      <c r="CK262" s="39"/>
      <c r="CL262" s="39"/>
      <c r="CM262" s="39"/>
      <c r="CN262" s="39"/>
      <c r="CO262" s="39"/>
      <c r="CP262" s="39"/>
      <c r="CQ262" s="39"/>
      <c r="CR262" s="39"/>
      <c r="CS262" s="39"/>
      <c r="CT262" s="39"/>
      <c r="CU262" s="39"/>
      <c r="CV262" s="39"/>
      <c r="CW262" s="39"/>
      <c r="CX262" s="39"/>
      <c r="CY262" s="39"/>
      <c r="CZ262" s="39"/>
      <c r="DA262" s="39"/>
      <c r="DB262" s="39"/>
      <c r="DC262" s="39"/>
      <c r="DD262" s="39"/>
      <c r="DE262" s="39"/>
      <c r="DF262" s="39"/>
      <c r="DG262" s="39"/>
      <c r="DH262" s="39"/>
      <c r="DI262" s="39"/>
      <c r="DJ262" s="39"/>
      <c r="DK262" s="39"/>
      <c r="DL262" s="39"/>
      <c r="DM262" s="39"/>
      <c r="DN262" s="39"/>
      <c r="DO262" s="39"/>
      <c r="DP262" s="39"/>
      <c r="DQ262" s="39"/>
      <c r="DR262" s="39"/>
      <c r="DS262" s="39"/>
      <c r="DT262" s="39"/>
      <c r="DU262" s="39"/>
      <c r="DV262" s="39"/>
      <c r="DW262" s="39"/>
      <c r="DX262" s="39"/>
      <c r="DY262" s="39"/>
      <c r="DZ262" s="39"/>
      <c r="EA262" s="39"/>
      <c r="EB262" s="39"/>
      <c r="EC262" s="39"/>
      <c r="ED262" s="39"/>
      <c r="EE262" s="39"/>
      <c r="EF262" s="39"/>
      <c r="EG262" s="39"/>
      <c r="EH262" s="39"/>
      <c r="EI262" s="39"/>
      <c r="EJ262" s="39"/>
      <c r="EK262" s="39"/>
      <c r="EL262" s="39"/>
      <c r="EM262" s="39"/>
      <c r="EN262" s="39"/>
      <c r="EO262" s="39"/>
      <c r="EP262" s="39"/>
      <c r="EQ262" s="39"/>
      <c r="ER262" s="39"/>
      <c r="ES262" s="39"/>
      <c r="ET262" s="39"/>
      <c r="EU262" s="39"/>
      <c r="EV262" s="39"/>
      <c r="EW262" s="39"/>
      <c r="EX262" s="39"/>
      <c r="EY262" s="39"/>
      <c r="EZ262" s="39"/>
      <c r="FA262" s="39"/>
      <c r="FB262" s="39"/>
      <c r="FC262" s="39"/>
      <c r="FD262" s="39"/>
      <c r="FE262" s="39"/>
      <c r="FF262" s="39"/>
      <c r="FG262" s="39"/>
      <c r="FH262" s="39"/>
      <c r="FI262" s="39"/>
      <c r="FJ262" s="39"/>
      <c r="FK262" s="39"/>
      <c r="FL262" s="39"/>
      <c r="FM262" s="39"/>
      <c r="FN262" s="39"/>
      <c r="FO262" s="39"/>
      <c r="FP262" s="39"/>
      <c r="FQ262" s="39"/>
      <c r="FR262" s="39"/>
      <c r="FS262" s="39"/>
      <c r="FT262" s="39"/>
      <c r="FU262" s="39"/>
      <c r="FV262" s="39"/>
      <c r="FW262" s="39"/>
      <c r="FX262" s="39"/>
      <c r="FY262" s="39"/>
      <c r="FZ262" s="39"/>
      <c r="GA262" s="39"/>
      <c r="GB262" s="39"/>
      <c r="GC262" s="39"/>
      <c r="GD262" s="39"/>
      <c r="GE262" s="39"/>
      <c r="GF262" s="39"/>
      <c r="GG262" s="39"/>
      <c r="GH262" s="39"/>
      <c r="GI262" s="39"/>
      <c r="GJ262" s="39"/>
      <c r="GK262" s="39"/>
      <c r="GL262" s="39"/>
      <c r="GM262" s="39"/>
      <c r="GN262" s="39"/>
      <c r="GO262" s="39"/>
      <c r="GP262" s="39"/>
      <c r="GQ262" s="39"/>
      <c r="GR262" s="39"/>
      <c r="GS262" s="39"/>
      <c r="GT262" s="39"/>
      <c r="GU262" s="39"/>
      <c r="GV262" s="39"/>
      <c r="GW262" s="39"/>
      <c r="GX262" s="39"/>
      <c r="GY262" s="39"/>
      <c r="GZ262" s="39"/>
      <c r="HA262" s="39"/>
      <c r="HB262" s="39"/>
      <c r="HC262" s="39"/>
      <c r="HD262" s="39"/>
      <c r="HE262" s="39"/>
      <c r="HF262" s="39"/>
      <c r="HG262" s="39"/>
      <c r="HH262" s="39"/>
      <c r="HI262" s="39"/>
      <c r="HJ262" s="39"/>
      <c r="HK262" s="39"/>
      <c r="HL262" s="39"/>
      <c r="HM262" s="39"/>
      <c r="HN262" s="39"/>
      <c r="HO262" s="39"/>
      <c r="HP262" s="39"/>
      <c r="HQ262" s="39"/>
      <c r="HR262" s="39"/>
      <c r="HS262" s="39"/>
      <c r="HT262" s="39"/>
      <c r="HU262" s="39"/>
      <c r="HV262" s="39"/>
      <c r="HW262" s="39"/>
      <c r="HX262" s="39"/>
      <c r="HY262" s="39"/>
      <c r="HZ262" s="39"/>
      <c r="IA262" s="39"/>
      <c r="IB262" s="39"/>
      <c r="IC262" s="39"/>
      <c r="ID262" s="39"/>
      <c r="IE262" s="39"/>
      <c r="IF262" s="39"/>
      <c r="IG262" s="39"/>
      <c r="IH262" s="39"/>
      <c r="II262" s="39"/>
      <c r="IJ262" s="39"/>
      <c r="IK262" s="39"/>
      <c r="IL262" s="39"/>
      <c r="IM262" s="39"/>
      <c r="IN262" s="39"/>
      <c r="IO262" s="39"/>
      <c r="IP262" s="39"/>
      <c r="IQ262" s="39"/>
      <c r="IR262" s="39"/>
      <c r="IS262" s="39"/>
      <c r="IT262" s="39"/>
      <c r="IU262" s="39"/>
      <c r="IV262" s="39"/>
      <c r="IW262" s="39"/>
    </row>
    <row r="263" customFormat="false" ht="12.95" hidden="true" customHeight="true" outlineLevel="0" collapsed="false">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c r="BB263" s="39"/>
      <c r="BC263" s="39"/>
      <c r="BD263" s="39"/>
      <c r="BE263" s="39"/>
      <c r="BF263" s="39"/>
      <c r="BG263" s="48"/>
      <c r="BH263" s="39"/>
      <c r="BI263" s="39"/>
      <c r="BJ263" s="39"/>
      <c r="BK263" s="39"/>
      <c r="BL263" s="39"/>
      <c r="BM263" s="39"/>
      <c r="BN263" s="39"/>
      <c r="BO263" s="39"/>
      <c r="BP263" s="39"/>
      <c r="BQ263" s="39"/>
      <c r="BR263" s="39"/>
      <c r="BS263" s="39"/>
      <c r="BT263" s="39"/>
      <c r="BU263" s="39"/>
      <c r="BV263" s="39"/>
      <c r="BW263" s="39"/>
      <c r="BX263" s="39"/>
      <c r="BY263" s="39"/>
      <c r="BZ263" s="39"/>
      <c r="CA263" s="39"/>
      <c r="CB263" s="39"/>
      <c r="CC263" s="39"/>
      <c r="CD263" s="39"/>
      <c r="CE263" s="39"/>
      <c r="CF263" s="39"/>
      <c r="CG263" s="39"/>
      <c r="CH263" s="39"/>
      <c r="CI263" s="39"/>
      <c r="CJ263" s="39"/>
      <c r="CK263" s="39"/>
      <c r="CL263" s="39"/>
      <c r="CM263" s="39"/>
      <c r="CN263" s="39"/>
      <c r="CO263" s="39"/>
      <c r="CP263" s="39"/>
      <c r="CQ263" s="39"/>
      <c r="CR263" s="39"/>
      <c r="CS263" s="39"/>
      <c r="CT263" s="39"/>
      <c r="CU263" s="39"/>
      <c r="CV263" s="39"/>
      <c r="CW263" s="39"/>
      <c r="CX263" s="39"/>
      <c r="CY263" s="39"/>
      <c r="CZ263" s="39"/>
      <c r="DA263" s="39"/>
      <c r="DB263" s="39"/>
      <c r="DC263" s="39"/>
      <c r="DD263" s="39"/>
      <c r="DE263" s="39"/>
      <c r="DF263" s="39"/>
      <c r="DG263" s="39"/>
      <c r="DH263" s="39"/>
      <c r="DI263" s="39"/>
      <c r="DJ263" s="39"/>
      <c r="DK263" s="39"/>
      <c r="DL263" s="39"/>
      <c r="DM263" s="39"/>
      <c r="DN263" s="39"/>
      <c r="DO263" s="39"/>
      <c r="DP263" s="39"/>
      <c r="DQ263" s="39"/>
      <c r="DR263" s="39"/>
      <c r="DS263" s="39"/>
      <c r="DT263" s="39"/>
      <c r="DU263" s="39"/>
      <c r="DV263" s="39"/>
      <c r="DW263" s="39"/>
      <c r="DX263" s="39"/>
      <c r="DY263" s="39"/>
      <c r="DZ263" s="39"/>
      <c r="EA263" s="39"/>
      <c r="EB263" s="39"/>
      <c r="EC263" s="39"/>
      <c r="ED263" s="39"/>
      <c r="EE263" s="39"/>
      <c r="EF263" s="39"/>
      <c r="EG263" s="39"/>
      <c r="EH263" s="39"/>
      <c r="EI263" s="39"/>
      <c r="EJ263" s="39"/>
      <c r="EK263" s="39"/>
      <c r="EL263" s="39"/>
      <c r="EM263" s="39"/>
      <c r="EN263" s="39"/>
      <c r="EO263" s="39"/>
      <c r="EP263" s="39"/>
      <c r="EQ263" s="39"/>
      <c r="ER263" s="39"/>
      <c r="ES263" s="39"/>
      <c r="ET263" s="39"/>
      <c r="EU263" s="39"/>
      <c r="EV263" s="39"/>
      <c r="EW263" s="39"/>
      <c r="EX263" s="39"/>
      <c r="EY263" s="39"/>
      <c r="EZ263" s="39"/>
      <c r="FA263" s="39"/>
      <c r="FB263" s="39"/>
      <c r="FC263" s="39"/>
      <c r="FD263" s="39"/>
      <c r="FE263" s="39"/>
      <c r="FF263" s="39"/>
      <c r="FG263" s="39"/>
      <c r="FH263" s="39"/>
      <c r="FI263" s="39"/>
      <c r="FJ263" s="39"/>
      <c r="FK263" s="39"/>
      <c r="FL263" s="39"/>
      <c r="FM263" s="39"/>
      <c r="FN263" s="39"/>
      <c r="FO263" s="39"/>
      <c r="FP263" s="39"/>
      <c r="FQ263" s="39"/>
      <c r="FR263" s="39"/>
      <c r="FS263" s="39"/>
      <c r="FT263" s="39"/>
      <c r="FU263" s="39"/>
      <c r="FV263" s="39"/>
      <c r="FW263" s="39"/>
      <c r="FX263" s="39"/>
      <c r="FY263" s="39"/>
      <c r="FZ263" s="39"/>
      <c r="GA263" s="39"/>
      <c r="GB263" s="39"/>
      <c r="GC263" s="39"/>
      <c r="GD263" s="39"/>
      <c r="GE263" s="39"/>
      <c r="GF263" s="39"/>
      <c r="GG263" s="39"/>
      <c r="GH263" s="39"/>
      <c r="GI263" s="39"/>
      <c r="GJ263" s="39"/>
      <c r="GK263" s="39"/>
      <c r="GL263" s="39"/>
      <c r="GM263" s="39"/>
      <c r="GN263" s="39"/>
      <c r="GO263" s="39"/>
      <c r="GP263" s="39"/>
      <c r="GQ263" s="39"/>
      <c r="GR263" s="39"/>
      <c r="GS263" s="39"/>
      <c r="GT263" s="39"/>
      <c r="GU263" s="39"/>
      <c r="GV263" s="39"/>
      <c r="GW263" s="39"/>
      <c r="GX263" s="39"/>
      <c r="GY263" s="39"/>
      <c r="GZ263" s="39"/>
      <c r="HA263" s="39"/>
      <c r="HB263" s="39"/>
      <c r="HC263" s="39"/>
      <c r="HD263" s="39"/>
      <c r="HE263" s="39"/>
      <c r="HF263" s="39"/>
      <c r="HG263" s="39"/>
      <c r="HH263" s="39"/>
      <c r="HI263" s="39"/>
      <c r="HJ263" s="39"/>
      <c r="HK263" s="39"/>
      <c r="HL263" s="39"/>
      <c r="HM263" s="39"/>
      <c r="HN263" s="39"/>
      <c r="HO263" s="39"/>
      <c r="HP263" s="39"/>
      <c r="HQ263" s="39"/>
      <c r="HR263" s="39"/>
      <c r="HS263" s="39"/>
      <c r="HT263" s="39"/>
      <c r="HU263" s="39"/>
      <c r="HV263" s="39"/>
      <c r="HW263" s="39"/>
      <c r="HX263" s="39"/>
      <c r="HY263" s="39"/>
      <c r="HZ263" s="39"/>
      <c r="IA263" s="39"/>
      <c r="IB263" s="39"/>
      <c r="IC263" s="39"/>
      <c r="ID263" s="39"/>
      <c r="IE263" s="39"/>
      <c r="IF263" s="39"/>
      <c r="IG263" s="39"/>
      <c r="IH263" s="39"/>
      <c r="II263" s="39"/>
      <c r="IJ263" s="39"/>
      <c r="IK263" s="39"/>
      <c r="IL263" s="39"/>
      <c r="IM263" s="39"/>
      <c r="IN263" s="39"/>
      <c r="IO263" s="39"/>
      <c r="IP263" s="39"/>
      <c r="IQ263" s="39"/>
      <c r="IR263" s="39"/>
      <c r="IS263" s="39"/>
      <c r="IT263" s="39"/>
      <c r="IU263" s="39"/>
      <c r="IV263" s="39"/>
      <c r="IW263" s="39"/>
    </row>
    <row r="264" customFormat="false" ht="12.95" hidden="true" customHeight="true" outlineLevel="0" collapsed="false">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c r="BE264" s="39"/>
      <c r="BF264" s="39"/>
      <c r="BG264" s="48"/>
      <c r="BH264" s="39"/>
      <c r="BI264" s="39"/>
      <c r="BJ264" s="39"/>
      <c r="BK264" s="39"/>
      <c r="BL264" s="39"/>
      <c r="BM264" s="39"/>
      <c r="BN264" s="39"/>
      <c r="BO264" s="39"/>
      <c r="BP264" s="39"/>
      <c r="BQ264" s="39"/>
      <c r="BR264" s="39"/>
      <c r="BS264" s="39"/>
      <c r="BT264" s="39"/>
      <c r="BU264" s="39"/>
      <c r="BV264" s="39"/>
      <c r="BW264" s="39"/>
      <c r="BX264" s="39"/>
      <c r="BY264" s="39"/>
      <c r="BZ264" s="39"/>
      <c r="CA264" s="39"/>
      <c r="CB264" s="39"/>
      <c r="CC264" s="39"/>
      <c r="CD264" s="39"/>
      <c r="CE264" s="39"/>
      <c r="CF264" s="39"/>
      <c r="CG264" s="39"/>
      <c r="CH264" s="39"/>
      <c r="CI264" s="39"/>
      <c r="CJ264" s="39"/>
      <c r="CK264" s="39"/>
      <c r="CL264" s="39"/>
      <c r="CM264" s="39"/>
      <c r="CN264" s="39"/>
      <c r="CO264" s="39"/>
      <c r="CP264" s="39"/>
      <c r="CQ264" s="39"/>
      <c r="CR264" s="39"/>
      <c r="CS264" s="39"/>
      <c r="CT264" s="39"/>
      <c r="CU264" s="39"/>
      <c r="CV264" s="39"/>
      <c r="CW264" s="39"/>
      <c r="CX264" s="39"/>
      <c r="CY264" s="39"/>
      <c r="CZ264" s="39"/>
      <c r="DA264" s="39"/>
      <c r="DB264" s="39"/>
      <c r="DC264" s="39"/>
      <c r="DD264" s="39"/>
      <c r="DE264" s="39"/>
      <c r="DF264" s="39"/>
      <c r="DG264" s="39"/>
      <c r="DH264" s="39"/>
      <c r="DI264" s="39"/>
      <c r="DJ264" s="39"/>
      <c r="DK264" s="39"/>
      <c r="DL264" s="39"/>
      <c r="DM264" s="39"/>
      <c r="DN264" s="39"/>
      <c r="DO264" s="39"/>
      <c r="DP264" s="39"/>
      <c r="DQ264" s="39"/>
      <c r="DR264" s="39"/>
      <c r="DS264" s="39"/>
      <c r="DT264" s="39"/>
      <c r="DU264" s="39"/>
      <c r="DV264" s="39"/>
      <c r="DW264" s="39"/>
      <c r="DX264" s="39"/>
      <c r="DY264" s="39"/>
      <c r="DZ264" s="39"/>
      <c r="EA264" s="39"/>
      <c r="EB264" s="39"/>
      <c r="EC264" s="39"/>
      <c r="ED264" s="39"/>
      <c r="EE264" s="39"/>
      <c r="EF264" s="39"/>
      <c r="EG264" s="39"/>
      <c r="EH264" s="39"/>
      <c r="EI264" s="39"/>
      <c r="EJ264" s="39"/>
      <c r="EK264" s="39"/>
      <c r="EL264" s="39"/>
      <c r="EM264" s="39"/>
      <c r="EN264" s="39"/>
      <c r="EO264" s="39"/>
      <c r="EP264" s="39"/>
      <c r="EQ264" s="39"/>
      <c r="ER264" s="39"/>
      <c r="ES264" s="39"/>
      <c r="ET264" s="39"/>
      <c r="EU264" s="39"/>
      <c r="EV264" s="39"/>
      <c r="EW264" s="39"/>
      <c r="EX264" s="39"/>
      <c r="EY264" s="39"/>
      <c r="EZ264" s="39"/>
      <c r="FA264" s="39"/>
      <c r="FB264" s="39"/>
      <c r="FC264" s="39"/>
      <c r="FD264" s="39"/>
      <c r="FE264" s="39"/>
      <c r="FF264" s="39"/>
      <c r="FG264" s="39"/>
      <c r="FH264" s="39"/>
      <c r="FI264" s="39"/>
      <c r="FJ264" s="39"/>
      <c r="FK264" s="39"/>
      <c r="FL264" s="39"/>
      <c r="FM264" s="39"/>
      <c r="FN264" s="39"/>
      <c r="FO264" s="39"/>
      <c r="FP264" s="39"/>
      <c r="FQ264" s="39"/>
      <c r="FR264" s="39"/>
      <c r="FS264" s="39"/>
      <c r="FT264" s="39"/>
      <c r="FU264" s="39"/>
      <c r="FV264" s="39"/>
      <c r="FW264" s="39"/>
      <c r="FX264" s="39"/>
      <c r="FY264" s="39"/>
      <c r="FZ264" s="39"/>
      <c r="GA264" s="39"/>
      <c r="GB264" s="39"/>
      <c r="GC264" s="39"/>
      <c r="GD264" s="39"/>
      <c r="GE264" s="39"/>
      <c r="GF264" s="39"/>
      <c r="GG264" s="39"/>
      <c r="GH264" s="39"/>
      <c r="GI264" s="39"/>
      <c r="GJ264" s="39"/>
      <c r="GK264" s="39"/>
      <c r="GL264" s="39"/>
      <c r="GM264" s="39"/>
      <c r="GN264" s="39"/>
      <c r="GO264" s="39"/>
      <c r="GP264" s="39"/>
      <c r="GQ264" s="39"/>
      <c r="GR264" s="39"/>
      <c r="GS264" s="39"/>
      <c r="GT264" s="39"/>
      <c r="GU264" s="39"/>
      <c r="GV264" s="39"/>
      <c r="GW264" s="39"/>
      <c r="GX264" s="39"/>
      <c r="GY264" s="39"/>
      <c r="GZ264" s="39"/>
      <c r="HA264" s="39"/>
      <c r="HB264" s="39"/>
      <c r="HC264" s="39"/>
      <c r="HD264" s="39"/>
      <c r="HE264" s="39"/>
      <c r="HF264" s="39"/>
      <c r="HG264" s="39"/>
      <c r="HH264" s="39"/>
      <c r="HI264" s="39"/>
      <c r="HJ264" s="39"/>
      <c r="HK264" s="39"/>
      <c r="HL264" s="39"/>
      <c r="HM264" s="39"/>
      <c r="HN264" s="39"/>
      <c r="HO264" s="39"/>
      <c r="HP264" s="39"/>
      <c r="HQ264" s="39"/>
      <c r="HR264" s="39"/>
      <c r="HS264" s="39"/>
      <c r="HT264" s="39"/>
      <c r="HU264" s="39"/>
      <c r="HV264" s="39"/>
      <c r="HW264" s="39"/>
      <c r="HX264" s="39"/>
      <c r="HY264" s="39"/>
      <c r="HZ264" s="39"/>
      <c r="IA264" s="39"/>
      <c r="IB264" s="39"/>
      <c r="IC264" s="39"/>
      <c r="ID264" s="39"/>
      <c r="IE264" s="39"/>
      <c r="IF264" s="39"/>
      <c r="IG264" s="39"/>
      <c r="IH264" s="39"/>
      <c r="II264" s="39"/>
      <c r="IJ264" s="39"/>
      <c r="IK264" s="39"/>
      <c r="IL264" s="39"/>
      <c r="IM264" s="39"/>
      <c r="IN264" s="39"/>
      <c r="IO264" s="39"/>
      <c r="IP264" s="39"/>
      <c r="IQ264" s="39"/>
      <c r="IR264" s="39"/>
      <c r="IS264" s="39"/>
      <c r="IT264" s="39"/>
      <c r="IU264" s="39"/>
      <c r="IV264" s="39"/>
      <c r="IW264" s="39"/>
    </row>
    <row r="265" customFormat="false" ht="12.95" hidden="true" customHeight="true" outlineLevel="0" collapsed="false">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c r="BG265" s="48"/>
      <c r="BH265" s="39"/>
      <c r="BI265" s="39"/>
      <c r="BJ265" s="39"/>
      <c r="BK265" s="39"/>
      <c r="BL265" s="39"/>
      <c r="BM265" s="39"/>
      <c r="BN265" s="39"/>
      <c r="BO265" s="39"/>
      <c r="BP265" s="39"/>
      <c r="BQ265" s="39"/>
      <c r="BR265" s="39"/>
      <c r="BS265" s="39"/>
      <c r="BT265" s="39"/>
      <c r="BU265" s="39"/>
      <c r="BV265" s="39"/>
      <c r="BW265" s="39"/>
      <c r="BX265" s="39"/>
      <c r="BY265" s="39"/>
      <c r="BZ265" s="39"/>
      <c r="CA265" s="39"/>
      <c r="CB265" s="39"/>
      <c r="CC265" s="39"/>
      <c r="CD265" s="39"/>
      <c r="CE265" s="39"/>
      <c r="CF265" s="39"/>
      <c r="CG265" s="39"/>
      <c r="CH265" s="39"/>
      <c r="CI265" s="39"/>
      <c r="CJ265" s="39"/>
      <c r="CK265" s="39"/>
      <c r="CL265" s="39"/>
      <c r="CM265" s="39"/>
      <c r="CN265" s="39"/>
      <c r="CO265" s="39"/>
      <c r="CP265" s="39"/>
      <c r="CQ265" s="39"/>
      <c r="CR265" s="39"/>
      <c r="CS265" s="39"/>
      <c r="CT265" s="39"/>
      <c r="CU265" s="39"/>
      <c r="CV265" s="39"/>
      <c r="CW265" s="39"/>
      <c r="CX265" s="39"/>
      <c r="CY265" s="39"/>
      <c r="CZ265" s="39"/>
      <c r="DA265" s="39"/>
      <c r="DB265" s="39"/>
      <c r="DC265" s="39"/>
      <c r="DD265" s="39"/>
      <c r="DE265" s="39"/>
      <c r="DF265" s="39"/>
      <c r="DG265" s="39"/>
      <c r="DH265" s="39"/>
      <c r="DI265" s="39"/>
      <c r="DJ265" s="39"/>
      <c r="DK265" s="39"/>
      <c r="DL265" s="39"/>
      <c r="DM265" s="39"/>
      <c r="DN265" s="39"/>
      <c r="DO265" s="39"/>
      <c r="DP265" s="39"/>
      <c r="DQ265" s="39"/>
      <c r="DR265" s="39"/>
      <c r="DS265" s="39"/>
      <c r="DT265" s="39"/>
      <c r="DU265" s="39"/>
      <c r="DV265" s="39"/>
      <c r="DW265" s="39"/>
      <c r="DX265" s="39"/>
      <c r="DY265" s="39"/>
      <c r="DZ265" s="39"/>
      <c r="EA265" s="39"/>
      <c r="EB265" s="39"/>
      <c r="EC265" s="39"/>
      <c r="ED265" s="39"/>
      <c r="EE265" s="39"/>
      <c r="EF265" s="39"/>
      <c r="EG265" s="39"/>
      <c r="EH265" s="39"/>
      <c r="EI265" s="39"/>
      <c r="EJ265" s="39"/>
      <c r="EK265" s="39"/>
      <c r="EL265" s="39"/>
      <c r="EM265" s="39"/>
      <c r="EN265" s="39"/>
      <c r="EO265" s="39"/>
      <c r="EP265" s="39"/>
      <c r="EQ265" s="39"/>
      <c r="ER265" s="39"/>
      <c r="ES265" s="39"/>
      <c r="ET265" s="39"/>
      <c r="EU265" s="39"/>
      <c r="EV265" s="39"/>
      <c r="EW265" s="39"/>
      <c r="EX265" s="39"/>
      <c r="EY265" s="39"/>
      <c r="EZ265" s="39"/>
      <c r="FA265" s="39"/>
      <c r="FB265" s="39"/>
      <c r="FC265" s="39"/>
      <c r="FD265" s="39"/>
      <c r="FE265" s="39"/>
      <c r="FF265" s="39"/>
      <c r="FG265" s="39"/>
      <c r="FH265" s="39"/>
      <c r="FI265" s="39"/>
      <c r="FJ265" s="39"/>
      <c r="FK265" s="39"/>
      <c r="FL265" s="39"/>
      <c r="FM265" s="39"/>
      <c r="FN265" s="39"/>
      <c r="FO265" s="39"/>
      <c r="FP265" s="39"/>
      <c r="FQ265" s="39"/>
      <c r="FR265" s="39"/>
      <c r="FS265" s="39"/>
      <c r="FT265" s="39"/>
      <c r="FU265" s="39"/>
      <c r="FV265" s="39"/>
      <c r="FW265" s="39"/>
      <c r="FX265" s="39"/>
      <c r="FY265" s="39"/>
      <c r="FZ265" s="39"/>
      <c r="GA265" s="39"/>
      <c r="GB265" s="39"/>
      <c r="GC265" s="39"/>
      <c r="GD265" s="39"/>
      <c r="GE265" s="39"/>
      <c r="GF265" s="39"/>
      <c r="GG265" s="39"/>
      <c r="GH265" s="39"/>
      <c r="GI265" s="39"/>
      <c r="GJ265" s="39"/>
      <c r="GK265" s="39"/>
      <c r="GL265" s="39"/>
      <c r="GM265" s="39"/>
      <c r="GN265" s="39"/>
      <c r="GO265" s="39"/>
      <c r="GP265" s="39"/>
      <c r="GQ265" s="39"/>
      <c r="GR265" s="39"/>
      <c r="GS265" s="39"/>
      <c r="GT265" s="39"/>
      <c r="GU265" s="39"/>
      <c r="GV265" s="39"/>
      <c r="GW265" s="39"/>
      <c r="GX265" s="39"/>
      <c r="GY265" s="39"/>
      <c r="GZ265" s="39"/>
      <c r="HA265" s="39"/>
      <c r="HB265" s="39"/>
      <c r="HC265" s="39"/>
      <c r="HD265" s="39"/>
      <c r="HE265" s="39"/>
      <c r="HF265" s="39"/>
      <c r="HG265" s="39"/>
      <c r="HH265" s="39"/>
      <c r="HI265" s="39"/>
      <c r="HJ265" s="39"/>
      <c r="HK265" s="39"/>
      <c r="HL265" s="39"/>
      <c r="HM265" s="39"/>
      <c r="HN265" s="39"/>
      <c r="HO265" s="39"/>
      <c r="HP265" s="39"/>
      <c r="HQ265" s="39"/>
      <c r="HR265" s="39"/>
      <c r="HS265" s="39"/>
      <c r="HT265" s="39"/>
      <c r="HU265" s="39"/>
      <c r="HV265" s="39"/>
      <c r="HW265" s="39"/>
      <c r="HX265" s="39"/>
      <c r="HY265" s="39"/>
      <c r="HZ265" s="39"/>
      <c r="IA265" s="39"/>
      <c r="IB265" s="39"/>
      <c r="IC265" s="39"/>
      <c r="ID265" s="39"/>
      <c r="IE265" s="39"/>
      <c r="IF265" s="39"/>
      <c r="IG265" s="39"/>
      <c r="IH265" s="39"/>
      <c r="II265" s="39"/>
      <c r="IJ265" s="39"/>
      <c r="IK265" s="39"/>
      <c r="IL265" s="39"/>
      <c r="IM265" s="39"/>
      <c r="IN265" s="39"/>
      <c r="IO265" s="39"/>
      <c r="IP265" s="39"/>
      <c r="IQ265" s="39"/>
      <c r="IR265" s="39"/>
      <c r="IS265" s="39"/>
      <c r="IT265" s="39"/>
      <c r="IU265" s="39"/>
      <c r="IV265" s="39"/>
      <c r="IW265" s="39"/>
    </row>
    <row r="266" customFormat="false" ht="12.95" hidden="true" customHeight="true" outlineLevel="0" collapsed="false">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c r="BE266" s="39"/>
      <c r="BF266" s="39"/>
      <c r="BG266" s="48"/>
      <c r="BH266" s="39"/>
      <c r="BI266" s="39"/>
      <c r="BJ266" s="39"/>
      <c r="BK266" s="39"/>
      <c r="BL266" s="39"/>
      <c r="BM266" s="39"/>
      <c r="BN266" s="39"/>
      <c r="BO266" s="39"/>
      <c r="BP266" s="39"/>
      <c r="BQ266" s="39"/>
      <c r="BR266" s="39"/>
      <c r="BS266" s="39"/>
      <c r="BT266" s="39"/>
      <c r="BU266" s="39"/>
      <c r="BV266" s="39"/>
      <c r="BW266" s="39"/>
      <c r="BX266" s="39"/>
      <c r="BY266" s="39"/>
      <c r="BZ266" s="39"/>
      <c r="CA266" s="39"/>
      <c r="CB266" s="39"/>
      <c r="CC266" s="39"/>
      <c r="CD266" s="39"/>
      <c r="CE266" s="39"/>
      <c r="CF266" s="39"/>
      <c r="CG266" s="39"/>
      <c r="CH266" s="39"/>
      <c r="CI266" s="39"/>
      <c r="CJ266" s="39"/>
      <c r="CK266" s="39"/>
      <c r="CL266" s="39"/>
      <c r="CM266" s="39"/>
      <c r="CN266" s="39"/>
      <c r="CO266" s="39"/>
      <c r="CP266" s="39"/>
      <c r="CQ266" s="39"/>
      <c r="CR266" s="39"/>
      <c r="CS266" s="39"/>
      <c r="CT266" s="39"/>
      <c r="CU266" s="39"/>
      <c r="CV266" s="39"/>
      <c r="CW266" s="39"/>
      <c r="CX266" s="39"/>
      <c r="CY266" s="39"/>
      <c r="CZ266" s="39"/>
      <c r="DA266" s="39"/>
      <c r="DB266" s="39"/>
      <c r="DC266" s="39"/>
      <c r="DD266" s="39"/>
      <c r="DE266" s="39"/>
      <c r="DF266" s="39"/>
      <c r="DG266" s="39"/>
      <c r="DH266" s="39"/>
      <c r="DI266" s="39"/>
      <c r="DJ266" s="39"/>
      <c r="DK266" s="39"/>
      <c r="DL266" s="39"/>
      <c r="DM266" s="39"/>
      <c r="DN266" s="39"/>
      <c r="DO266" s="39"/>
      <c r="DP266" s="39"/>
      <c r="DQ266" s="39"/>
      <c r="DR266" s="39"/>
      <c r="DS266" s="39"/>
      <c r="DT266" s="39"/>
      <c r="DU266" s="39"/>
      <c r="DV266" s="39"/>
      <c r="DW266" s="39"/>
      <c r="DX266" s="39"/>
      <c r="DY266" s="39"/>
      <c r="DZ266" s="39"/>
      <c r="EA266" s="39"/>
      <c r="EB266" s="39"/>
      <c r="EC266" s="39"/>
      <c r="ED266" s="39"/>
      <c r="EE266" s="39"/>
      <c r="EF266" s="39"/>
      <c r="EG266" s="39"/>
      <c r="EH266" s="39"/>
      <c r="EI266" s="39"/>
      <c r="EJ266" s="39"/>
      <c r="EK266" s="39"/>
      <c r="EL266" s="39"/>
      <c r="EM266" s="39"/>
      <c r="EN266" s="39"/>
      <c r="EO266" s="39"/>
      <c r="EP266" s="39"/>
      <c r="EQ266" s="39"/>
      <c r="ER266" s="39"/>
      <c r="ES266" s="39"/>
      <c r="ET266" s="39"/>
      <c r="EU266" s="39"/>
      <c r="EV266" s="39"/>
      <c r="EW266" s="39"/>
      <c r="EX266" s="39"/>
      <c r="EY266" s="39"/>
      <c r="EZ266" s="39"/>
      <c r="FA266" s="39"/>
      <c r="FB266" s="39"/>
      <c r="FC266" s="39"/>
      <c r="FD266" s="39"/>
      <c r="FE266" s="39"/>
      <c r="FF266" s="39"/>
      <c r="FG266" s="39"/>
      <c r="FH266" s="39"/>
      <c r="FI266" s="39"/>
      <c r="FJ266" s="39"/>
      <c r="FK266" s="39"/>
      <c r="FL266" s="39"/>
      <c r="FM266" s="39"/>
      <c r="FN266" s="39"/>
      <c r="FO266" s="39"/>
      <c r="FP266" s="39"/>
      <c r="FQ266" s="39"/>
      <c r="FR266" s="39"/>
      <c r="FS266" s="39"/>
      <c r="FT266" s="39"/>
      <c r="FU266" s="39"/>
      <c r="FV266" s="39"/>
      <c r="FW266" s="39"/>
      <c r="FX266" s="39"/>
      <c r="FY266" s="39"/>
      <c r="FZ266" s="39"/>
      <c r="GA266" s="39"/>
      <c r="GB266" s="39"/>
      <c r="GC266" s="39"/>
      <c r="GD266" s="39"/>
      <c r="GE266" s="39"/>
      <c r="GF266" s="39"/>
      <c r="GG266" s="39"/>
      <c r="GH266" s="39"/>
      <c r="GI266" s="39"/>
      <c r="GJ266" s="39"/>
      <c r="GK266" s="39"/>
      <c r="GL266" s="39"/>
      <c r="GM266" s="39"/>
      <c r="GN266" s="39"/>
      <c r="GO266" s="39"/>
      <c r="GP266" s="39"/>
      <c r="GQ266" s="39"/>
      <c r="GR266" s="39"/>
      <c r="GS266" s="39"/>
      <c r="GT266" s="39"/>
      <c r="GU266" s="39"/>
      <c r="GV266" s="39"/>
      <c r="GW266" s="39"/>
      <c r="GX266" s="39"/>
      <c r="GY266" s="39"/>
      <c r="GZ266" s="39"/>
      <c r="HA266" s="39"/>
      <c r="HB266" s="39"/>
      <c r="HC266" s="39"/>
      <c r="HD266" s="39"/>
      <c r="HE266" s="39"/>
      <c r="HF266" s="39"/>
      <c r="HG266" s="39"/>
      <c r="HH266" s="39"/>
      <c r="HI266" s="39"/>
      <c r="HJ266" s="39"/>
      <c r="HK266" s="39"/>
      <c r="HL266" s="39"/>
      <c r="HM266" s="39"/>
      <c r="HN266" s="39"/>
      <c r="HO266" s="39"/>
      <c r="HP266" s="39"/>
      <c r="HQ266" s="39"/>
      <c r="HR266" s="39"/>
      <c r="HS266" s="39"/>
      <c r="HT266" s="39"/>
      <c r="HU266" s="39"/>
      <c r="HV266" s="39"/>
      <c r="HW266" s="39"/>
      <c r="HX266" s="39"/>
      <c r="HY266" s="39"/>
      <c r="HZ266" s="39"/>
      <c r="IA266" s="39"/>
      <c r="IB266" s="39"/>
      <c r="IC266" s="39"/>
      <c r="ID266" s="39"/>
      <c r="IE266" s="39"/>
      <c r="IF266" s="39"/>
      <c r="IG266" s="39"/>
      <c r="IH266" s="39"/>
      <c r="II266" s="39"/>
      <c r="IJ266" s="39"/>
      <c r="IK266" s="39"/>
      <c r="IL266" s="39"/>
      <c r="IM266" s="39"/>
      <c r="IN266" s="39"/>
      <c r="IO266" s="39"/>
      <c r="IP266" s="39"/>
      <c r="IQ266" s="39"/>
      <c r="IR266" s="39"/>
      <c r="IS266" s="39"/>
      <c r="IT266" s="39"/>
      <c r="IU266" s="39"/>
      <c r="IV266" s="39"/>
      <c r="IW266" s="39"/>
    </row>
    <row r="267" customFormat="false" ht="12.95" hidden="true" customHeight="true" outlineLevel="0" collapsed="false">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c r="BE267" s="39"/>
      <c r="BF267" s="39"/>
      <c r="BG267" s="48"/>
      <c r="BH267" s="39"/>
      <c r="BI267" s="39"/>
      <c r="BJ267" s="39"/>
      <c r="BK267" s="39"/>
      <c r="BL267" s="39"/>
      <c r="BM267" s="39"/>
      <c r="BN267" s="39"/>
      <c r="BO267" s="39"/>
      <c r="BP267" s="39"/>
      <c r="BQ267" s="39"/>
      <c r="BR267" s="39"/>
      <c r="BS267" s="39"/>
      <c r="BT267" s="39"/>
      <c r="BU267" s="39"/>
      <c r="BV267" s="39"/>
      <c r="BW267" s="39"/>
      <c r="BX267" s="39"/>
      <c r="BY267" s="39"/>
      <c r="BZ267" s="39"/>
      <c r="CA267" s="39"/>
      <c r="CB267" s="39"/>
      <c r="CC267" s="39"/>
      <c r="CD267" s="39"/>
      <c r="CE267" s="39"/>
      <c r="CF267" s="39"/>
      <c r="CG267" s="39"/>
      <c r="CH267" s="39"/>
      <c r="CI267" s="39"/>
      <c r="CJ267" s="39"/>
      <c r="CK267" s="39"/>
      <c r="CL267" s="39"/>
      <c r="CM267" s="39"/>
      <c r="CN267" s="39"/>
      <c r="CO267" s="39"/>
      <c r="CP267" s="39"/>
      <c r="CQ267" s="39"/>
      <c r="CR267" s="39"/>
      <c r="CS267" s="39"/>
      <c r="CT267" s="39"/>
      <c r="CU267" s="39"/>
      <c r="CV267" s="39"/>
      <c r="CW267" s="39"/>
      <c r="CX267" s="39"/>
      <c r="CY267" s="39"/>
      <c r="CZ267" s="39"/>
      <c r="DA267" s="39"/>
      <c r="DB267" s="39"/>
      <c r="DC267" s="39"/>
      <c r="DD267" s="39"/>
      <c r="DE267" s="39"/>
      <c r="DF267" s="39"/>
      <c r="DG267" s="39"/>
      <c r="DH267" s="39"/>
      <c r="DI267" s="39"/>
      <c r="DJ267" s="39"/>
      <c r="DK267" s="39"/>
      <c r="DL267" s="39"/>
      <c r="DM267" s="39"/>
      <c r="DN267" s="39"/>
      <c r="DO267" s="39"/>
      <c r="DP267" s="39"/>
      <c r="DQ267" s="39"/>
      <c r="DR267" s="39"/>
      <c r="DS267" s="39"/>
      <c r="DT267" s="39"/>
      <c r="DU267" s="39"/>
      <c r="DV267" s="39"/>
      <c r="DW267" s="39"/>
      <c r="DX267" s="39"/>
      <c r="DY267" s="39"/>
      <c r="DZ267" s="39"/>
      <c r="EA267" s="39"/>
      <c r="EB267" s="39"/>
      <c r="EC267" s="39"/>
      <c r="ED267" s="39"/>
      <c r="EE267" s="39"/>
      <c r="EF267" s="39"/>
      <c r="EG267" s="39"/>
      <c r="EH267" s="39"/>
      <c r="EI267" s="39"/>
      <c r="EJ267" s="39"/>
      <c r="EK267" s="39"/>
      <c r="EL267" s="39"/>
      <c r="EM267" s="39"/>
      <c r="EN267" s="39"/>
      <c r="EO267" s="39"/>
      <c r="EP267" s="39"/>
      <c r="EQ267" s="39"/>
      <c r="ER267" s="39"/>
      <c r="ES267" s="39"/>
      <c r="ET267" s="39"/>
      <c r="EU267" s="39"/>
      <c r="EV267" s="39"/>
      <c r="EW267" s="39"/>
      <c r="EX267" s="39"/>
      <c r="EY267" s="39"/>
      <c r="EZ267" s="39"/>
      <c r="FA267" s="39"/>
      <c r="FB267" s="39"/>
      <c r="FC267" s="39"/>
      <c r="FD267" s="39"/>
      <c r="FE267" s="39"/>
      <c r="FF267" s="39"/>
      <c r="FG267" s="39"/>
      <c r="FH267" s="39"/>
      <c r="FI267" s="39"/>
      <c r="FJ267" s="39"/>
      <c r="FK267" s="39"/>
      <c r="FL267" s="39"/>
      <c r="FM267" s="39"/>
      <c r="FN267" s="39"/>
      <c r="FO267" s="39"/>
      <c r="FP267" s="39"/>
      <c r="FQ267" s="39"/>
      <c r="FR267" s="39"/>
      <c r="FS267" s="39"/>
      <c r="FT267" s="39"/>
      <c r="FU267" s="39"/>
      <c r="FV267" s="39"/>
      <c r="FW267" s="39"/>
      <c r="FX267" s="39"/>
      <c r="FY267" s="39"/>
      <c r="FZ267" s="39"/>
      <c r="GA267" s="39"/>
      <c r="GB267" s="39"/>
      <c r="GC267" s="39"/>
      <c r="GD267" s="39"/>
      <c r="GE267" s="39"/>
      <c r="GF267" s="39"/>
      <c r="GG267" s="39"/>
      <c r="GH267" s="39"/>
      <c r="GI267" s="39"/>
      <c r="GJ267" s="39"/>
      <c r="GK267" s="39"/>
      <c r="GL267" s="39"/>
      <c r="GM267" s="39"/>
      <c r="GN267" s="39"/>
      <c r="GO267" s="39"/>
      <c r="GP267" s="39"/>
      <c r="GQ267" s="39"/>
      <c r="GR267" s="39"/>
      <c r="GS267" s="39"/>
      <c r="GT267" s="39"/>
      <c r="GU267" s="39"/>
      <c r="GV267" s="39"/>
      <c r="GW267" s="39"/>
      <c r="GX267" s="39"/>
      <c r="GY267" s="39"/>
      <c r="GZ267" s="39"/>
      <c r="HA267" s="39"/>
      <c r="HB267" s="39"/>
      <c r="HC267" s="39"/>
      <c r="HD267" s="39"/>
      <c r="HE267" s="39"/>
      <c r="HF267" s="39"/>
      <c r="HG267" s="39"/>
      <c r="HH267" s="39"/>
      <c r="HI267" s="39"/>
      <c r="HJ267" s="39"/>
      <c r="HK267" s="39"/>
      <c r="HL267" s="39"/>
      <c r="HM267" s="39"/>
      <c r="HN267" s="39"/>
      <c r="HO267" s="39"/>
      <c r="HP267" s="39"/>
      <c r="HQ267" s="39"/>
      <c r="HR267" s="39"/>
      <c r="HS267" s="39"/>
      <c r="HT267" s="39"/>
      <c r="HU267" s="39"/>
      <c r="HV267" s="39"/>
      <c r="HW267" s="39"/>
      <c r="HX267" s="39"/>
      <c r="HY267" s="39"/>
      <c r="HZ267" s="39"/>
      <c r="IA267" s="39"/>
      <c r="IB267" s="39"/>
      <c r="IC267" s="39"/>
      <c r="ID267" s="39"/>
      <c r="IE267" s="39"/>
      <c r="IF267" s="39"/>
      <c r="IG267" s="39"/>
      <c r="IH267" s="39"/>
      <c r="II267" s="39"/>
      <c r="IJ267" s="39"/>
      <c r="IK267" s="39"/>
      <c r="IL267" s="39"/>
      <c r="IM267" s="39"/>
      <c r="IN267" s="39"/>
      <c r="IO267" s="39"/>
      <c r="IP267" s="39"/>
      <c r="IQ267" s="39"/>
      <c r="IR267" s="39"/>
      <c r="IS267" s="39"/>
      <c r="IT267" s="39"/>
      <c r="IU267" s="39"/>
      <c r="IV267" s="39"/>
      <c r="IW267" s="39"/>
    </row>
    <row r="268" customFormat="false" ht="12.95" hidden="true" customHeight="true" outlineLevel="0" collapsed="false">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48"/>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9"/>
      <c r="CJ268" s="39"/>
      <c r="CK268" s="39"/>
      <c r="CL268" s="39"/>
      <c r="CM268" s="39"/>
      <c r="CN268" s="39"/>
      <c r="CO268" s="39"/>
      <c r="CP268" s="39"/>
      <c r="CQ268" s="39"/>
      <c r="CR268" s="39"/>
      <c r="CS268" s="39"/>
      <c r="CT268" s="39"/>
      <c r="CU268" s="39"/>
      <c r="CV268" s="39"/>
      <c r="CW268" s="39"/>
      <c r="CX268" s="39"/>
      <c r="CY268" s="39"/>
      <c r="CZ268" s="39"/>
      <c r="DA268" s="39"/>
      <c r="DB268" s="39"/>
      <c r="DC268" s="39"/>
      <c r="DD268" s="39"/>
      <c r="DE268" s="39"/>
      <c r="DF268" s="39"/>
      <c r="DG268" s="39"/>
      <c r="DH268" s="39"/>
      <c r="DI268" s="39"/>
      <c r="DJ268" s="39"/>
      <c r="DK268" s="39"/>
      <c r="DL268" s="39"/>
      <c r="DM268" s="39"/>
      <c r="DN268" s="39"/>
      <c r="DO268" s="39"/>
      <c r="DP268" s="39"/>
      <c r="DQ268" s="39"/>
      <c r="DR268" s="39"/>
      <c r="DS268" s="39"/>
      <c r="DT268" s="39"/>
      <c r="DU268" s="39"/>
      <c r="DV268" s="39"/>
      <c r="DW268" s="39"/>
      <c r="DX268" s="39"/>
      <c r="DY268" s="39"/>
      <c r="DZ268" s="39"/>
      <c r="EA268" s="39"/>
      <c r="EB268" s="39"/>
      <c r="EC268" s="39"/>
      <c r="ED268" s="39"/>
      <c r="EE268" s="39"/>
      <c r="EF268" s="39"/>
      <c r="EG268" s="39"/>
      <c r="EH268" s="39"/>
      <c r="EI268" s="39"/>
      <c r="EJ268" s="39"/>
      <c r="EK268" s="39"/>
      <c r="EL268" s="39"/>
      <c r="EM268" s="39"/>
      <c r="EN268" s="39"/>
      <c r="EO268" s="39"/>
      <c r="EP268" s="39"/>
      <c r="EQ268" s="39"/>
      <c r="ER268" s="39"/>
      <c r="ES268" s="39"/>
      <c r="ET268" s="39"/>
      <c r="EU268" s="39"/>
      <c r="EV268" s="39"/>
      <c r="EW268" s="39"/>
      <c r="EX268" s="39"/>
      <c r="EY268" s="39"/>
      <c r="EZ268" s="39"/>
      <c r="FA268" s="39"/>
      <c r="FB268" s="39"/>
      <c r="FC268" s="39"/>
      <c r="FD268" s="39"/>
      <c r="FE268" s="39"/>
      <c r="FF268" s="39"/>
      <c r="FG268" s="39"/>
      <c r="FH268" s="39"/>
      <c r="FI268" s="39"/>
      <c r="FJ268" s="39"/>
      <c r="FK268" s="39"/>
      <c r="FL268" s="39"/>
      <c r="FM268" s="39"/>
      <c r="FN268" s="39"/>
      <c r="FO268" s="39"/>
      <c r="FP268" s="39"/>
      <c r="FQ268" s="39"/>
      <c r="FR268" s="39"/>
      <c r="FS268" s="39"/>
      <c r="FT268" s="39"/>
      <c r="FU268" s="39"/>
      <c r="FV268" s="39"/>
      <c r="FW268" s="39"/>
      <c r="FX268" s="39"/>
      <c r="FY268" s="39"/>
      <c r="FZ268" s="39"/>
      <c r="GA268" s="39"/>
      <c r="GB268" s="39"/>
      <c r="GC268" s="39"/>
      <c r="GD268" s="39"/>
      <c r="GE268" s="39"/>
      <c r="GF268" s="39"/>
      <c r="GG268" s="39"/>
      <c r="GH268" s="39"/>
      <c r="GI268" s="39"/>
      <c r="GJ268" s="39"/>
      <c r="GK268" s="39"/>
      <c r="GL268" s="39"/>
      <c r="GM268" s="39"/>
      <c r="GN268" s="39"/>
      <c r="GO268" s="39"/>
      <c r="GP268" s="39"/>
      <c r="GQ268" s="39"/>
      <c r="GR268" s="39"/>
      <c r="GS268" s="39"/>
      <c r="GT268" s="39"/>
      <c r="GU268" s="39"/>
      <c r="GV268" s="39"/>
      <c r="GW268" s="39"/>
      <c r="GX268" s="39"/>
      <c r="GY268" s="39"/>
      <c r="GZ268" s="39"/>
      <c r="HA268" s="39"/>
      <c r="HB268" s="39"/>
      <c r="HC268" s="39"/>
      <c r="HD268" s="39"/>
      <c r="HE268" s="39"/>
      <c r="HF268" s="39"/>
      <c r="HG268" s="39"/>
      <c r="HH268" s="39"/>
      <c r="HI268" s="39"/>
      <c r="HJ268" s="39"/>
      <c r="HK268" s="39"/>
      <c r="HL268" s="39"/>
      <c r="HM268" s="39"/>
      <c r="HN268" s="39"/>
      <c r="HO268" s="39"/>
      <c r="HP268" s="39"/>
      <c r="HQ268" s="39"/>
      <c r="HR268" s="39"/>
      <c r="HS268" s="39"/>
      <c r="HT268" s="39"/>
      <c r="HU268" s="39"/>
      <c r="HV268" s="39"/>
      <c r="HW268" s="39"/>
      <c r="HX268" s="39"/>
      <c r="HY268" s="39"/>
      <c r="HZ268" s="39"/>
      <c r="IA268" s="39"/>
      <c r="IB268" s="39"/>
      <c r="IC268" s="39"/>
      <c r="ID268" s="39"/>
      <c r="IE268" s="39"/>
      <c r="IF268" s="39"/>
      <c r="IG268" s="39"/>
      <c r="IH268" s="39"/>
      <c r="II268" s="39"/>
      <c r="IJ268" s="39"/>
      <c r="IK268" s="39"/>
      <c r="IL268" s="39"/>
      <c r="IM268" s="39"/>
      <c r="IN268" s="39"/>
      <c r="IO268" s="39"/>
      <c r="IP268" s="39"/>
      <c r="IQ268" s="39"/>
      <c r="IR268" s="39"/>
      <c r="IS268" s="39"/>
      <c r="IT268" s="39"/>
      <c r="IU268" s="39"/>
      <c r="IV268" s="39"/>
      <c r="IW268" s="39"/>
    </row>
    <row r="269" customFormat="false" ht="12.95" hidden="true" customHeight="true" outlineLevel="0" collapsed="false">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48"/>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9"/>
      <c r="CJ269" s="39"/>
      <c r="CK269" s="39"/>
      <c r="CL269" s="39"/>
      <c r="CM269" s="39"/>
      <c r="CN269" s="39"/>
      <c r="CO269" s="39"/>
      <c r="CP269" s="39"/>
      <c r="CQ269" s="39"/>
      <c r="CR269" s="39"/>
      <c r="CS269" s="39"/>
      <c r="CT269" s="39"/>
      <c r="CU269" s="39"/>
      <c r="CV269" s="39"/>
      <c r="CW269" s="39"/>
      <c r="CX269" s="39"/>
      <c r="CY269" s="39"/>
      <c r="CZ269" s="39"/>
      <c r="DA269" s="39"/>
      <c r="DB269" s="39"/>
      <c r="DC269" s="39"/>
      <c r="DD269" s="39"/>
      <c r="DE269" s="39"/>
      <c r="DF269" s="39"/>
      <c r="DG269" s="39"/>
      <c r="DH269" s="39"/>
      <c r="DI269" s="39"/>
      <c r="DJ269" s="39"/>
      <c r="DK269" s="39"/>
      <c r="DL269" s="39"/>
      <c r="DM269" s="39"/>
      <c r="DN269" s="39"/>
      <c r="DO269" s="39"/>
      <c r="DP269" s="39"/>
      <c r="DQ269" s="39"/>
      <c r="DR269" s="39"/>
      <c r="DS269" s="39"/>
      <c r="DT269" s="39"/>
      <c r="DU269" s="39"/>
      <c r="DV269" s="39"/>
      <c r="DW269" s="39"/>
      <c r="DX269" s="39"/>
      <c r="DY269" s="39"/>
      <c r="DZ269" s="39"/>
      <c r="EA269" s="39"/>
      <c r="EB269" s="39"/>
      <c r="EC269" s="39"/>
      <c r="ED269" s="39"/>
      <c r="EE269" s="39"/>
      <c r="EF269" s="39"/>
      <c r="EG269" s="39"/>
      <c r="EH269" s="39"/>
      <c r="EI269" s="39"/>
      <c r="EJ269" s="39"/>
      <c r="EK269" s="39"/>
      <c r="EL269" s="39"/>
      <c r="EM269" s="39"/>
      <c r="EN269" s="39"/>
      <c r="EO269" s="39"/>
      <c r="EP269" s="39"/>
      <c r="EQ269" s="39"/>
      <c r="ER269" s="39"/>
      <c r="ES269" s="39"/>
      <c r="ET269" s="39"/>
      <c r="EU269" s="39"/>
      <c r="EV269" s="39"/>
      <c r="EW269" s="39"/>
      <c r="EX269" s="39"/>
      <c r="EY269" s="39"/>
      <c r="EZ269" s="39"/>
      <c r="FA269" s="39"/>
      <c r="FB269" s="39"/>
      <c r="FC269" s="39"/>
      <c r="FD269" s="39"/>
      <c r="FE269" s="39"/>
      <c r="FF269" s="39"/>
      <c r="FG269" s="39"/>
      <c r="FH269" s="39"/>
      <c r="FI269" s="39"/>
      <c r="FJ269" s="39"/>
      <c r="FK269" s="39"/>
      <c r="FL269" s="39"/>
      <c r="FM269" s="39"/>
      <c r="FN269" s="39"/>
      <c r="FO269" s="39"/>
      <c r="FP269" s="39"/>
      <c r="FQ269" s="39"/>
      <c r="FR269" s="39"/>
      <c r="FS269" s="39"/>
      <c r="FT269" s="39"/>
      <c r="FU269" s="39"/>
      <c r="FV269" s="39"/>
      <c r="FW269" s="39"/>
      <c r="FX269" s="39"/>
      <c r="FY269" s="39"/>
      <c r="FZ269" s="39"/>
      <c r="GA269" s="39"/>
      <c r="GB269" s="39"/>
      <c r="GC269" s="39"/>
      <c r="GD269" s="39"/>
      <c r="GE269" s="39"/>
      <c r="GF269" s="39"/>
      <c r="GG269" s="39"/>
      <c r="GH269" s="39"/>
      <c r="GI269" s="39"/>
      <c r="GJ269" s="39"/>
      <c r="GK269" s="39"/>
      <c r="GL269" s="39"/>
      <c r="GM269" s="39"/>
      <c r="GN269" s="39"/>
      <c r="GO269" s="39"/>
      <c r="GP269" s="39"/>
      <c r="GQ269" s="39"/>
      <c r="GR269" s="39"/>
      <c r="GS269" s="39"/>
      <c r="GT269" s="39"/>
      <c r="GU269" s="39"/>
      <c r="GV269" s="39"/>
      <c r="GW269" s="39"/>
      <c r="GX269" s="39"/>
      <c r="GY269" s="39"/>
      <c r="GZ269" s="39"/>
      <c r="HA269" s="39"/>
      <c r="HB269" s="39"/>
      <c r="HC269" s="39"/>
      <c r="HD269" s="39"/>
      <c r="HE269" s="39"/>
      <c r="HF269" s="39"/>
      <c r="HG269" s="39"/>
      <c r="HH269" s="39"/>
      <c r="HI269" s="39"/>
      <c r="HJ269" s="39"/>
      <c r="HK269" s="39"/>
      <c r="HL269" s="39"/>
      <c r="HM269" s="39"/>
      <c r="HN269" s="39"/>
      <c r="HO269" s="39"/>
      <c r="HP269" s="39"/>
      <c r="HQ269" s="39"/>
      <c r="HR269" s="39"/>
      <c r="HS269" s="39"/>
      <c r="HT269" s="39"/>
      <c r="HU269" s="39"/>
      <c r="HV269" s="39"/>
      <c r="HW269" s="39"/>
      <c r="HX269" s="39"/>
      <c r="HY269" s="39"/>
      <c r="HZ269" s="39"/>
      <c r="IA269" s="39"/>
      <c r="IB269" s="39"/>
      <c r="IC269" s="39"/>
      <c r="ID269" s="39"/>
      <c r="IE269" s="39"/>
      <c r="IF269" s="39"/>
      <c r="IG269" s="39"/>
      <c r="IH269" s="39"/>
      <c r="II269" s="39"/>
      <c r="IJ269" s="39"/>
      <c r="IK269" s="39"/>
      <c r="IL269" s="39"/>
      <c r="IM269" s="39"/>
      <c r="IN269" s="39"/>
      <c r="IO269" s="39"/>
      <c r="IP269" s="39"/>
      <c r="IQ269" s="39"/>
      <c r="IR269" s="39"/>
      <c r="IS269" s="39"/>
      <c r="IT269" s="39"/>
      <c r="IU269" s="39"/>
      <c r="IV269" s="39"/>
      <c r="IW269" s="39"/>
    </row>
    <row r="270" customFormat="false" ht="12.95" hidden="true" customHeight="true" outlineLevel="0" collapsed="false">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48"/>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9"/>
      <c r="CJ270" s="39"/>
      <c r="CK270" s="39"/>
      <c r="CL270" s="39"/>
      <c r="CM270" s="39"/>
      <c r="CN270" s="39"/>
      <c r="CO270" s="39"/>
      <c r="CP270" s="39"/>
      <c r="CQ270" s="39"/>
      <c r="CR270" s="39"/>
      <c r="CS270" s="39"/>
      <c r="CT270" s="39"/>
      <c r="CU270" s="39"/>
      <c r="CV270" s="39"/>
      <c r="CW270" s="39"/>
      <c r="CX270" s="39"/>
      <c r="CY270" s="39"/>
      <c r="CZ270" s="39"/>
      <c r="DA270" s="39"/>
      <c r="DB270" s="39"/>
      <c r="DC270" s="39"/>
      <c r="DD270" s="39"/>
      <c r="DE270" s="39"/>
      <c r="DF270" s="39"/>
      <c r="DG270" s="39"/>
      <c r="DH270" s="39"/>
      <c r="DI270" s="39"/>
      <c r="DJ270" s="39"/>
      <c r="DK270" s="39"/>
      <c r="DL270" s="39"/>
      <c r="DM270" s="39"/>
      <c r="DN270" s="39"/>
      <c r="DO270" s="39"/>
      <c r="DP270" s="39"/>
      <c r="DQ270" s="39"/>
      <c r="DR270" s="39"/>
      <c r="DS270" s="39"/>
      <c r="DT270" s="39"/>
      <c r="DU270" s="39"/>
      <c r="DV270" s="39"/>
      <c r="DW270" s="39"/>
      <c r="DX270" s="39"/>
      <c r="DY270" s="39"/>
      <c r="DZ270" s="39"/>
      <c r="EA270" s="39"/>
      <c r="EB270" s="39"/>
      <c r="EC270" s="39"/>
      <c r="ED270" s="39"/>
      <c r="EE270" s="39"/>
      <c r="EF270" s="39"/>
      <c r="EG270" s="39"/>
      <c r="EH270" s="39"/>
      <c r="EI270" s="39"/>
      <c r="EJ270" s="39"/>
      <c r="EK270" s="39"/>
      <c r="EL270" s="39"/>
      <c r="EM270" s="39"/>
      <c r="EN270" s="39"/>
      <c r="EO270" s="39"/>
      <c r="EP270" s="39"/>
      <c r="EQ270" s="39"/>
      <c r="ER270" s="39"/>
      <c r="ES270" s="39"/>
      <c r="ET270" s="39"/>
      <c r="EU270" s="39"/>
      <c r="EV270" s="39"/>
      <c r="EW270" s="39"/>
      <c r="EX270" s="39"/>
      <c r="EY270" s="39"/>
      <c r="EZ270" s="39"/>
      <c r="FA270" s="39"/>
      <c r="FB270" s="39"/>
      <c r="FC270" s="39"/>
      <c r="FD270" s="39"/>
      <c r="FE270" s="39"/>
      <c r="FF270" s="39"/>
      <c r="FG270" s="39"/>
      <c r="FH270" s="39"/>
      <c r="FI270" s="39"/>
      <c r="FJ270" s="39"/>
      <c r="FK270" s="39"/>
      <c r="FL270" s="39"/>
      <c r="FM270" s="39"/>
      <c r="FN270" s="39"/>
      <c r="FO270" s="39"/>
      <c r="FP270" s="39"/>
      <c r="FQ270" s="39"/>
      <c r="FR270" s="39"/>
      <c r="FS270" s="39"/>
      <c r="FT270" s="39"/>
      <c r="FU270" s="39"/>
      <c r="FV270" s="39"/>
      <c r="FW270" s="39"/>
      <c r="FX270" s="39"/>
      <c r="FY270" s="39"/>
      <c r="FZ270" s="39"/>
      <c r="GA270" s="39"/>
      <c r="GB270" s="39"/>
      <c r="GC270" s="39"/>
      <c r="GD270" s="39"/>
      <c r="GE270" s="39"/>
      <c r="GF270" s="39"/>
      <c r="GG270" s="39"/>
      <c r="GH270" s="39"/>
      <c r="GI270" s="39"/>
      <c r="GJ270" s="39"/>
      <c r="GK270" s="39"/>
      <c r="GL270" s="39"/>
      <c r="GM270" s="39"/>
      <c r="GN270" s="39"/>
      <c r="GO270" s="39"/>
      <c r="GP270" s="39"/>
      <c r="GQ270" s="39"/>
      <c r="GR270" s="39"/>
      <c r="GS270" s="39"/>
      <c r="GT270" s="39"/>
      <c r="GU270" s="39"/>
      <c r="GV270" s="39"/>
      <c r="GW270" s="39"/>
      <c r="GX270" s="39"/>
      <c r="GY270" s="39"/>
      <c r="GZ270" s="39"/>
      <c r="HA270" s="39"/>
      <c r="HB270" s="39"/>
      <c r="HC270" s="39"/>
      <c r="HD270" s="39"/>
      <c r="HE270" s="39"/>
      <c r="HF270" s="39"/>
      <c r="HG270" s="39"/>
      <c r="HH270" s="39"/>
      <c r="HI270" s="39"/>
      <c r="HJ270" s="39"/>
      <c r="HK270" s="39"/>
      <c r="HL270" s="39"/>
      <c r="HM270" s="39"/>
      <c r="HN270" s="39"/>
      <c r="HO270" s="39"/>
      <c r="HP270" s="39"/>
      <c r="HQ270" s="39"/>
      <c r="HR270" s="39"/>
      <c r="HS270" s="39"/>
      <c r="HT270" s="39"/>
      <c r="HU270" s="39"/>
      <c r="HV270" s="39"/>
      <c r="HW270" s="39"/>
      <c r="HX270" s="39"/>
      <c r="HY270" s="39"/>
      <c r="HZ270" s="39"/>
      <c r="IA270" s="39"/>
      <c r="IB270" s="39"/>
      <c r="IC270" s="39"/>
      <c r="ID270" s="39"/>
      <c r="IE270" s="39"/>
      <c r="IF270" s="39"/>
      <c r="IG270" s="39"/>
      <c r="IH270" s="39"/>
      <c r="II270" s="39"/>
      <c r="IJ270" s="39"/>
      <c r="IK270" s="39"/>
      <c r="IL270" s="39"/>
      <c r="IM270" s="39"/>
      <c r="IN270" s="39"/>
      <c r="IO270" s="39"/>
      <c r="IP270" s="39"/>
      <c r="IQ270" s="39"/>
      <c r="IR270" s="39"/>
      <c r="IS270" s="39"/>
      <c r="IT270" s="39"/>
      <c r="IU270" s="39"/>
      <c r="IV270" s="39"/>
      <c r="IW270" s="39"/>
    </row>
    <row r="271" customFormat="false" ht="12.95" hidden="true" customHeight="true" outlineLevel="0" collapsed="false">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48"/>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9"/>
      <c r="CJ271" s="39"/>
      <c r="CK271" s="39"/>
      <c r="CL271" s="39"/>
      <c r="CM271" s="39"/>
      <c r="CN271" s="39"/>
      <c r="CO271" s="39"/>
      <c r="CP271" s="39"/>
      <c r="CQ271" s="39"/>
      <c r="CR271" s="39"/>
      <c r="CS271" s="39"/>
      <c r="CT271" s="39"/>
      <c r="CU271" s="39"/>
      <c r="CV271" s="39"/>
      <c r="CW271" s="39"/>
      <c r="CX271" s="39"/>
      <c r="CY271" s="39"/>
      <c r="CZ271" s="39"/>
      <c r="DA271" s="39"/>
      <c r="DB271" s="39"/>
      <c r="DC271" s="39"/>
      <c r="DD271" s="39"/>
      <c r="DE271" s="39"/>
      <c r="DF271" s="39"/>
      <c r="DG271" s="39"/>
      <c r="DH271" s="39"/>
      <c r="DI271" s="39"/>
      <c r="DJ271" s="39"/>
      <c r="DK271" s="39"/>
      <c r="DL271" s="39"/>
      <c r="DM271" s="39"/>
      <c r="DN271" s="39"/>
      <c r="DO271" s="39"/>
      <c r="DP271" s="39"/>
      <c r="DQ271" s="39"/>
      <c r="DR271" s="39"/>
      <c r="DS271" s="39"/>
      <c r="DT271" s="39"/>
      <c r="DU271" s="39"/>
      <c r="DV271" s="39"/>
      <c r="DW271" s="39"/>
      <c r="DX271" s="39"/>
      <c r="DY271" s="39"/>
      <c r="DZ271" s="39"/>
      <c r="EA271" s="39"/>
      <c r="EB271" s="39"/>
      <c r="EC271" s="39"/>
      <c r="ED271" s="39"/>
      <c r="EE271" s="39"/>
      <c r="EF271" s="39"/>
      <c r="EG271" s="39"/>
      <c r="EH271" s="39"/>
      <c r="EI271" s="39"/>
      <c r="EJ271" s="39"/>
      <c r="EK271" s="39"/>
      <c r="EL271" s="39"/>
      <c r="EM271" s="39"/>
      <c r="EN271" s="39"/>
      <c r="EO271" s="39"/>
      <c r="EP271" s="39"/>
      <c r="EQ271" s="39"/>
      <c r="ER271" s="39"/>
      <c r="ES271" s="39"/>
      <c r="ET271" s="39"/>
      <c r="EU271" s="39"/>
      <c r="EV271" s="39"/>
      <c r="EW271" s="39"/>
      <c r="EX271" s="39"/>
      <c r="EY271" s="39"/>
      <c r="EZ271" s="39"/>
      <c r="FA271" s="39"/>
      <c r="FB271" s="39"/>
      <c r="FC271" s="39"/>
      <c r="FD271" s="39"/>
      <c r="FE271" s="39"/>
      <c r="FF271" s="39"/>
      <c r="FG271" s="39"/>
      <c r="FH271" s="39"/>
      <c r="FI271" s="39"/>
      <c r="FJ271" s="39"/>
      <c r="FK271" s="39"/>
      <c r="FL271" s="39"/>
      <c r="FM271" s="39"/>
      <c r="FN271" s="39"/>
      <c r="FO271" s="39"/>
      <c r="FP271" s="39"/>
      <c r="FQ271" s="39"/>
      <c r="FR271" s="39"/>
      <c r="FS271" s="39"/>
      <c r="FT271" s="39"/>
      <c r="FU271" s="39"/>
      <c r="FV271" s="39"/>
      <c r="FW271" s="39"/>
      <c r="FX271" s="39"/>
      <c r="FY271" s="39"/>
      <c r="FZ271" s="39"/>
      <c r="GA271" s="39"/>
      <c r="GB271" s="39"/>
      <c r="GC271" s="39"/>
      <c r="GD271" s="39"/>
      <c r="GE271" s="39"/>
      <c r="GF271" s="39"/>
      <c r="GG271" s="39"/>
      <c r="GH271" s="39"/>
      <c r="GI271" s="39"/>
      <c r="GJ271" s="39"/>
      <c r="GK271" s="39"/>
      <c r="GL271" s="39"/>
      <c r="GM271" s="39"/>
      <c r="GN271" s="39"/>
      <c r="GO271" s="39"/>
      <c r="GP271" s="39"/>
      <c r="GQ271" s="39"/>
      <c r="GR271" s="39"/>
      <c r="GS271" s="39"/>
      <c r="GT271" s="39"/>
      <c r="GU271" s="39"/>
      <c r="GV271" s="39"/>
      <c r="GW271" s="39"/>
      <c r="GX271" s="39"/>
      <c r="GY271" s="39"/>
      <c r="GZ271" s="39"/>
      <c r="HA271" s="39"/>
      <c r="HB271" s="39"/>
      <c r="HC271" s="39"/>
      <c r="HD271" s="39"/>
      <c r="HE271" s="39"/>
      <c r="HF271" s="39"/>
      <c r="HG271" s="39"/>
      <c r="HH271" s="39"/>
      <c r="HI271" s="39"/>
      <c r="HJ271" s="39"/>
      <c r="HK271" s="39"/>
      <c r="HL271" s="39"/>
      <c r="HM271" s="39"/>
      <c r="HN271" s="39"/>
      <c r="HO271" s="39"/>
      <c r="HP271" s="39"/>
      <c r="HQ271" s="39"/>
      <c r="HR271" s="39"/>
      <c r="HS271" s="39"/>
      <c r="HT271" s="39"/>
      <c r="HU271" s="39"/>
      <c r="HV271" s="39"/>
      <c r="HW271" s="39"/>
      <c r="HX271" s="39"/>
      <c r="HY271" s="39"/>
      <c r="HZ271" s="39"/>
      <c r="IA271" s="39"/>
      <c r="IB271" s="39"/>
      <c r="IC271" s="39"/>
      <c r="ID271" s="39"/>
      <c r="IE271" s="39"/>
      <c r="IF271" s="39"/>
      <c r="IG271" s="39"/>
      <c r="IH271" s="39"/>
      <c r="II271" s="39"/>
      <c r="IJ271" s="39"/>
      <c r="IK271" s="39"/>
      <c r="IL271" s="39"/>
      <c r="IM271" s="39"/>
      <c r="IN271" s="39"/>
      <c r="IO271" s="39"/>
      <c r="IP271" s="39"/>
      <c r="IQ271" s="39"/>
      <c r="IR271" s="39"/>
      <c r="IS271" s="39"/>
      <c r="IT271" s="39"/>
      <c r="IU271" s="39"/>
      <c r="IV271" s="39"/>
      <c r="IW271" s="39"/>
    </row>
    <row r="272" customFormat="false" ht="12.95" hidden="true" customHeight="true" outlineLevel="0" collapsed="false">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48"/>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9"/>
      <c r="CJ272" s="39"/>
      <c r="CK272" s="39"/>
      <c r="CL272" s="39"/>
      <c r="CM272" s="39"/>
      <c r="CN272" s="39"/>
      <c r="CO272" s="39"/>
      <c r="CP272" s="39"/>
      <c r="CQ272" s="39"/>
      <c r="CR272" s="39"/>
      <c r="CS272" s="39"/>
      <c r="CT272" s="39"/>
      <c r="CU272" s="39"/>
      <c r="CV272" s="39"/>
      <c r="CW272" s="39"/>
      <c r="CX272" s="39"/>
      <c r="CY272" s="39"/>
      <c r="CZ272" s="39"/>
      <c r="DA272" s="39"/>
      <c r="DB272" s="39"/>
      <c r="DC272" s="39"/>
      <c r="DD272" s="39"/>
      <c r="DE272" s="39"/>
      <c r="DF272" s="39"/>
      <c r="DG272" s="39"/>
      <c r="DH272" s="39"/>
      <c r="DI272" s="39"/>
      <c r="DJ272" s="39"/>
      <c r="DK272" s="39"/>
      <c r="DL272" s="39"/>
      <c r="DM272" s="39"/>
      <c r="DN272" s="39"/>
      <c r="DO272" s="39"/>
      <c r="DP272" s="39"/>
      <c r="DQ272" s="39"/>
      <c r="DR272" s="39"/>
      <c r="DS272" s="39"/>
      <c r="DT272" s="39"/>
      <c r="DU272" s="39"/>
      <c r="DV272" s="39"/>
      <c r="DW272" s="39"/>
      <c r="DX272" s="39"/>
      <c r="DY272" s="39"/>
      <c r="DZ272" s="39"/>
      <c r="EA272" s="39"/>
      <c r="EB272" s="39"/>
      <c r="EC272" s="39"/>
      <c r="ED272" s="39"/>
      <c r="EE272" s="39"/>
      <c r="EF272" s="39"/>
      <c r="EG272" s="39"/>
      <c r="EH272" s="39"/>
      <c r="EI272" s="39"/>
      <c r="EJ272" s="39"/>
      <c r="EK272" s="39"/>
      <c r="EL272" s="39"/>
      <c r="EM272" s="39"/>
      <c r="EN272" s="39"/>
      <c r="EO272" s="39"/>
      <c r="EP272" s="39"/>
      <c r="EQ272" s="39"/>
      <c r="ER272" s="39"/>
      <c r="ES272" s="39"/>
      <c r="ET272" s="39"/>
      <c r="EU272" s="39"/>
      <c r="EV272" s="39"/>
      <c r="EW272" s="39"/>
      <c r="EX272" s="39"/>
      <c r="EY272" s="39"/>
      <c r="EZ272" s="39"/>
      <c r="FA272" s="39"/>
      <c r="FB272" s="39"/>
      <c r="FC272" s="39"/>
      <c r="FD272" s="39"/>
      <c r="FE272" s="39"/>
      <c r="FF272" s="39"/>
      <c r="FG272" s="39"/>
      <c r="FH272" s="39"/>
      <c r="FI272" s="39"/>
      <c r="FJ272" s="39"/>
      <c r="FK272" s="39"/>
      <c r="FL272" s="39"/>
      <c r="FM272" s="39"/>
      <c r="FN272" s="39"/>
      <c r="FO272" s="39"/>
      <c r="FP272" s="39"/>
      <c r="FQ272" s="39"/>
      <c r="FR272" s="39"/>
      <c r="FS272" s="39"/>
      <c r="FT272" s="39"/>
      <c r="FU272" s="39"/>
      <c r="FV272" s="39"/>
      <c r="FW272" s="39"/>
      <c r="FX272" s="39"/>
      <c r="FY272" s="39"/>
      <c r="FZ272" s="39"/>
      <c r="GA272" s="39"/>
      <c r="GB272" s="39"/>
      <c r="GC272" s="39"/>
      <c r="GD272" s="39"/>
      <c r="GE272" s="39"/>
      <c r="GF272" s="39"/>
      <c r="GG272" s="39"/>
      <c r="GH272" s="39"/>
      <c r="GI272" s="39"/>
      <c r="GJ272" s="39"/>
      <c r="GK272" s="39"/>
      <c r="GL272" s="39"/>
      <c r="GM272" s="39"/>
      <c r="GN272" s="39"/>
      <c r="GO272" s="39"/>
      <c r="GP272" s="39"/>
      <c r="GQ272" s="39"/>
      <c r="GR272" s="39"/>
      <c r="GS272" s="39"/>
      <c r="GT272" s="39"/>
      <c r="GU272" s="39"/>
      <c r="GV272" s="39"/>
      <c r="GW272" s="39"/>
      <c r="GX272" s="39"/>
      <c r="GY272" s="39"/>
      <c r="GZ272" s="39"/>
      <c r="HA272" s="39"/>
      <c r="HB272" s="39"/>
      <c r="HC272" s="39"/>
      <c r="HD272" s="39"/>
      <c r="HE272" s="39"/>
      <c r="HF272" s="39"/>
      <c r="HG272" s="39"/>
      <c r="HH272" s="39"/>
      <c r="HI272" s="39"/>
      <c r="HJ272" s="39"/>
      <c r="HK272" s="39"/>
      <c r="HL272" s="39"/>
      <c r="HM272" s="39"/>
      <c r="HN272" s="39"/>
      <c r="HO272" s="39"/>
      <c r="HP272" s="39"/>
      <c r="HQ272" s="39"/>
      <c r="HR272" s="39"/>
      <c r="HS272" s="39"/>
      <c r="HT272" s="39"/>
      <c r="HU272" s="39"/>
      <c r="HV272" s="39"/>
      <c r="HW272" s="39"/>
      <c r="HX272" s="39"/>
      <c r="HY272" s="39"/>
      <c r="HZ272" s="39"/>
      <c r="IA272" s="39"/>
      <c r="IB272" s="39"/>
      <c r="IC272" s="39"/>
      <c r="ID272" s="39"/>
      <c r="IE272" s="39"/>
      <c r="IF272" s="39"/>
      <c r="IG272" s="39"/>
      <c r="IH272" s="39"/>
      <c r="II272" s="39"/>
      <c r="IJ272" s="39"/>
      <c r="IK272" s="39"/>
      <c r="IL272" s="39"/>
      <c r="IM272" s="39"/>
      <c r="IN272" s="39"/>
      <c r="IO272" s="39"/>
      <c r="IP272" s="39"/>
      <c r="IQ272" s="39"/>
      <c r="IR272" s="39"/>
      <c r="IS272" s="39"/>
      <c r="IT272" s="39"/>
      <c r="IU272" s="39"/>
      <c r="IV272" s="39"/>
      <c r="IW272" s="39"/>
    </row>
    <row r="273" customFormat="false" ht="12.75" hidden="true" customHeight="true" outlineLevel="0" collapsed="false">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48"/>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9"/>
      <c r="CJ273" s="39"/>
      <c r="CK273" s="39"/>
      <c r="CL273" s="39"/>
      <c r="CM273" s="39"/>
      <c r="CN273" s="39"/>
      <c r="CO273" s="39"/>
      <c r="CP273" s="39"/>
      <c r="CQ273" s="39"/>
      <c r="CR273" s="39"/>
      <c r="CS273" s="39"/>
      <c r="CT273" s="39"/>
      <c r="CU273" s="39"/>
      <c r="CV273" s="39"/>
      <c r="CW273" s="39"/>
      <c r="CX273" s="39"/>
      <c r="CY273" s="39"/>
      <c r="CZ273" s="39"/>
      <c r="DA273" s="39"/>
      <c r="DB273" s="39"/>
      <c r="DC273" s="39"/>
      <c r="DD273" s="39"/>
      <c r="DE273" s="39"/>
      <c r="DF273" s="39"/>
      <c r="DG273" s="39"/>
      <c r="DH273" s="39"/>
      <c r="DI273" s="39"/>
      <c r="DJ273" s="39"/>
      <c r="DK273" s="39"/>
      <c r="DL273" s="39"/>
      <c r="DM273" s="39"/>
      <c r="DN273" s="39"/>
      <c r="DO273" s="39"/>
      <c r="DP273" s="39"/>
      <c r="DQ273" s="39"/>
      <c r="DR273" s="39"/>
      <c r="DS273" s="39"/>
      <c r="DT273" s="39"/>
      <c r="DU273" s="39"/>
      <c r="DV273" s="39"/>
      <c r="DW273" s="39"/>
      <c r="DX273" s="39"/>
      <c r="DY273" s="39"/>
      <c r="DZ273" s="39"/>
      <c r="EA273" s="39"/>
      <c r="EB273" s="39"/>
      <c r="EC273" s="39"/>
      <c r="ED273" s="39"/>
      <c r="EE273" s="39"/>
      <c r="EF273" s="39"/>
      <c r="EG273" s="39"/>
      <c r="EH273" s="39"/>
      <c r="EI273" s="39"/>
      <c r="EJ273" s="39"/>
      <c r="EK273" s="39"/>
      <c r="EL273" s="39"/>
      <c r="EM273" s="39"/>
      <c r="EN273" s="39"/>
      <c r="EO273" s="39"/>
      <c r="EP273" s="39"/>
      <c r="EQ273" s="39"/>
      <c r="ER273" s="39"/>
      <c r="ES273" s="39"/>
      <c r="ET273" s="39"/>
      <c r="EU273" s="39"/>
      <c r="EV273" s="39"/>
      <c r="EW273" s="39"/>
      <c r="EX273" s="39"/>
      <c r="EY273" s="39"/>
      <c r="EZ273" s="39"/>
      <c r="FA273" s="39"/>
      <c r="FB273" s="39"/>
      <c r="FC273" s="39"/>
      <c r="FD273" s="39"/>
      <c r="FE273" s="39"/>
      <c r="FF273" s="39"/>
      <c r="FG273" s="39"/>
      <c r="FH273" s="39"/>
      <c r="FI273" s="39"/>
      <c r="FJ273" s="39"/>
      <c r="FK273" s="39"/>
      <c r="FL273" s="39"/>
      <c r="FM273" s="39"/>
      <c r="FN273" s="39"/>
      <c r="FO273" s="39"/>
      <c r="FP273" s="39"/>
      <c r="FQ273" s="39"/>
      <c r="FR273" s="39"/>
      <c r="FS273" s="39"/>
      <c r="FT273" s="39"/>
      <c r="FU273" s="39"/>
      <c r="FV273" s="39"/>
      <c r="FW273" s="39"/>
      <c r="FX273" s="39"/>
      <c r="FY273" s="39"/>
      <c r="FZ273" s="39"/>
      <c r="GA273" s="39"/>
      <c r="GB273" s="39"/>
      <c r="GC273" s="39"/>
      <c r="GD273" s="39"/>
      <c r="GE273" s="39"/>
      <c r="GF273" s="39"/>
      <c r="GG273" s="39"/>
      <c r="GH273" s="39"/>
      <c r="GI273" s="39"/>
      <c r="GJ273" s="39"/>
      <c r="GK273" s="39"/>
      <c r="GL273" s="39"/>
      <c r="GM273" s="39"/>
      <c r="GN273" s="39"/>
      <c r="GO273" s="39"/>
      <c r="GP273" s="39"/>
      <c r="GQ273" s="39"/>
      <c r="GR273" s="39"/>
      <c r="GS273" s="39"/>
      <c r="GT273" s="39"/>
      <c r="GU273" s="39"/>
      <c r="GV273" s="39"/>
      <c r="GW273" s="39"/>
      <c r="GX273" s="39"/>
      <c r="GY273" s="39"/>
      <c r="GZ273" s="39"/>
      <c r="HA273" s="39"/>
      <c r="HB273" s="39"/>
      <c r="HC273" s="39"/>
      <c r="HD273" s="39"/>
      <c r="HE273" s="39"/>
      <c r="HF273" s="39"/>
      <c r="HG273" s="39"/>
      <c r="HH273" s="39"/>
      <c r="HI273" s="39"/>
      <c r="HJ273" s="39"/>
      <c r="HK273" s="39"/>
      <c r="HL273" s="39"/>
      <c r="HM273" s="39"/>
      <c r="HN273" s="39"/>
      <c r="HO273" s="39"/>
      <c r="HP273" s="39"/>
      <c r="HQ273" s="39"/>
      <c r="HR273" s="39"/>
      <c r="HS273" s="39"/>
      <c r="HT273" s="39"/>
      <c r="HU273" s="39"/>
      <c r="HV273" s="39"/>
      <c r="HW273" s="39"/>
      <c r="HX273" s="39"/>
      <c r="HY273" s="39"/>
      <c r="HZ273" s="39"/>
      <c r="IA273" s="39"/>
      <c r="IB273" s="39"/>
      <c r="IC273" s="39"/>
      <c r="ID273" s="39"/>
      <c r="IE273" s="39"/>
      <c r="IF273" s="39"/>
      <c r="IG273" s="39"/>
      <c r="IH273" s="39"/>
      <c r="II273" s="39"/>
      <c r="IJ273" s="39"/>
      <c r="IK273" s="39"/>
      <c r="IL273" s="39"/>
      <c r="IM273" s="39"/>
      <c r="IN273" s="39"/>
      <c r="IO273" s="39"/>
      <c r="IP273" s="39"/>
      <c r="IQ273" s="39"/>
      <c r="IR273" s="39"/>
      <c r="IS273" s="39"/>
      <c r="IT273" s="39"/>
      <c r="IU273" s="39"/>
      <c r="IV273" s="39"/>
      <c r="IW273" s="39"/>
    </row>
    <row r="274" customFormat="false" ht="12.95" hidden="true" customHeight="true" outlineLevel="0" collapsed="false">
      <c r="A274" s="60"/>
      <c r="B274" s="61"/>
      <c r="C274" s="61"/>
      <c r="D274" s="117"/>
      <c r="E274" s="31"/>
      <c r="F274" s="118"/>
      <c r="G274" s="118"/>
      <c r="H274" s="118"/>
      <c r="I274" s="118"/>
      <c r="J274" s="61"/>
      <c r="K274" s="61"/>
      <c r="L274" s="61"/>
      <c r="M274" s="39"/>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65"/>
      <c r="AK274" s="65"/>
      <c r="AL274" s="65"/>
      <c r="AM274" s="65"/>
      <c r="AN274" s="65"/>
      <c r="AO274" s="65"/>
      <c r="AP274" s="65"/>
      <c r="AQ274" s="65"/>
      <c r="AR274" s="65"/>
      <c r="AS274" s="65"/>
      <c r="AT274" s="65"/>
      <c r="AU274" s="65"/>
      <c r="AV274" s="65"/>
      <c r="AW274" s="65"/>
      <c r="AX274" s="65"/>
      <c r="AY274" s="65"/>
      <c r="AZ274" s="119"/>
      <c r="BA274" s="65"/>
      <c r="BB274" s="65"/>
      <c r="BC274" s="65"/>
      <c r="BD274" s="119"/>
      <c r="BE274" s="65"/>
      <c r="BF274" s="65"/>
      <c r="BG274" s="120"/>
      <c r="BH274" s="119"/>
      <c r="BI274" s="119"/>
      <c r="BJ274" s="119"/>
      <c r="BK274" s="119"/>
      <c r="BL274" s="119"/>
      <c r="BM274" s="119"/>
      <c r="BN274" s="119"/>
      <c r="BO274" s="119"/>
      <c r="BP274" s="119"/>
      <c r="BQ274" s="119"/>
      <c r="BR274" s="119"/>
      <c r="BS274" s="119"/>
      <c r="BT274" s="119"/>
      <c r="BU274" s="119"/>
      <c r="BV274" s="119"/>
      <c r="BW274" s="119"/>
      <c r="BX274" s="119"/>
      <c r="BY274" s="119"/>
      <c r="BZ274" s="119"/>
      <c r="CA274" s="119"/>
      <c r="CB274" s="119"/>
      <c r="CC274" s="119"/>
      <c r="CD274" s="119"/>
      <c r="CE274" s="119"/>
      <c r="CF274" s="119"/>
      <c r="CG274" s="119"/>
      <c r="CH274" s="119"/>
      <c r="CI274" s="119"/>
      <c r="CJ274" s="119"/>
      <c r="CK274" s="119"/>
      <c r="CL274" s="119"/>
      <c r="CM274" s="119"/>
      <c r="CN274" s="119"/>
      <c r="CO274" s="119"/>
      <c r="CP274" s="119"/>
      <c r="CQ274" s="119"/>
      <c r="CR274" s="119"/>
      <c r="CS274" s="119"/>
      <c r="CT274" s="119"/>
      <c r="CU274" s="119"/>
      <c r="CV274" s="119"/>
      <c r="CW274" s="119"/>
      <c r="CX274" s="119"/>
      <c r="CY274" s="119"/>
      <c r="CZ274" s="119"/>
      <c r="DA274" s="119"/>
      <c r="DB274" s="119"/>
      <c r="DC274" s="119"/>
      <c r="DD274" s="119"/>
      <c r="DE274" s="119"/>
      <c r="DF274" s="119"/>
      <c r="DG274" s="119"/>
      <c r="DH274" s="119"/>
      <c r="DI274" s="119"/>
      <c r="DJ274" s="119"/>
      <c r="DK274" s="119"/>
      <c r="DL274" s="119"/>
      <c r="DM274" s="119"/>
      <c r="DN274" s="119"/>
      <c r="DO274" s="119"/>
      <c r="DP274" s="119"/>
      <c r="DQ274" s="119"/>
      <c r="DR274" s="119"/>
      <c r="DS274" s="119"/>
      <c r="DT274" s="119"/>
      <c r="DU274" s="119"/>
      <c r="DV274" s="119"/>
      <c r="DW274" s="119"/>
      <c r="DX274" s="119"/>
      <c r="DY274" s="119"/>
      <c r="DZ274" s="119"/>
      <c r="EA274" s="119"/>
      <c r="EB274" s="119"/>
      <c r="EC274" s="119"/>
      <c r="ED274" s="119"/>
      <c r="EE274" s="119"/>
      <c r="EF274" s="119"/>
      <c r="EG274" s="119"/>
      <c r="EH274" s="119"/>
      <c r="EI274" s="119"/>
      <c r="EJ274" s="119"/>
      <c r="EK274" s="119"/>
      <c r="EL274" s="119"/>
      <c r="EM274" s="119"/>
      <c r="EN274" s="119"/>
      <c r="EO274" s="119"/>
      <c r="EP274" s="119"/>
      <c r="EQ274" s="119"/>
      <c r="ER274" s="119"/>
      <c r="ES274" s="119"/>
      <c r="ET274" s="119"/>
      <c r="EU274" s="119"/>
      <c r="EV274" s="119"/>
      <c r="EW274" s="119"/>
      <c r="EX274" s="119"/>
      <c r="EY274" s="119"/>
      <c r="EZ274" s="119"/>
      <c r="FA274" s="119"/>
      <c r="FB274" s="119"/>
      <c r="FC274" s="119"/>
      <c r="FD274" s="119"/>
      <c r="FE274" s="119"/>
      <c r="FF274" s="119"/>
      <c r="FG274" s="119"/>
      <c r="FH274" s="119"/>
      <c r="FI274" s="119"/>
      <c r="FJ274" s="119"/>
      <c r="FK274" s="119"/>
      <c r="FL274" s="119"/>
      <c r="FM274" s="119"/>
      <c r="FN274" s="119"/>
      <c r="FO274" s="119"/>
      <c r="FP274" s="119"/>
      <c r="FQ274" s="119"/>
      <c r="FR274" s="119"/>
      <c r="FS274" s="119"/>
      <c r="FT274" s="119"/>
      <c r="FU274" s="119"/>
      <c r="FV274" s="119"/>
      <c r="FW274" s="119"/>
      <c r="FX274" s="119"/>
      <c r="FY274" s="119"/>
      <c r="FZ274" s="119"/>
      <c r="GA274" s="119"/>
      <c r="GB274" s="119"/>
      <c r="GC274" s="119"/>
      <c r="GD274" s="119"/>
      <c r="GE274" s="119"/>
      <c r="GF274" s="119"/>
      <c r="GG274" s="119"/>
      <c r="GH274" s="119"/>
      <c r="GI274" s="119"/>
      <c r="GJ274" s="119"/>
      <c r="GK274" s="119"/>
      <c r="GL274" s="119"/>
      <c r="GM274" s="119"/>
      <c r="GN274" s="119"/>
      <c r="GO274" s="119"/>
      <c r="GP274" s="119"/>
      <c r="GQ274" s="119"/>
      <c r="GR274" s="119"/>
      <c r="GS274" s="119"/>
      <c r="GT274" s="119"/>
      <c r="GU274" s="119"/>
      <c r="GV274" s="119"/>
      <c r="GW274" s="119"/>
      <c r="GX274" s="119"/>
      <c r="GY274" s="119"/>
      <c r="GZ274" s="119"/>
      <c r="HA274" s="119"/>
      <c r="HB274" s="119"/>
      <c r="HC274" s="119"/>
      <c r="HD274" s="119"/>
      <c r="HE274" s="119"/>
      <c r="HF274" s="119"/>
      <c r="HG274" s="119"/>
      <c r="HH274" s="119"/>
      <c r="HI274" s="119"/>
      <c r="HJ274" s="119"/>
      <c r="HK274" s="119"/>
      <c r="HL274" s="119"/>
      <c r="HM274" s="119"/>
      <c r="HN274" s="119"/>
      <c r="HO274" s="119"/>
      <c r="HP274" s="119"/>
      <c r="HQ274" s="119"/>
      <c r="HR274" s="119"/>
      <c r="HS274" s="119"/>
      <c r="HT274" s="119"/>
      <c r="HU274" s="119"/>
      <c r="HV274" s="119"/>
      <c r="HW274" s="119"/>
      <c r="HX274" s="119"/>
      <c r="HY274" s="119"/>
      <c r="HZ274" s="119"/>
      <c r="IA274" s="119"/>
      <c r="IB274" s="119"/>
      <c r="IC274" s="119"/>
      <c r="ID274" s="119"/>
      <c r="IE274" s="119"/>
      <c r="IF274" s="119"/>
      <c r="IG274" s="119"/>
      <c r="IH274" s="119"/>
      <c r="II274" s="119"/>
      <c r="IJ274" s="119"/>
      <c r="IK274" s="119"/>
      <c r="IL274" s="119"/>
      <c r="IM274" s="119"/>
      <c r="IN274" s="119"/>
      <c r="IO274" s="119"/>
      <c r="IP274" s="119"/>
      <c r="IQ274" s="119"/>
      <c r="IR274" s="119"/>
      <c r="IS274" s="119"/>
      <c r="IT274" s="119"/>
      <c r="IU274" s="119"/>
      <c r="IV274" s="119"/>
      <c r="IW274" s="119"/>
    </row>
    <row r="275" customFormat="false" ht="12.95" hidden="true" customHeight="true" outlineLevel="0" collapsed="false">
      <c r="A275" s="81"/>
      <c r="B275" s="9"/>
      <c r="E275" s="4"/>
      <c r="F275" s="4"/>
      <c r="G275" s="4"/>
      <c r="H275" s="4"/>
      <c r="I275" s="4"/>
      <c r="J275" s="4"/>
      <c r="BA275" s="7"/>
      <c r="BB275" s="7"/>
      <c r="BC275" s="7"/>
      <c r="BE275" s="7"/>
      <c r="BF275" s="7"/>
    </row>
    <row r="276" customFormat="false" ht="12.95" hidden="true" customHeight="true" outlineLevel="0" collapsed="false">
      <c r="A276" s="121"/>
      <c r="BA276" s="7"/>
      <c r="BB276" s="7"/>
      <c r="BC276" s="7"/>
      <c r="BE276" s="7"/>
      <c r="BF276" s="7"/>
    </row>
    <row r="277" customFormat="false" ht="12.95" hidden="true" customHeight="true" outlineLevel="0" collapsed="false">
      <c r="BA277" s="7"/>
      <c r="BB277" s="7"/>
      <c r="BC277" s="7"/>
      <c r="BE277" s="7"/>
      <c r="BF277" s="7"/>
    </row>
    <row r="278" customFormat="false" ht="12.95" hidden="true" customHeight="true" outlineLevel="0" collapsed="false">
      <c r="BA278" s="7"/>
      <c r="BB278" s="7"/>
      <c r="BC278" s="7"/>
      <c r="BE278" s="7"/>
      <c r="BF278" s="7"/>
    </row>
    <row r="279" customFormat="false" ht="12.95" hidden="true" customHeight="true" outlineLevel="0" collapsed="false">
      <c r="BA279" s="7"/>
      <c r="BB279" s="7"/>
      <c r="BC279" s="7"/>
      <c r="BE279" s="7"/>
      <c r="BF279" s="7"/>
    </row>
    <row r="280" customFormat="false" ht="12.95" hidden="true" customHeight="true" outlineLevel="0" collapsed="false">
      <c r="BA280" s="7"/>
      <c r="BB280" s="7"/>
      <c r="BC280" s="7"/>
      <c r="BE280" s="7"/>
      <c r="BF280" s="7"/>
    </row>
    <row r="281" customFormat="false" ht="12.95" hidden="true" customHeight="true" outlineLevel="0" collapsed="false">
      <c r="BA281" s="7"/>
      <c r="BB281" s="7"/>
      <c r="BC281" s="7"/>
      <c r="BE281" s="7"/>
      <c r="BF281" s="7"/>
    </row>
    <row r="282" customFormat="false" ht="12.95" hidden="true" customHeight="true" outlineLevel="0" collapsed="false"/>
    <row r="283" customFormat="false" ht="12.95" hidden="true" customHeight="true" outlineLevel="0" collapsed="false"/>
    <row r="284" customFormat="false" ht="12.95" hidden="true" customHeight="true" outlineLevel="0" collapsed="false"/>
    <row r="285" customFormat="false" ht="12.95" hidden="true" customHeight="true" outlineLevel="0" collapsed="false"/>
    <row r="286" customFormat="false" ht="12.95" hidden="true" customHeight="true" outlineLevel="0" collapsed="false"/>
    <row r="287" customFormat="false" ht="12.95" hidden="true" customHeight="true" outlineLevel="0" collapsed="false"/>
  </sheetData>
  <mergeCells count="1">
    <mergeCell ref="E6:J6"/>
  </mergeCells>
  <printOptions headings="false" gridLines="false" gridLinesSet="true" horizontalCentered="false" verticalCentered="false"/>
  <pageMargins left="0" right="0" top="0.25" bottom="0" header="0.511811023622047" footer="0.511811023622047"/>
  <pageSetup paperSize="5" scale="100" fitToWidth="2" fitToHeight="4" pageOrder="downThenOver" orientation="landscape" blackAndWhite="false" draft="false" cellComments="none" horizontalDpi="300" verticalDpi="300" copies="1"/>
  <headerFooter differentFirst="false" differentOddEven="false">
    <oddHeader/>
    <oddFooter/>
  </headerFooter>
  <rowBreaks count="2" manualBreakCount="2">
    <brk id="97" man="true" max="16383" min="0"/>
    <brk id="183"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311"/>
  <sheetViews>
    <sheetView showFormulas="false" showGridLines="true" showRowColHeaders="true" showZeros="true" rightToLeft="false" tabSelected="false" showOutlineSymbols="true" defaultGridColor="true" view="normal" topLeftCell="A6" colorId="64" zoomScale="100" zoomScaleNormal="100" zoomScalePageLayoutView="100" workbookViewId="0">
      <pane xSplit="6" ySplit="3" topLeftCell="G9" activePane="bottomRight" state="frozen"/>
      <selection pane="topLeft" activeCell="A6" activeCellId="0" sqref="A6"/>
      <selection pane="topRight" activeCell="G6" activeCellId="0" sqref="G6"/>
      <selection pane="bottomLeft" activeCell="A9" activeCellId="0" sqref="A9"/>
      <selection pane="bottomRight" activeCell="G9" activeCellId="0" sqref="G9"/>
    </sheetView>
  </sheetViews>
  <sheetFormatPr defaultColWidth="9.0546875" defaultRowHeight="12.75" customHeight="true" zeroHeight="false" outlineLevelRow="0" outlineLevelCol="0"/>
  <cols>
    <col collapsed="false" customWidth="true" hidden="false" outlineLevel="0" max="1" min="1" style="122" width="3.7"/>
    <col collapsed="false" customWidth="true" hidden="false" outlineLevel="0" max="2" min="2" style="123" width="1.41"/>
    <col collapsed="false" customWidth="true" hidden="false" outlineLevel="0" max="3" min="3" style="2" width="31.42"/>
    <col collapsed="false" customWidth="true" hidden="false" outlineLevel="0" max="4" min="4" style="2" width="13.99"/>
    <col collapsed="false" customWidth="true" hidden="false" outlineLevel="0" max="5" min="5" style="2" width="2.7"/>
    <col collapsed="false" customWidth="true" hidden="false" outlineLevel="0" max="6" min="6" style="1" width="7.42"/>
    <col collapsed="false" customWidth="true" hidden="false" outlineLevel="0" max="7" min="7" style="124" width="2.7"/>
    <col collapsed="false" customWidth="true" hidden="false" outlineLevel="0" max="8" min="8" style="4" width="10.28"/>
    <col collapsed="false" customWidth="true" hidden="false" outlineLevel="0" max="9" min="9" style="4" width="0.85"/>
    <col collapsed="false" customWidth="true" hidden="false" outlineLevel="0" max="10" min="10" style="4" width="10.85"/>
    <col collapsed="false" customWidth="true" hidden="false" outlineLevel="0" max="11" min="11" style="4" width="0.85"/>
    <col collapsed="false" customWidth="true" hidden="false" outlineLevel="0" max="12" min="12" style="4" width="10.28"/>
    <col collapsed="false" customWidth="true" hidden="false" outlineLevel="0" max="13" min="13" style="4" width="0.85"/>
    <col collapsed="false" customWidth="true" hidden="false" outlineLevel="0" max="14" min="14" style="4" width="10.41"/>
    <col collapsed="false" customWidth="true" hidden="false" outlineLevel="0" max="15" min="15" style="4" width="4.7"/>
    <col collapsed="false" customWidth="true" hidden="true" outlineLevel="0" max="16" min="16" style="2" width="10.85"/>
    <col collapsed="false" customWidth="true" hidden="true" outlineLevel="0" max="17" min="17" style="2" width="0.85"/>
    <col collapsed="false" customWidth="true" hidden="true" outlineLevel="0" max="18" min="18" style="2" width="10.99"/>
    <col collapsed="false" customWidth="true" hidden="true" outlineLevel="0" max="19" min="19" style="2" width="0.85"/>
    <col collapsed="false" customWidth="true" hidden="true" outlineLevel="0" max="20" min="20" style="2" width="9.28"/>
    <col collapsed="false" customWidth="true" hidden="true" outlineLevel="0" max="21" min="21" style="2" width="0.85"/>
    <col collapsed="false" customWidth="true" hidden="true" outlineLevel="0" max="22" min="22" style="2" width="9.28"/>
    <col collapsed="false" customWidth="true" hidden="true" outlineLevel="0" max="23" min="23" style="2" width="4.7"/>
    <col collapsed="false" customWidth="true" hidden="false" outlineLevel="0" max="24" min="24" style="2" width="9.99"/>
    <col collapsed="false" customWidth="true" hidden="false" outlineLevel="0" max="25" min="25" style="2" width="0.85"/>
    <col collapsed="false" customWidth="true" hidden="false" outlineLevel="0" max="26" min="26" style="2" width="10.41"/>
    <col collapsed="false" customWidth="true" hidden="false" outlineLevel="0" max="27" min="27" style="2" width="0.85"/>
    <col collapsed="false" customWidth="true" hidden="false" outlineLevel="0" max="28" min="28" style="2" width="9.41"/>
    <col collapsed="false" customWidth="true" hidden="false" outlineLevel="0" max="29" min="29" style="2" width="0.85"/>
    <col collapsed="false" customWidth="true" hidden="false" outlineLevel="0" max="31" min="30" style="2" width="9.41"/>
    <col collapsed="false" customWidth="true" hidden="false" outlineLevel="0" max="32" min="32" style="6" width="22.85"/>
  </cols>
  <sheetData>
    <row r="1" customFormat="false" ht="15.75" hidden="false" customHeight="false" outlineLevel="0" collapsed="false">
      <c r="C1" s="9" t="s">
        <v>0</v>
      </c>
      <c r="X1" s="125"/>
      <c r="Y1" s="125"/>
      <c r="Z1" s="125"/>
      <c r="AA1" s="125"/>
      <c r="AB1" s="125"/>
      <c r="AC1" s="125"/>
      <c r="AD1" s="125"/>
      <c r="AE1" s="125"/>
    </row>
    <row r="2" customFormat="false" ht="12.75" hidden="false" customHeight="false" outlineLevel="0" collapsed="false">
      <c r="C2" s="9" t="s">
        <v>435</v>
      </c>
    </row>
    <row r="3" customFormat="false" ht="12.75" hidden="false" customHeight="false" outlineLevel="0" collapsed="false">
      <c r="C3" s="9" t="s">
        <v>436</v>
      </c>
    </row>
    <row r="4" customFormat="false" ht="12.75" hidden="false" customHeight="false" outlineLevel="0" collapsed="false">
      <c r="C4" s="4" t="s">
        <v>409</v>
      </c>
    </row>
    <row r="5" customFormat="false" ht="12.75" hidden="false" customHeight="false" outlineLevel="0" collapsed="false">
      <c r="H5" s="19"/>
      <c r="I5" s="19"/>
      <c r="J5" s="19"/>
      <c r="K5" s="19"/>
      <c r="L5" s="19"/>
      <c r="M5" s="19"/>
      <c r="N5" s="19"/>
      <c r="O5" s="19"/>
      <c r="P5" s="19"/>
      <c r="Q5" s="19"/>
      <c r="R5" s="19"/>
      <c r="S5" s="19"/>
      <c r="T5" s="19"/>
      <c r="U5" s="19"/>
      <c r="V5" s="19"/>
      <c r="W5" s="19"/>
      <c r="X5" s="19"/>
      <c r="Y5" s="19"/>
      <c r="Z5" s="19"/>
      <c r="AA5" s="19"/>
      <c r="AB5" s="19"/>
      <c r="AC5" s="19"/>
      <c r="AD5" s="19"/>
      <c r="AE5" s="19"/>
      <c r="AF5" s="20"/>
    </row>
    <row r="6" customFormat="false" ht="12.75" hidden="false" customHeight="false" outlineLevel="0" collapsed="false">
      <c r="H6" s="126" t="s">
        <v>437</v>
      </c>
      <c r="I6" s="126"/>
      <c r="J6" s="126"/>
      <c r="K6" s="126"/>
      <c r="L6" s="126"/>
      <c r="M6" s="126"/>
      <c r="N6" s="126"/>
      <c r="O6" s="19"/>
      <c r="P6" s="126" t="s">
        <v>438</v>
      </c>
      <c r="Q6" s="126"/>
      <c r="R6" s="126"/>
      <c r="S6" s="126"/>
      <c r="T6" s="126"/>
      <c r="U6" s="126"/>
      <c r="V6" s="126"/>
      <c r="W6" s="126"/>
      <c r="X6" s="126" t="s">
        <v>439</v>
      </c>
      <c r="Y6" s="126"/>
      <c r="Z6" s="126"/>
      <c r="AA6" s="126"/>
      <c r="AB6" s="126"/>
      <c r="AC6" s="126"/>
      <c r="AD6" s="126"/>
      <c r="AE6" s="126"/>
      <c r="AF6" s="20"/>
    </row>
    <row r="7" customFormat="false" ht="11.25" hidden="false" customHeight="false" outlineLevel="0" collapsed="false">
      <c r="A7" s="127"/>
      <c r="B7" s="128"/>
      <c r="C7" s="39"/>
      <c r="D7" s="39"/>
      <c r="E7" s="39"/>
      <c r="F7" s="37"/>
      <c r="G7" s="129"/>
      <c r="H7" s="32"/>
      <c r="I7" s="32"/>
      <c r="J7" s="32" t="s">
        <v>440</v>
      </c>
      <c r="K7" s="32"/>
      <c r="L7" s="32" t="s">
        <v>440</v>
      </c>
      <c r="M7" s="32"/>
      <c r="N7" s="32" t="s">
        <v>412</v>
      </c>
      <c r="O7" s="32"/>
      <c r="P7" s="32"/>
      <c r="Q7" s="32"/>
      <c r="R7" s="32" t="s">
        <v>440</v>
      </c>
      <c r="S7" s="32"/>
      <c r="T7" s="32" t="s">
        <v>440</v>
      </c>
      <c r="U7" s="32"/>
      <c r="V7" s="32" t="s">
        <v>412</v>
      </c>
      <c r="W7" s="32"/>
      <c r="X7" s="32"/>
      <c r="Y7" s="32"/>
      <c r="Z7" s="32" t="s">
        <v>440</v>
      </c>
      <c r="AA7" s="32"/>
      <c r="AB7" s="32" t="s">
        <v>440</v>
      </c>
      <c r="AC7" s="32"/>
      <c r="AD7" s="32" t="s">
        <v>412</v>
      </c>
      <c r="AE7" s="32"/>
      <c r="AF7" s="32"/>
    </row>
    <row r="8" customFormat="false" ht="12.75" hidden="false" customHeight="false" outlineLevel="0" collapsed="false">
      <c r="A8" s="130" t="s">
        <v>441</v>
      </c>
      <c r="B8" s="131"/>
      <c r="C8" s="132" t="s">
        <v>442</v>
      </c>
      <c r="D8" s="132" t="s">
        <v>443</v>
      </c>
      <c r="E8" s="32"/>
      <c r="F8" s="133" t="s">
        <v>444</v>
      </c>
      <c r="G8" s="134"/>
      <c r="H8" s="132" t="s">
        <v>88</v>
      </c>
      <c r="I8" s="32"/>
      <c r="J8" s="132" t="s">
        <v>445</v>
      </c>
      <c r="K8" s="32"/>
      <c r="L8" s="132" t="s">
        <v>108</v>
      </c>
      <c r="M8" s="32"/>
      <c r="N8" s="132" t="s">
        <v>446</v>
      </c>
      <c r="O8" s="32"/>
      <c r="P8" s="132" t="s">
        <v>88</v>
      </c>
      <c r="Q8" s="32"/>
      <c r="R8" s="132" t="s">
        <v>445</v>
      </c>
      <c r="S8" s="32"/>
      <c r="T8" s="132" t="s">
        <v>108</v>
      </c>
      <c r="U8" s="32"/>
      <c r="V8" s="132" t="s">
        <v>446</v>
      </c>
      <c r="W8" s="32"/>
      <c r="X8" s="132" t="s">
        <v>88</v>
      </c>
      <c r="Y8" s="32"/>
      <c r="Z8" s="132" t="s">
        <v>445</v>
      </c>
      <c r="AA8" s="32"/>
      <c r="AB8" s="132" t="s">
        <v>108</v>
      </c>
      <c r="AC8" s="32"/>
      <c r="AD8" s="132" t="s">
        <v>446</v>
      </c>
      <c r="AE8" s="32"/>
      <c r="AF8" s="32" t="s">
        <v>447</v>
      </c>
    </row>
    <row r="9" customFormat="false" ht="12.75" hidden="false" customHeight="false" outlineLevel="0" collapsed="false">
      <c r="A9" s="131"/>
      <c r="B9" s="131"/>
      <c r="C9" s="32" t="s">
        <v>448</v>
      </c>
      <c r="D9" s="32"/>
      <c r="E9" s="32"/>
      <c r="F9" s="31"/>
      <c r="G9" s="134"/>
      <c r="H9" s="32"/>
      <c r="I9" s="32"/>
      <c r="J9" s="32"/>
      <c r="K9" s="32"/>
      <c r="L9" s="32"/>
      <c r="M9" s="32"/>
      <c r="N9" s="32"/>
      <c r="O9" s="32"/>
      <c r="P9" s="32"/>
      <c r="Q9" s="32"/>
      <c r="R9" s="32"/>
      <c r="S9" s="32"/>
      <c r="T9" s="32"/>
      <c r="U9" s="32"/>
      <c r="V9" s="32"/>
      <c r="W9" s="32"/>
      <c r="X9" s="32"/>
      <c r="Y9" s="32"/>
      <c r="Z9" s="32"/>
      <c r="AA9" s="32"/>
      <c r="AB9" s="32"/>
      <c r="AC9" s="32"/>
      <c r="AD9" s="32"/>
      <c r="AE9" s="32"/>
      <c r="AF9" s="32"/>
    </row>
    <row r="10" customFormat="false" ht="12.75" hidden="false" customHeight="false" outlineLevel="0" collapsed="false">
      <c r="A10" s="135" t="s">
        <v>449</v>
      </c>
      <c r="B10" s="136"/>
      <c r="C10" s="39" t="e">
        <f aca="false">+#REF!</f>
        <v>#REF!</v>
      </c>
      <c r="D10" s="39" t="e">
        <f aca="false">+#REF!</f>
        <v>#REF!</v>
      </c>
      <c r="E10" s="39"/>
      <c r="F10" s="37" t="e">
        <f aca="false">+#REF!</f>
        <v>#REF!</v>
      </c>
      <c r="G10" s="129"/>
      <c r="H10" s="42" t="e">
        <f aca="false">ROUND(#REF!/1000,0)</f>
        <v>#REF!</v>
      </c>
      <c r="I10" s="42"/>
      <c r="J10" s="42" t="e">
        <f aca="false">ROUND(#REF!/1000,0)</f>
        <v>#REF!</v>
      </c>
      <c r="K10" s="42"/>
      <c r="L10" s="42" t="e">
        <f aca="false">-ROUND((#REF!-#REF!)/1000,0)</f>
        <v>#REF!</v>
      </c>
      <c r="M10" s="42"/>
      <c r="N10" s="42" t="e">
        <f aca="false">SUM(H10:L10)</f>
        <v>#REF!</v>
      </c>
      <c r="O10" s="42"/>
      <c r="P10" s="42" t="n">
        <v>0</v>
      </c>
      <c r="Q10" s="42"/>
      <c r="R10" s="42" t="n">
        <v>1612</v>
      </c>
      <c r="S10" s="42"/>
      <c r="T10" s="42" t="n">
        <v>-1098</v>
      </c>
      <c r="U10" s="42"/>
      <c r="V10" s="42" t="n">
        <f aca="false">SUM(P10:T10)</f>
        <v>514</v>
      </c>
      <c r="W10" s="42"/>
      <c r="X10" s="42" t="n">
        <v>0</v>
      </c>
      <c r="Y10" s="42"/>
      <c r="Z10" s="42" t="n">
        <v>1612</v>
      </c>
      <c r="AA10" s="42"/>
      <c r="AB10" s="42" t="n">
        <v>-1098</v>
      </c>
      <c r="AC10" s="42"/>
      <c r="AD10" s="42" t="n">
        <f aca="false">SUM(X10:AB10)</f>
        <v>514</v>
      </c>
      <c r="AE10" s="71"/>
      <c r="AF10" s="39" t="s">
        <v>100</v>
      </c>
    </row>
    <row r="11" customFormat="false" ht="12.75" hidden="false" customHeight="false" outlineLevel="0" collapsed="false">
      <c r="A11" s="135" t="n">
        <v>11</v>
      </c>
      <c r="B11" s="136"/>
      <c r="C11" s="39" t="e">
        <f aca="false">+#REF!</f>
        <v>#REF!</v>
      </c>
      <c r="D11" s="39" t="e">
        <f aca="false">+#REF!</f>
        <v>#REF!</v>
      </c>
      <c r="E11" s="39"/>
      <c r="F11" s="37" t="e">
        <f aca="false">+#REF!</f>
        <v>#REF!</v>
      </c>
      <c r="G11" s="129"/>
      <c r="H11" s="42" t="e">
        <f aca="false">ROUND(#REF!/1000,0)</f>
        <v>#REF!</v>
      </c>
      <c r="I11" s="42"/>
      <c r="J11" s="42" t="e">
        <f aca="false">ROUND(#REF!/1000,0)</f>
        <v>#REF!</v>
      </c>
      <c r="K11" s="42"/>
      <c r="L11" s="42" t="e">
        <f aca="false">-ROUND((#REF!-#REF!)/1000,0)</f>
        <v>#REF!</v>
      </c>
      <c r="M11" s="42"/>
      <c r="N11" s="42" t="e">
        <f aca="false">SUM(H11:L11)</f>
        <v>#REF!</v>
      </c>
      <c r="O11" s="42"/>
      <c r="P11" s="42" t="n">
        <v>683</v>
      </c>
      <c r="Q11" s="42"/>
      <c r="R11" s="42" t="n">
        <v>-300</v>
      </c>
      <c r="S11" s="42"/>
      <c r="T11" s="42" t="n">
        <v>-163</v>
      </c>
      <c r="U11" s="42"/>
      <c r="V11" s="42" t="n">
        <f aca="false">SUM(P11:T11)</f>
        <v>220</v>
      </c>
      <c r="W11" s="42"/>
      <c r="X11" s="42" t="n">
        <v>672</v>
      </c>
      <c r="Y11" s="42"/>
      <c r="Z11" s="42" t="n">
        <v>-300</v>
      </c>
      <c r="AA11" s="42"/>
      <c r="AB11" s="42" t="n">
        <v>-163</v>
      </c>
      <c r="AC11" s="42"/>
      <c r="AD11" s="42" t="n">
        <f aca="false">SUM(X11:AB11)</f>
        <v>209</v>
      </c>
      <c r="AE11" s="71"/>
      <c r="AF11" s="39" t="s">
        <v>450</v>
      </c>
    </row>
    <row r="12" customFormat="false" ht="12.75" hidden="false" customHeight="false" outlineLevel="0" collapsed="false">
      <c r="A12" s="135" t="n">
        <v>11</v>
      </c>
      <c r="B12" s="136"/>
      <c r="C12" s="137" t="e">
        <f aca="false">+#REF!</f>
        <v>#REF!</v>
      </c>
      <c r="D12" s="137" t="e">
        <f aca="false">+#REF!</f>
        <v>#REF!</v>
      </c>
      <c r="E12" s="37"/>
      <c r="F12" s="37" t="e">
        <f aca="false">+#REF!</f>
        <v>#REF!</v>
      </c>
      <c r="G12" s="129"/>
      <c r="H12" s="42" t="e">
        <f aca="false">ROUND(#REF!/1000,0)</f>
        <v>#REF!</v>
      </c>
      <c r="I12" s="42"/>
      <c r="J12" s="42" t="e">
        <f aca="false">ROUND(#REF!/1000,0)</f>
        <v>#REF!</v>
      </c>
      <c r="K12" s="42"/>
      <c r="L12" s="42" t="e">
        <f aca="false">-ROUND((#REF!-#REF!)/1000,0)</f>
        <v>#REF!</v>
      </c>
      <c r="M12" s="42"/>
      <c r="N12" s="42" t="e">
        <f aca="false">SUM(H12:L12)</f>
        <v>#REF!</v>
      </c>
      <c r="O12" s="42"/>
      <c r="P12" s="42" t="n">
        <v>2737</v>
      </c>
      <c r="Q12" s="42"/>
      <c r="R12" s="42" t="n">
        <v>0</v>
      </c>
      <c r="S12" s="42"/>
      <c r="T12" s="42" t="n">
        <v>-961</v>
      </c>
      <c r="U12" s="42"/>
      <c r="V12" s="42" t="n">
        <f aca="false">SUM(P12:T12)</f>
        <v>1776</v>
      </c>
      <c r="W12" s="42"/>
      <c r="X12" s="42" t="n">
        <v>1411</v>
      </c>
      <c r="Y12" s="42"/>
      <c r="Z12" s="42" t="n">
        <v>0</v>
      </c>
      <c r="AA12" s="42"/>
      <c r="AB12" s="42" t="n">
        <v>-961</v>
      </c>
      <c r="AC12" s="42"/>
      <c r="AD12" s="42" t="n">
        <f aca="false">SUM(X12:AB12)</f>
        <v>450</v>
      </c>
      <c r="AE12" s="71"/>
      <c r="AF12" s="39" t="s">
        <v>108</v>
      </c>
    </row>
    <row r="13" customFormat="false" ht="12.75" hidden="false" customHeight="false" outlineLevel="0" collapsed="false">
      <c r="A13" s="135" t="n">
        <v>11</v>
      </c>
      <c r="B13" s="136"/>
      <c r="C13" s="137" t="e">
        <f aca="false">+#REF!</f>
        <v>#REF!</v>
      </c>
      <c r="D13" s="137" t="e">
        <f aca="false">+#REF!</f>
        <v>#REF!</v>
      </c>
      <c r="E13" s="37"/>
      <c r="F13" s="37" t="e">
        <f aca="false">+#REF!</f>
        <v>#REF!</v>
      </c>
      <c r="G13" s="129"/>
      <c r="H13" s="42" t="e">
        <f aca="false">ROUND(#REF!/1000,0)</f>
        <v>#REF!</v>
      </c>
      <c r="I13" s="42"/>
      <c r="J13" s="42" t="e">
        <f aca="false">ROUND(#REF!/1000,0)</f>
        <v>#REF!</v>
      </c>
      <c r="K13" s="42"/>
      <c r="L13" s="42" t="e">
        <f aca="false">-ROUND((#REF!-#REF!)/1000,0)</f>
        <v>#REF!</v>
      </c>
      <c r="M13" s="42"/>
      <c r="N13" s="42" t="e">
        <f aca="false">SUM(H13:L13)</f>
        <v>#REF!</v>
      </c>
      <c r="O13" s="42"/>
      <c r="P13" s="42" t="n">
        <v>69</v>
      </c>
      <c r="Q13" s="42"/>
      <c r="R13" s="42" t="n">
        <v>0</v>
      </c>
      <c r="S13" s="42"/>
      <c r="T13" s="42" t="n">
        <v>0</v>
      </c>
      <c r="U13" s="42"/>
      <c r="V13" s="42" t="n">
        <f aca="false">SUM(P13:T13)</f>
        <v>69</v>
      </c>
      <c r="W13" s="42"/>
      <c r="X13" s="42" t="n">
        <v>0</v>
      </c>
      <c r="Y13" s="42"/>
      <c r="Z13" s="42" t="n">
        <v>0</v>
      </c>
      <c r="AA13" s="42"/>
      <c r="AB13" s="42" t="n">
        <v>0</v>
      </c>
      <c r="AC13" s="42"/>
      <c r="AD13" s="42" t="n">
        <f aca="false">SUM(X13:AB13)</f>
        <v>0</v>
      </c>
      <c r="AE13" s="71"/>
      <c r="AF13" s="39" t="s">
        <v>108</v>
      </c>
    </row>
    <row r="14" customFormat="false" ht="12.75" hidden="false" customHeight="false" outlineLevel="0" collapsed="false">
      <c r="A14" s="135" t="n">
        <v>11</v>
      </c>
      <c r="B14" s="136"/>
      <c r="C14" s="137" t="e">
        <f aca="false">+#REF!</f>
        <v>#REF!</v>
      </c>
      <c r="D14" s="137" t="e">
        <f aca="false">+#REF!</f>
        <v>#REF!</v>
      </c>
      <c r="E14" s="37"/>
      <c r="F14" s="37" t="e">
        <f aca="false">+#REF!</f>
        <v>#REF!</v>
      </c>
      <c r="G14" s="129"/>
      <c r="H14" s="42" t="e">
        <f aca="false">ROUND(#REF!/1000,0)</f>
        <v>#REF!</v>
      </c>
      <c r="I14" s="42"/>
      <c r="J14" s="42" t="e">
        <f aca="false">ROUND(#REF!/1000,0)</f>
        <v>#REF!</v>
      </c>
      <c r="K14" s="42"/>
      <c r="L14" s="42" t="e">
        <f aca="false">-ROUND((#REF!-#REF!)/1000,0)</f>
        <v>#REF!</v>
      </c>
      <c r="M14" s="42"/>
      <c r="N14" s="42" t="e">
        <f aca="false">SUM(H14:L14)</f>
        <v>#REF!</v>
      </c>
      <c r="O14" s="42"/>
      <c r="P14" s="42" t="n">
        <v>850</v>
      </c>
      <c r="Q14" s="42"/>
      <c r="R14" s="42" t="n">
        <v>0</v>
      </c>
      <c r="S14" s="42"/>
      <c r="T14" s="42" t="n">
        <v>-273</v>
      </c>
      <c r="U14" s="42"/>
      <c r="V14" s="42" t="n">
        <f aca="false">SUM(P14:T14)</f>
        <v>577</v>
      </c>
      <c r="W14" s="42"/>
      <c r="X14" s="42" t="n">
        <v>689</v>
      </c>
      <c r="Y14" s="42"/>
      <c r="Z14" s="42" t="n">
        <v>0</v>
      </c>
      <c r="AA14" s="42"/>
      <c r="AB14" s="42" t="n">
        <v>-273</v>
      </c>
      <c r="AC14" s="42"/>
      <c r="AD14" s="42" t="n">
        <f aca="false">SUM(X14:AB14)</f>
        <v>416</v>
      </c>
      <c r="AE14" s="71"/>
      <c r="AF14" s="39" t="s">
        <v>108</v>
      </c>
    </row>
    <row r="15" customFormat="false" ht="12.75" hidden="false" customHeight="false" outlineLevel="0" collapsed="false">
      <c r="A15" s="135" t="n">
        <v>11</v>
      </c>
      <c r="B15" s="136"/>
      <c r="C15" s="137" t="e">
        <f aca="false">+#REF!</f>
        <v>#REF!</v>
      </c>
      <c r="D15" s="137" t="e">
        <f aca="false">+#REF!</f>
        <v>#REF!</v>
      </c>
      <c r="E15" s="37"/>
      <c r="F15" s="37" t="e">
        <f aca="false">+#REF!</f>
        <v>#REF!</v>
      </c>
      <c r="G15" s="129"/>
      <c r="H15" s="42" t="e">
        <f aca="false">ROUND(#REF!/1000,0)</f>
        <v>#REF!</v>
      </c>
      <c r="I15" s="42"/>
      <c r="J15" s="42" t="e">
        <f aca="false">ROUND(#REF!/1000,0)</f>
        <v>#REF!</v>
      </c>
      <c r="K15" s="42"/>
      <c r="L15" s="42" t="e">
        <f aca="false">-ROUND((#REF!-#REF!)/1000,0)</f>
        <v>#REF!</v>
      </c>
      <c r="M15" s="42"/>
      <c r="N15" s="42" t="e">
        <f aca="false">SUM(H15:L15)</f>
        <v>#REF!</v>
      </c>
      <c r="O15" s="42"/>
      <c r="P15" s="42" t="n">
        <v>2483</v>
      </c>
      <c r="Q15" s="42"/>
      <c r="R15" s="42" t="n">
        <v>0</v>
      </c>
      <c r="S15" s="42"/>
      <c r="T15" s="42" t="n">
        <v>-1515</v>
      </c>
      <c r="U15" s="42"/>
      <c r="V15" s="42" t="n">
        <f aca="false">SUM(P15:T15)</f>
        <v>968</v>
      </c>
      <c r="W15" s="42"/>
      <c r="X15" s="42" t="n">
        <v>2474</v>
      </c>
      <c r="Y15" s="42"/>
      <c r="Z15" s="42" t="n">
        <v>0</v>
      </c>
      <c r="AA15" s="42"/>
      <c r="AB15" s="42" t="n">
        <v>-1515</v>
      </c>
      <c r="AC15" s="42"/>
      <c r="AD15" s="42" t="n">
        <f aca="false">SUM(X15:AB15)</f>
        <v>959</v>
      </c>
      <c r="AE15" s="71"/>
      <c r="AF15" s="39" t="s">
        <v>108</v>
      </c>
    </row>
    <row r="16" customFormat="false" ht="12.75" hidden="false" customHeight="false" outlineLevel="0" collapsed="false">
      <c r="A16" s="135" t="n">
        <v>11</v>
      </c>
      <c r="B16" s="136"/>
      <c r="C16" s="137" t="e">
        <f aca="false">+#REF!</f>
        <v>#REF!</v>
      </c>
      <c r="D16" s="137" t="e">
        <f aca="false">+#REF!</f>
        <v>#REF!</v>
      </c>
      <c r="E16" s="37"/>
      <c r="F16" s="37" t="e">
        <f aca="false">+#REF!</f>
        <v>#REF!</v>
      </c>
      <c r="G16" s="129"/>
      <c r="H16" s="42" t="e">
        <f aca="false">ROUND(#REF!/1000,0)</f>
        <v>#REF!</v>
      </c>
      <c r="I16" s="42"/>
      <c r="J16" s="42" t="e">
        <f aca="false">ROUND(#REF!/1000,0)</f>
        <v>#REF!</v>
      </c>
      <c r="K16" s="42"/>
      <c r="L16" s="42" t="e">
        <f aca="false">-ROUND((#REF!-#REF!)/1000,0)</f>
        <v>#REF!</v>
      </c>
      <c r="M16" s="42"/>
      <c r="N16" s="42" t="e">
        <f aca="false">SUM(H16:L16)</f>
        <v>#REF!</v>
      </c>
      <c r="O16" s="42"/>
      <c r="P16" s="42" t="n">
        <v>228</v>
      </c>
      <c r="Q16" s="42"/>
      <c r="R16" s="42" t="n">
        <v>0</v>
      </c>
      <c r="S16" s="42"/>
      <c r="T16" s="42" t="n">
        <v>-218</v>
      </c>
      <c r="U16" s="42"/>
      <c r="V16" s="42" t="n">
        <f aca="false">SUM(P16:T16)</f>
        <v>10</v>
      </c>
      <c r="W16" s="42"/>
      <c r="X16" s="42" t="n">
        <v>1234</v>
      </c>
      <c r="Y16" s="42"/>
      <c r="Z16" s="42" t="n">
        <v>-740</v>
      </c>
      <c r="AA16" s="42"/>
      <c r="AB16" s="42" t="n">
        <v>-218</v>
      </c>
      <c r="AC16" s="42"/>
      <c r="AD16" s="42" t="n">
        <f aca="false">SUM(X16:AB16)</f>
        <v>276</v>
      </c>
      <c r="AE16" s="71"/>
      <c r="AF16" s="39" t="s">
        <v>156</v>
      </c>
    </row>
    <row r="17" customFormat="false" ht="12.75" hidden="false" customHeight="false" outlineLevel="0" collapsed="false">
      <c r="A17" s="135" t="n">
        <v>11</v>
      </c>
      <c r="B17" s="136"/>
      <c r="C17" s="137" t="e">
        <f aca="false">+#REF!</f>
        <v>#REF!</v>
      </c>
      <c r="D17" s="137" t="e">
        <f aca="false">+#REF!</f>
        <v>#REF!</v>
      </c>
      <c r="E17" s="37"/>
      <c r="F17" s="37" t="e">
        <f aca="false">+#REF!</f>
        <v>#REF!</v>
      </c>
      <c r="G17" s="129"/>
      <c r="H17" s="42" t="e">
        <f aca="false">ROUND(#REF!/1000,0)</f>
        <v>#REF!</v>
      </c>
      <c r="I17" s="42"/>
      <c r="J17" s="42" t="e">
        <f aca="false">ROUND(#REF!/1000,0)</f>
        <v>#REF!</v>
      </c>
      <c r="K17" s="42"/>
      <c r="L17" s="42" t="e">
        <f aca="false">-ROUND((#REF!-#REF!)/1000,0)</f>
        <v>#REF!</v>
      </c>
      <c r="M17" s="42"/>
      <c r="N17" s="42" t="e">
        <f aca="false">SUM(H17:L17)</f>
        <v>#REF!</v>
      </c>
      <c r="O17" s="42"/>
      <c r="P17" s="42" t="n">
        <v>754</v>
      </c>
      <c r="Q17" s="42"/>
      <c r="R17" s="42" t="n">
        <v>0</v>
      </c>
      <c r="S17" s="42"/>
      <c r="T17" s="42" t="n">
        <v>0</v>
      </c>
      <c r="U17" s="42"/>
      <c r="V17" s="42" t="n">
        <f aca="false">SUM(P17:T17)</f>
        <v>754</v>
      </c>
      <c r="W17" s="42"/>
      <c r="X17" s="42" t="n">
        <v>438</v>
      </c>
      <c r="Y17" s="42"/>
      <c r="Z17" s="42" t="n">
        <v>0</v>
      </c>
      <c r="AA17" s="42"/>
      <c r="AB17" s="42" t="n">
        <v>0</v>
      </c>
      <c r="AC17" s="42"/>
      <c r="AD17" s="42" t="n">
        <f aca="false">SUM(X17:AB17)</f>
        <v>438</v>
      </c>
      <c r="AE17" s="71"/>
      <c r="AF17" s="39" t="s">
        <v>108</v>
      </c>
    </row>
    <row r="18" customFormat="false" ht="12.75" hidden="false" customHeight="false" outlineLevel="0" collapsed="false">
      <c r="A18" s="135" t="n">
        <v>11</v>
      </c>
      <c r="B18" s="136"/>
      <c r="C18" s="137" t="e">
        <f aca="false">+#REF!</f>
        <v>#REF!</v>
      </c>
      <c r="D18" s="137" t="e">
        <f aca="false">+#REF!</f>
        <v>#REF!</v>
      </c>
      <c r="E18" s="37"/>
      <c r="F18" s="37" t="e">
        <f aca="false">+#REF!</f>
        <v>#REF!</v>
      </c>
      <c r="G18" s="129"/>
      <c r="H18" s="42" t="e">
        <f aca="false">ROUND(#REF!/1000,0)</f>
        <v>#REF!</v>
      </c>
      <c r="I18" s="42"/>
      <c r="J18" s="42" t="e">
        <f aca="false">ROUND(#REF!/1000,0)</f>
        <v>#REF!</v>
      </c>
      <c r="K18" s="42"/>
      <c r="L18" s="42" t="e">
        <f aca="false">-ROUND((#REF!-#REF!)/1000,0)</f>
        <v>#REF!</v>
      </c>
      <c r="M18" s="42"/>
      <c r="N18" s="42" t="e">
        <f aca="false">SUM(H18:L18)</f>
        <v>#REF!</v>
      </c>
      <c r="O18" s="42"/>
      <c r="P18" s="42" t="n">
        <v>725</v>
      </c>
      <c r="Q18" s="42"/>
      <c r="R18" s="42" t="n">
        <v>-598</v>
      </c>
      <c r="S18" s="42"/>
      <c r="T18" s="42" t="n">
        <v>-155</v>
      </c>
      <c r="U18" s="42"/>
      <c r="V18" s="42" t="n">
        <f aca="false">SUM(P18:T18)</f>
        <v>-28</v>
      </c>
      <c r="W18" s="42"/>
      <c r="X18" s="42" t="n">
        <v>725</v>
      </c>
      <c r="Y18" s="42"/>
      <c r="Z18" s="42" t="n">
        <v>-598</v>
      </c>
      <c r="AA18" s="42"/>
      <c r="AB18" s="42" t="n">
        <v>-155</v>
      </c>
      <c r="AC18" s="42"/>
      <c r="AD18" s="42" t="n">
        <f aca="false">SUM(X18:AB18)</f>
        <v>-28</v>
      </c>
      <c r="AE18" s="71"/>
      <c r="AF18" s="39" t="s">
        <v>183</v>
      </c>
    </row>
    <row r="19" customFormat="false" ht="12.75" hidden="false" customHeight="false" outlineLevel="0" collapsed="false">
      <c r="A19" s="135" t="s">
        <v>449</v>
      </c>
      <c r="B19" s="136"/>
      <c r="C19" s="138" t="s">
        <v>451</v>
      </c>
      <c r="D19" s="138" t="s">
        <v>120</v>
      </c>
      <c r="E19" s="39"/>
      <c r="F19" s="37" t="n">
        <v>1355</v>
      </c>
      <c r="G19" s="129"/>
      <c r="H19" s="42" t="n">
        <v>0</v>
      </c>
      <c r="I19" s="42"/>
      <c r="J19" s="42" t="n">
        <v>0</v>
      </c>
      <c r="K19" s="42"/>
      <c r="L19" s="42" t="n">
        <v>0</v>
      </c>
      <c r="M19" s="42"/>
      <c r="N19" s="42" t="n">
        <f aca="false">SUM(H19:L19)</f>
        <v>0</v>
      </c>
      <c r="O19" s="42"/>
      <c r="P19" s="42" t="n">
        <v>1700</v>
      </c>
      <c r="Q19" s="42"/>
      <c r="R19" s="42" t="n">
        <v>0</v>
      </c>
      <c r="S19" s="42"/>
      <c r="T19" s="42" t="n">
        <v>0</v>
      </c>
      <c r="U19" s="42"/>
      <c r="V19" s="42" t="n">
        <f aca="false">SUM(P19:T19)</f>
        <v>1700</v>
      </c>
      <c r="W19" s="42"/>
      <c r="X19" s="42" t="n">
        <v>0</v>
      </c>
      <c r="Y19" s="42"/>
      <c r="Z19" s="42" t="n">
        <v>0</v>
      </c>
      <c r="AA19" s="42"/>
      <c r="AB19" s="42" t="n">
        <v>0</v>
      </c>
      <c r="AC19" s="42"/>
      <c r="AD19" s="42" t="n">
        <f aca="false">SUM(X19:AB19)</f>
        <v>0</v>
      </c>
      <c r="AE19" s="71"/>
      <c r="AF19" s="39"/>
    </row>
    <row r="20" customFormat="false" ht="12.75" hidden="false" customHeight="false" outlineLevel="0" collapsed="false">
      <c r="A20" s="135" t="n">
        <v>11</v>
      </c>
      <c r="B20" s="136"/>
      <c r="C20" s="139" t="e">
        <f aca="false">+#REF!</f>
        <v>#REF!</v>
      </c>
      <c r="D20" s="139" t="e">
        <f aca="false">+#REF!</f>
        <v>#REF!</v>
      </c>
      <c r="E20" s="68"/>
      <c r="F20" s="68" t="e">
        <f aca="false">+#REF!</f>
        <v>#REF!</v>
      </c>
      <c r="G20" s="140"/>
      <c r="H20" s="42" t="e">
        <f aca="false">ROUND(#REF!/1000,0)</f>
        <v>#REF!</v>
      </c>
      <c r="I20" s="42"/>
      <c r="J20" s="42" t="e">
        <f aca="false">ROUND(#REF!/1000,0)</f>
        <v>#REF!</v>
      </c>
      <c r="K20" s="42"/>
      <c r="L20" s="42" t="e">
        <f aca="false">-ROUND((#REF!-#REF!)/1000,0)</f>
        <v>#REF!</v>
      </c>
      <c r="M20" s="42"/>
      <c r="N20" s="42" t="e">
        <f aca="false">SUM(H20:L20)</f>
        <v>#REF!</v>
      </c>
      <c r="O20" s="42"/>
      <c r="P20" s="42" t="n">
        <v>0</v>
      </c>
      <c r="Q20" s="42"/>
      <c r="R20" s="42" t="n">
        <v>0</v>
      </c>
      <c r="S20" s="42"/>
      <c r="T20" s="42" t="n">
        <v>0</v>
      </c>
      <c r="U20" s="42"/>
      <c r="V20" s="42" t="n">
        <f aca="false">SUM(P20:T20)</f>
        <v>0</v>
      </c>
      <c r="W20" s="42"/>
      <c r="X20" s="42" t="n">
        <v>0</v>
      </c>
      <c r="Y20" s="42"/>
      <c r="Z20" s="42" t="n">
        <v>0</v>
      </c>
      <c r="AA20" s="42"/>
      <c r="AB20" s="42" t="n">
        <v>0</v>
      </c>
      <c r="AC20" s="42"/>
      <c r="AD20" s="42" t="n">
        <f aca="false">SUM(X20:AB20)</f>
        <v>0</v>
      </c>
      <c r="AE20" s="71"/>
      <c r="AF20" s="39"/>
    </row>
    <row r="21" customFormat="false" ht="12.75" hidden="false" customHeight="false" outlineLevel="0" collapsed="false">
      <c r="A21" s="135" t="n">
        <v>11</v>
      </c>
      <c r="B21" s="136"/>
      <c r="C21" s="137" t="e">
        <f aca="false">+#REF!</f>
        <v>#REF!</v>
      </c>
      <c r="D21" s="137" t="e">
        <f aca="false">+#REF!</f>
        <v>#REF!</v>
      </c>
      <c r="E21" s="37"/>
      <c r="F21" s="37" t="e">
        <f aca="false">+#REF!</f>
        <v>#REF!</v>
      </c>
      <c r="G21" s="129"/>
      <c r="H21" s="42" t="e">
        <f aca="false">ROUND(#REF!/1000,0)</f>
        <v>#REF!</v>
      </c>
      <c r="I21" s="42"/>
      <c r="J21" s="42" t="e">
        <f aca="false">ROUND(#REF!/1000,0)</f>
        <v>#REF!</v>
      </c>
      <c r="K21" s="42"/>
      <c r="L21" s="42" t="e">
        <f aca="false">-ROUND((#REF!-#REF!)/1000,0)</f>
        <v>#REF!</v>
      </c>
      <c r="M21" s="42"/>
      <c r="N21" s="42" t="e">
        <f aca="false">SUM(H21:L21)</f>
        <v>#REF!</v>
      </c>
      <c r="O21" s="42"/>
      <c r="P21" s="42" t="n">
        <v>6821</v>
      </c>
      <c r="Q21" s="42"/>
      <c r="R21" s="42" t="n">
        <v>0</v>
      </c>
      <c r="S21" s="42"/>
      <c r="T21" s="42" t="n">
        <v>-3120</v>
      </c>
      <c r="U21" s="42"/>
      <c r="V21" s="42" t="n">
        <f aca="false">SUM(P21:T21)</f>
        <v>3701</v>
      </c>
      <c r="W21" s="42"/>
      <c r="X21" s="42" t="n">
        <v>4581</v>
      </c>
      <c r="Y21" s="42"/>
      <c r="Z21" s="42" t="n">
        <v>0</v>
      </c>
      <c r="AA21" s="42"/>
      <c r="AB21" s="42" t="n">
        <v>-3120</v>
      </c>
      <c r="AC21" s="42"/>
      <c r="AD21" s="42" t="n">
        <f aca="false">SUM(X21:AB21)</f>
        <v>1461</v>
      </c>
      <c r="AE21" s="71"/>
      <c r="AF21" s="39" t="s">
        <v>108</v>
      </c>
    </row>
    <row r="22" customFormat="false" ht="12.75" hidden="false" customHeight="false" outlineLevel="0" collapsed="false">
      <c r="A22" s="135" t="n">
        <v>1</v>
      </c>
      <c r="B22" s="136"/>
      <c r="C22" s="139" t="e">
        <f aca="false">+#REF!</f>
        <v>#REF!</v>
      </c>
      <c r="D22" s="139" t="e">
        <f aca="false">+#REF!</f>
        <v>#REF!</v>
      </c>
      <c r="E22" s="68"/>
      <c r="F22" s="68" t="e">
        <f aca="false">+#REF!</f>
        <v>#REF!</v>
      </c>
      <c r="G22" s="129"/>
      <c r="H22" s="42" t="e">
        <f aca="false">ROUND(#REF!/1000,0)</f>
        <v>#REF!</v>
      </c>
      <c r="I22" s="42"/>
      <c r="J22" s="42" t="e">
        <f aca="false">ROUND(#REF!/1000,0)</f>
        <v>#REF!</v>
      </c>
      <c r="K22" s="42"/>
      <c r="L22" s="42" t="e">
        <f aca="false">-ROUND((#REF!-#REF!)/1000,0)</f>
        <v>#REF!</v>
      </c>
      <c r="M22" s="42"/>
      <c r="N22" s="42" t="e">
        <f aca="false">SUM(H22:L22)</f>
        <v>#REF!</v>
      </c>
      <c r="O22" s="42"/>
      <c r="P22" s="42" t="n">
        <v>9487</v>
      </c>
      <c r="Q22" s="42"/>
      <c r="R22" s="42" t="n">
        <v>0</v>
      </c>
      <c r="S22" s="42"/>
      <c r="T22" s="42" t="n">
        <v>0</v>
      </c>
      <c r="U22" s="42"/>
      <c r="V22" s="42" t="n">
        <f aca="false">SUM(P22:T22)</f>
        <v>9487</v>
      </c>
      <c r="W22" s="42"/>
      <c r="X22" s="42" t="n">
        <v>9487</v>
      </c>
      <c r="Y22" s="42"/>
      <c r="Z22" s="42" t="n">
        <v>0</v>
      </c>
      <c r="AA22" s="42"/>
      <c r="AB22" s="42" t="n">
        <v>0</v>
      </c>
      <c r="AC22" s="42"/>
      <c r="AD22" s="42" t="n">
        <f aca="false">SUM(X22:AB22)</f>
        <v>9487</v>
      </c>
      <c r="AE22" s="71"/>
      <c r="AF22" s="39" t="s">
        <v>452</v>
      </c>
    </row>
    <row r="23" customFormat="false" ht="12.75" hidden="false" customHeight="false" outlineLevel="0" collapsed="false">
      <c r="A23" s="135" t="s">
        <v>449</v>
      </c>
      <c r="B23" s="136"/>
      <c r="C23" s="139" t="e">
        <f aca="false">+#REF!</f>
        <v>#REF!</v>
      </c>
      <c r="D23" s="139" t="e">
        <f aca="false">+#REF!</f>
        <v>#REF!</v>
      </c>
      <c r="E23" s="68"/>
      <c r="F23" s="68" t="e">
        <f aca="false">+#REF!</f>
        <v>#REF!</v>
      </c>
      <c r="G23" s="129"/>
      <c r="H23" s="42" t="e">
        <f aca="false">ROUND(#REF!/1000,0)</f>
        <v>#REF!</v>
      </c>
      <c r="I23" s="42"/>
      <c r="J23" s="42" t="e">
        <f aca="false">ROUND(#REF!/1000,0)</f>
        <v>#REF!</v>
      </c>
      <c r="K23" s="42"/>
      <c r="L23" s="42" t="e">
        <f aca="false">-ROUND((#REF!-#REF!)/1000,0)</f>
        <v>#REF!</v>
      </c>
      <c r="M23" s="42"/>
      <c r="N23" s="42" t="e">
        <f aca="false">SUM(H23:L23)</f>
        <v>#REF!</v>
      </c>
      <c r="O23" s="42"/>
      <c r="P23" s="42" t="n">
        <v>20285</v>
      </c>
      <c r="Q23" s="42"/>
      <c r="R23" s="42" t="n">
        <v>-19897</v>
      </c>
      <c r="S23" s="42"/>
      <c r="T23" s="42" t="n">
        <v>-264</v>
      </c>
      <c r="U23" s="42"/>
      <c r="V23" s="42" t="n">
        <f aca="false">SUM(P23:T23)</f>
        <v>124</v>
      </c>
      <c r="W23" s="42"/>
      <c r="X23" s="42" t="n">
        <v>20285</v>
      </c>
      <c r="Y23" s="42"/>
      <c r="Z23" s="42" t="n">
        <v>-19897</v>
      </c>
      <c r="AA23" s="42"/>
      <c r="AB23" s="42" t="n">
        <v>-264</v>
      </c>
      <c r="AC23" s="42"/>
      <c r="AD23" s="42" t="n">
        <f aca="false">SUM(X23:AB23)</f>
        <v>124</v>
      </c>
      <c r="AE23" s="71"/>
      <c r="AF23" s="39" t="s">
        <v>100</v>
      </c>
    </row>
    <row r="24" customFormat="false" ht="12.75" hidden="false" customHeight="false" outlineLevel="0" collapsed="false">
      <c r="A24" s="135" t="n">
        <v>11</v>
      </c>
      <c r="B24" s="136"/>
      <c r="C24" s="139" t="e">
        <f aca="false">+#REF!</f>
        <v>#REF!</v>
      </c>
      <c r="D24" s="139" t="e">
        <f aca="false">+#REF!</f>
        <v>#REF!</v>
      </c>
      <c r="E24" s="68"/>
      <c r="F24" s="68" t="e">
        <f aca="false">+#REF!</f>
        <v>#REF!</v>
      </c>
      <c r="G24" s="129"/>
      <c r="H24" s="42" t="e">
        <f aca="false">ROUND(#REF!/1000,0)</f>
        <v>#REF!</v>
      </c>
      <c r="I24" s="42"/>
      <c r="J24" s="42" t="e">
        <f aca="false">ROUND(#REF!/1000,0)</f>
        <v>#REF!</v>
      </c>
      <c r="K24" s="42"/>
      <c r="L24" s="42" t="e">
        <f aca="false">-ROUND((#REF!-#REF!)/1000,0)</f>
        <v>#REF!</v>
      </c>
      <c r="M24" s="42"/>
      <c r="N24" s="42" t="e">
        <f aca="false">SUM(H24:L24)</f>
        <v>#REF!</v>
      </c>
      <c r="O24" s="42"/>
      <c r="P24" s="42" t="n">
        <v>10</v>
      </c>
      <c r="Q24" s="42"/>
      <c r="R24" s="42" t="n">
        <v>0</v>
      </c>
      <c r="S24" s="42"/>
      <c r="T24" s="42" t="n">
        <v>-7</v>
      </c>
      <c r="U24" s="42"/>
      <c r="V24" s="42" t="n">
        <f aca="false">SUM(P24:T24)</f>
        <v>3</v>
      </c>
      <c r="W24" s="42"/>
      <c r="X24" s="42" t="n">
        <v>10</v>
      </c>
      <c r="Y24" s="42"/>
      <c r="Z24" s="42" t="n">
        <v>0</v>
      </c>
      <c r="AA24" s="42"/>
      <c r="AB24" s="42" t="n">
        <v>-7</v>
      </c>
      <c r="AC24" s="42"/>
      <c r="AD24" s="42" t="n">
        <f aca="false">SUM(X24:AB24)</f>
        <v>3</v>
      </c>
      <c r="AE24" s="71"/>
      <c r="AF24" s="39" t="s">
        <v>108</v>
      </c>
    </row>
    <row r="25" customFormat="false" ht="12.75" hidden="false" customHeight="false" outlineLevel="0" collapsed="false">
      <c r="A25" s="135" t="s">
        <v>449</v>
      </c>
      <c r="B25" s="136"/>
      <c r="C25" s="139" t="e">
        <f aca="false">+#REF!</f>
        <v>#REF!</v>
      </c>
      <c r="D25" s="139" t="e">
        <f aca="false">+#REF!</f>
        <v>#REF!</v>
      </c>
      <c r="E25" s="68"/>
      <c r="F25" s="68" t="e">
        <f aca="false">+#REF!</f>
        <v>#REF!</v>
      </c>
      <c r="G25" s="129"/>
      <c r="H25" s="42" t="e">
        <f aca="false">ROUND(#REF!/1000,0)</f>
        <v>#REF!</v>
      </c>
      <c r="I25" s="42"/>
      <c r="J25" s="42" t="e">
        <f aca="false">ROUND(#REF!/1000,0)</f>
        <v>#REF!</v>
      </c>
      <c r="K25" s="42"/>
      <c r="L25" s="42" t="e">
        <f aca="false">-ROUND((#REF!-#REF!)/1000,0)</f>
        <v>#REF!</v>
      </c>
      <c r="M25" s="42"/>
      <c r="N25" s="42" t="e">
        <f aca="false">SUM(H25:L25)</f>
        <v>#REF!</v>
      </c>
      <c r="O25" s="42"/>
      <c r="P25" s="42" t="n">
        <v>17480</v>
      </c>
      <c r="Q25" s="42"/>
      <c r="R25" s="42" t="n">
        <v>0</v>
      </c>
      <c r="S25" s="42"/>
      <c r="T25" s="42" t="n">
        <v>-8022</v>
      </c>
      <c r="U25" s="42"/>
      <c r="V25" s="42" t="n">
        <f aca="false">SUM(P25:T25)</f>
        <v>9458</v>
      </c>
      <c r="W25" s="42"/>
      <c r="X25" s="42" t="n">
        <v>11780</v>
      </c>
      <c r="Y25" s="42"/>
      <c r="Z25" s="42" t="n">
        <v>0</v>
      </c>
      <c r="AA25" s="42"/>
      <c r="AB25" s="42" t="n">
        <v>-8022</v>
      </c>
      <c r="AC25" s="42"/>
      <c r="AD25" s="42" t="n">
        <f aca="false">SUM(X25:AB25)</f>
        <v>3758</v>
      </c>
      <c r="AE25" s="71"/>
      <c r="AF25" s="39" t="s">
        <v>453</v>
      </c>
    </row>
    <row r="26" customFormat="false" ht="12.75" hidden="false" customHeight="false" outlineLevel="0" collapsed="false">
      <c r="A26" s="135" t="n">
        <v>11</v>
      </c>
      <c r="B26" s="136"/>
      <c r="C26" s="139" t="e">
        <f aca="false">+#REF!</f>
        <v>#REF!</v>
      </c>
      <c r="D26" s="139" t="e">
        <f aca="false">+#REF!</f>
        <v>#REF!</v>
      </c>
      <c r="E26" s="68"/>
      <c r="F26" s="68" t="e">
        <f aca="false">+#REF!</f>
        <v>#REF!</v>
      </c>
      <c r="G26" s="129"/>
      <c r="H26" s="42" t="e">
        <f aca="false">ROUND(#REF!/1000,0)</f>
        <v>#REF!</v>
      </c>
      <c r="I26" s="42"/>
      <c r="J26" s="42" t="e">
        <f aca="false">ROUND(#REF!/1000,0)</f>
        <v>#REF!</v>
      </c>
      <c r="K26" s="42"/>
      <c r="L26" s="42" t="e">
        <f aca="false">-ROUND((#REF!-#REF!)/1000,0)</f>
        <v>#REF!</v>
      </c>
      <c r="M26" s="42"/>
      <c r="N26" s="42" t="e">
        <f aca="false">SUM(H26:L26)</f>
        <v>#REF!</v>
      </c>
      <c r="O26" s="42"/>
      <c r="P26" s="42" t="n">
        <v>54</v>
      </c>
      <c r="Q26" s="42"/>
      <c r="R26" s="42" t="n">
        <v>0</v>
      </c>
      <c r="S26" s="42"/>
      <c r="T26" s="42" t="n">
        <v>-36</v>
      </c>
      <c r="U26" s="42"/>
      <c r="V26" s="42" t="n">
        <f aca="false">SUM(P26:T26)</f>
        <v>18</v>
      </c>
      <c r="W26" s="42"/>
      <c r="X26" s="42" t="n">
        <v>54</v>
      </c>
      <c r="Y26" s="42"/>
      <c r="Z26" s="42" t="n">
        <v>0</v>
      </c>
      <c r="AA26" s="42"/>
      <c r="AB26" s="42" t="n">
        <v>-36</v>
      </c>
      <c r="AC26" s="42"/>
      <c r="AD26" s="42" t="n">
        <f aca="false">SUM(X26:AB26)</f>
        <v>18</v>
      </c>
      <c r="AE26" s="71"/>
      <c r="AF26" s="39" t="s">
        <v>108</v>
      </c>
    </row>
    <row r="27" customFormat="false" ht="12.75" hidden="false" customHeight="false" outlineLevel="0" collapsed="false">
      <c r="A27" s="135" t="n">
        <v>11</v>
      </c>
      <c r="B27" s="136"/>
      <c r="C27" s="139" t="e">
        <f aca="false">+#REF!</f>
        <v>#REF!</v>
      </c>
      <c r="D27" s="139" t="e">
        <f aca="false">+#REF!</f>
        <v>#REF!</v>
      </c>
      <c r="E27" s="68"/>
      <c r="F27" s="68" t="e">
        <f aca="false">+#REF!</f>
        <v>#REF!</v>
      </c>
      <c r="G27" s="129"/>
      <c r="H27" s="42" t="e">
        <f aca="false">ROUND(#REF!/1000,0)</f>
        <v>#REF!</v>
      </c>
      <c r="I27" s="42"/>
      <c r="J27" s="42" t="e">
        <f aca="false">ROUND(#REF!/1000,0)</f>
        <v>#REF!</v>
      </c>
      <c r="K27" s="42"/>
      <c r="L27" s="42" t="e">
        <f aca="false">-ROUND((#REF!-#REF!)/1000,0)</f>
        <v>#REF!</v>
      </c>
      <c r="M27" s="42"/>
      <c r="N27" s="42" t="e">
        <f aca="false">SUM(H27:L27)</f>
        <v>#REF!</v>
      </c>
      <c r="O27" s="42"/>
      <c r="P27" s="42" t="n">
        <v>155</v>
      </c>
      <c r="Q27" s="42"/>
      <c r="R27" s="42" t="n">
        <v>0</v>
      </c>
      <c r="S27" s="42"/>
      <c r="T27" s="42" t="n">
        <v>-106</v>
      </c>
      <c r="U27" s="42"/>
      <c r="V27" s="42" t="n">
        <f aca="false">SUM(P27:T27)</f>
        <v>49</v>
      </c>
      <c r="W27" s="42"/>
      <c r="X27" s="42" t="n">
        <v>155</v>
      </c>
      <c r="Y27" s="42"/>
      <c r="Z27" s="42" t="n">
        <v>0</v>
      </c>
      <c r="AA27" s="42"/>
      <c r="AB27" s="42" t="n">
        <v>-106</v>
      </c>
      <c r="AC27" s="42"/>
      <c r="AD27" s="42" t="n">
        <f aca="false">SUM(X27:AB27)</f>
        <v>49</v>
      </c>
      <c r="AE27" s="71"/>
      <c r="AF27" s="39" t="s">
        <v>108</v>
      </c>
    </row>
    <row r="28" customFormat="false" ht="12.75" hidden="false" customHeight="false" outlineLevel="0" collapsed="false">
      <c r="A28" s="135" t="n">
        <v>11</v>
      </c>
      <c r="B28" s="136"/>
      <c r="C28" s="139" t="e">
        <f aca="false">+#REF!</f>
        <v>#REF!</v>
      </c>
      <c r="D28" s="139" t="e">
        <f aca="false">+#REF!</f>
        <v>#REF!</v>
      </c>
      <c r="E28" s="68"/>
      <c r="F28" s="68" t="e">
        <f aca="false">+#REF!</f>
        <v>#REF!</v>
      </c>
      <c r="G28" s="140"/>
      <c r="H28" s="42" t="e">
        <f aca="false">ROUND(#REF!/1000,0)</f>
        <v>#REF!</v>
      </c>
      <c r="I28" s="42"/>
      <c r="J28" s="42" t="e">
        <f aca="false">ROUND(#REF!/1000,0)</f>
        <v>#REF!</v>
      </c>
      <c r="K28" s="42"/>
      <c r="L28" s="42" t="e">
        <f aca="false">-ROUND((#REF!-#REF!)/1000,0)</f>
        <v>#REF!</v>
      </c>
      <c r="M28" s="42"/>
      <c r="N28" s="42" t="e">
        <f aca="false">SUM(H28:L28)</f>
        <v>#REF!</v>
      </c>
      <c r="O28" s="42"/>
      <c r="P28" s="42" t="n">
        <v>-1091</v>
      </c>
      <c r="Q28" s="42"/>
      <c r="R28" s="42" t="n">
        <v>0</v>
      </c>
      <c r="S28" s="42"/>
      <c r="T28" s="42" t="n">
        <v>0</v>
      </c>
      <c r="U28" s="42"/>
      <c r="V28" s="42" t="n">
        <f aca="false">SUM(P28:T28)</f>
        <v>-1091</v>
      </c>
      <c r="W28" s="42"/>
      <c r="X28" s="42" t="n">
        <v>-1091</v>
      </c>
      <c r="Y28" s="42"/>
      <c r="Z28" s="42" t="n">
        <v>0</v>
      </c>
      <c r="AA28" s="42"/>
      <c r="AB28" s="42" t="n">
        <v>0</v>
      </c>
      <c r="AC28" s="42"/>
      <c r="AD28" s="42" t="n">
        <f aca="false">SUM(X28:AB28)</f>
        <v>-1091</v>
      </c>
      <c r="AE28" s="71"/>
      <c r="AF28" s="39" t="s">
        <v>454</v>
      </c>
    </row>
    <row r="29" customFormat="false" ht="12.75" hidden="false" customHeight="false" outlineLevel="0" collapsed="false">
      <c r="A29" s="135"/>
      <c r="B29" s="136"/>
      <c r="C29" s="39"/>
      <c r="D29" s="39"/>
      <c r="E29" s="39"/>
      <c r="F29" s="37"/>
      <c r="G29" s="129"/>
      <c r="H29" s="141"/>
      <c r="I29" s="42"/>
      <c r="J29" s="141"/>
      <c r="K29" s="42"/>
      <c r="L29" s="141"/>
      <c r="M29" s="42"/>
      <c r="N29" s="141"/>
      <c r="O29" s="42"/>
      <c r="P29" s="141"/>
      <c r="Q29" s="42"/>
      <c r="R29" s="141"/>
      <c r="S29" s="42"/>
      <c r="T29" s="141"/>
      <c r="U29" s="42"/>
      <c r="V29" s="141"/>
      <c r="W29" s="42"/>
      <c r="X29" s="141"/>
      <c r="Y29" s="42"/>
      <c r="Z29" s="141"/>
      <c r="AA29" s="42"/>
      <c r="AB29" s="141"/>
      <c r="AC29" s="42"/>
      <c r="AD29" s="141"/>
      <c r="AE29" s="71"/>
      <c r="AF29" s="39"/>
    </row>
    <row r="30" customFormat="false" ht="12.75" hidden="false" customHeight="false" outlineLevel="0" collapsed="false">
      <c r="A30" s="142"/>
      <c r="B30" s="143"/>
      <c r="C30" s="144" t="s">
        <v>455</v>
      </c>
      <c r="D30" s="144"/>
      <c r="E30" s="144"/>
      <c r="F30" s="145"/>
      <c r="G30" s="146"/>
      <c r="H30" s="147" t="e">
        <f aca="false">SUM(H10:H29)</f>
        <v>#REF!</v>
      </c>
      <c r="I30" s="55"/>
      <c r="J30" s="147" t="e">
        <f aca="false">SUM(J10:J29)</f>
        <v>#REF!</v>
      </c>
      <c r="K30" s="55"/>
      <c r="L30" s="147" t="e">
        <f aca="false">SUM(L10:L29)</f>
        <v>#REF!</v>
      </c>
      <c r="M30" s="55"/>
      <c r="N30" s="147" t="e">
        <f aca="false">SUM(N10:N29)</f>
        <v>#REF!</v>
      </c>
      <c r="O30" s="55"/>
      <c r="P30" s="147" t="n">
        <f aca="false">SUM(P10:P29)</f>
        <v>63430</v>
      </c>
      <c r="Q30" s="55"/>
      <c r="R30" s="147" t="n">
        <f aca="false">SUM(R10:R29)</f>
        <v>-19183</v>
      </c>
      <c r="S30" s="55"/>
      <c r="T30" s="147" t="n">
        <f aca="false">SUM(T10:T29)</f>
        <v>-15938</v>
      </c>
      <c r="U30" s="55"/>
      <c r="V30" s="147" t="n">
        <f aca="false">SUM(V10:V29)</f>
        <v>28309</v>
      </c>
      <c r="W30" s="55"/>
      <c r="X30" s="147" t="n">
        <f aca="false">SUM(X10:X29)</f>
        <v>52904</v>
      </c>
      <c r="Y30" s="55"/>
      <c r="Z30" s="147" t="n">
        <f aca="false">SUM(Z10:Z29)</f>
        <v>-19923</v>
      </c>
      <c r="AA30" s="55"/>
      <c r="AB30" s="147" t="n">
        <f aca="false">SUM(AB10:AB29)</f>
        <v>-15938</v>
      </c>
      <c r="AC30" s="55"/>
      <c r="AD30" s="147" t="n">
        <f aca="false">SUM(AD10:AD29)</f>
        <v>17043</v>
      </c>
      <c r="AE30" s="148"/>
      <c r="AF30" s="144"/>
    </row>
    <row r="31" customFormat="false" ht="12.75" hidden="false" customHeight="false" outlineLevel="0" collapsed="false">
      <c r="A31" s="4"/>
      <c r="B31" s="4"/>
      <c r="C31" s="4"/>
      <c r="D31" s="4"/>
      <c r="E31" s="4"/>
      <c r="F31" s="4"/>
      <c r="G31" s="4"/>
      <c r="P31" s="4"/>
      <c r="Q31" s="4"/>
      <c r="R31" s="4"/>
      <c r="S31" s="4"/>
      <c r="T31" s="4"/>
      <c r="U31" s="4"/>
      <c r="V31" s="4"/>
      <c r="W31" s="4"/>
      <c r="X31" s="4"/>
      <c r="Y31" s="4"/>
      <c r="Z31" s="4"/>
      <c r="AA31" s="4"/>
      <c r="AB31" s="4"/>
      <c r="AC31" s="4"/>
      <c r="AD31" s="4"/>
      <c r="AE31" s="4"/>
      <c r="AF31" s="4"/>
    </row>
    <row r="32" customFormat="false" ht="12.75" hidden="false" customHeight="false" outlineLevel="0" collapsed="false">
      <c r="A32" s="135"/>
      <c r="B32" s="136"/>
      <c r="C32" s="32" t="s">
        <v>456</v>
      </c>
      <c r="D32" s="39"/>
      <c r="E32" s="39"/>
      <c r="F32" s="37"/>
      <c r="G32" s="129"/>
      <c r="H32" s="42"/>
      <c r="I32" s="42"/>
      <c r="J32" s="42"/>
      <c r="K32" s="42"/>
      <c r="L32" s="42"/>
      <c r="M32" s="42"/>
      <c r="N32" s="42"/>
      <c r="O32" s="42"/>
      <c r="P32" s="42"/>
      <c r="Q32" s="42"/>
      <c r="R32" s="42"/>
      <c r="S32" s="42"/>
      <c r="T32" s="42"/>
      <c r="U32" s="42"/>
      <c r="V32" s="42"/>
      <c r="W32" s="42"/>
      <c r="X32" s="42"/>
      <c r="Y32" s="42"/>
      <c r="Z32" s="42"/>
      <c r="AA32" s="42"/>
      <c r="AB32" s="42"/>
      <c r="AC32" s="42"/>
      <c r="AD32" s="42"/>
      <c r="AE32" s="71"/>
      <c r="AF32" s="39"/>
    </row>
    <row r="33" customFormat="false" ht="12.75" hidden="false" customHeight="false" outlineLevel="0" collapsed="false">
      <c r="A33" s="135" t="n">
        <v>11</v>
      </c>
      <c r="B33" s="136"/>
      <c r="C33" s="137" t="e">
        <f aca="false">+#REF!</f>
        <v>#REF!</v>
      </c>
      <c r="D33" s="137" t="e">
        <f aca="false">+#REF!</f>
        <v>#REF!</v>
      </c>
      <c r="E33" s="37"/>
      <c r="F33" s="37" t="e">
        <f aca="false">+#REF!</f>
        <v>#REF!</v>
      </c>
      <c r="G33" s="129"/>
      <c r="H33" s="42" t="e">
        <f aca="false">ROUND(#REF!/1000,0)</f>
        <v>#REF!</v>
      </c>
      <c r="I33" s="42"/>
      <c r="J33" s="42" t="e">
        <f aca="false">ROUND(#REF!/1000,0)</f>
        <v>#REF!</v>
      </c>
      <c r="K33" s="42"/>
      <c r="L33" s="42" t="e">
        <f aca="false">-ROUND((#REF!-#REF!)/1000,0)</f>
        <v>#REF!</v>
      </c>
      <c r="M33" s="42"/>
      <c r="N33" s="42" t="e">
        <f aca="false">SUM(H33:L33)</f>
        <v>#REF!</v>
      </c>
      <c r="O33" s="42"/>
      <c r="P33" s="42" t="n">
        <f aca="false">2276-1200</f>
        <v>1076</v>
      </c>
      <c r="Q33" s="42"/>
      <c r="R33" s="42" t="n">
        <v>0</v>
      </c>
      <c r="S33" s="42"/>
      <c r="T33" s="42" t="n">
        <v>-434</v>
      </c>
      <c r="U33" s="42"/>
      <c r="V33" s="42" t="n">
        <f aca="false">SUM(P33:T33)</f>
        <v>642</v>
      </c>
      <c r="W33" s="42"/>
      <c r="X33" s="42" t="n">
        <f aca="false">765+600</f>
        <v>1365</v>
      </c>
      <c r="Y33" s="42"/>
      <c r="Z33" s="42" t="n">
        <v>0</v>
      </c>
      <c r="AA33" s="42"/>
      <c r="AB33" s="42" t="n">
        <v>-434</v>
      </c>
      <c r="AC33" s="42"/>
      <c r="AD33" s="42" t="n">
        <f aca="false">SUM(X33:AB33)</f>
        <v>931</v>
      </c>
      <c r="AE33" s="71"/>
      <c r="AF33" s="39" t="s">
        <v>108</v>
      </c>
    </row>
    <row r="34" customFormat="false" ht="12.75" hidden="false" customHeight="false" outlineLevel="0" collapsed="false">
      <c r="A34" s="135" t="n">
        <v>11</v>
      </c>
      <c r="B34" s="136"/>
      <c r="C34" s="137" t="e">
        <f aca="false">+#REF!</f>
        <v>#REF!</v>
      </c>
      <c r="D34" s="137" t="e">
        <f aca="false">+#REF!</f>
        <v>#REF!</v>
      </c>
      <c r="E34" s="37"/>
      <c r="F34" s="37" t="e">
        <f aca="false">+#REF!</f>
        <v>#REF!</v>
      </c>
      <c r="G34" s="129"/>
      <c r="H34" s="42" t="e">
        <f aca="false">ROUND(#REF!/1000,0)</f>
        <v>#REF!</v>
      </c>
      <c r="I34" s="42"/>
      <c r="J34" s="42" t="e">
        <f aca="false">ROUND(#REF!/1000,0)</f>
        <v>#REF!</v>
      </c>
      <c r="K34" s="42"/>
      <c r="L34" s="42" t="e">
        <f aca="false">-ROUND((#REF!-#REF!)/1000,0)</f>
        <v>#REF!</v>
      </c>
      <c r="M34" s="42"/>
      <c r="N34" s="42" t="e">
        <f aca="false">SUM(H34:L34)</f>
        <v>#REF!</v>
      </c>
      <c r="O34" s="42"/>
      <c r="P34" s="42" t="n">
        <v>1431</v>
      </c>
      <c r="Q34" s="42"/>
      <c r="R34" s="42" t="n">
        <v>0</v>
      </c>
      <c r="S34" s="42"/>
      <c r="T34" s="42" t="n">
        <v>-838</v>
      </c>
      <c r="U34" s="42"/>
      <c r="V34" s="42" t="n">
        <f aca="false">SUM(P34:T34)</f>
        <v>593</v>
      </c>
      <c r="W34" s="42"/>
      <c r="X34" s="42" t="n">
        <v>1311</v>
      </c>
      <c r="Y34" s="42"/>
      <c r="Z34" s="42" t="n">
        <v>0</v>
      </c>
      <c r="AA34" s="42"/>
      <c r="AB34" s="42" t="n">
        <v>-838</v>
      </c>
      <c r="AC34" s="42"/>
      <c r="AD34" s="42" t="n">
        <f aca="false">SUM(X34:AB34)</f>
        <v>473</v>
      </c>
      <c r="AE34" s="71"/>
      <c r="AF34" s="39" t="s">
        <v>108</v>
      </c>
    </row>
    <row r="35" customFormat="false" ht="12.75" hidden="false" customHeight="false" outlineLevel="0" collapsed="false">
      <c r="A35" s="135" t="n">
        <v>11</v>
      </c>
      <c r="B35" s="136"/>
      <c r="C35" s="137" t="e">
        <f aca="false">+#REF!</f>
        <v>#REF!</v>
      </c>
      <c r="D35" s="137" t="e">
        <f aca="false">+#REF!</f>
        <v>#REF!</v>
      </c>
      <c r="E35" s="37"/>
      <c r="F35" s="37" t="e">
        <f aca="false">+#REF!</f>
        <v>#REF!</v>
      </c>
      <c r="G35" s="129"/>
      <c r="H35" s="42" t="e">
        <f aca="false">ROUND(#REF!/1000,0)</f>
        <v>#REF!</v>
      </c>
      <c r="I35" s="42"/>
      <c r="J35" s="42" t="e">
        <f aca="false">ROUND(#REF!/1000,0)</f>
        <v>#REF!</v>
      </c>
      <c r="K35" s="42"/>
      <c r="L35" s="42" t="e">
        <f aca="false">-ROUND((#REF!-#REF!)/1000,0)</f>
        <v>#REF!</v>
      </c>
      <c r="M35" s="42"/>
      <c r="N35" s="42" t="e">
        <f aca="false">SUM(H35:L35)</f>
        <v>#REF!</v>
      </c>
      <c r="O35" s="42"/>
      <c r="P35" s="42" t="n">
        <v>102</v>
      </c>
      <c r="Q35" s="42"/>
      <c r="R35" s="42" t="n">
        <v>0</v>
      </c>
      <c r="S35" s="42"/>
      <c r="T35" s="42" t="n">
        <v>0</v>
      </c>
      <c r="U35" s="42"/>
      <c r="V35" s="42" t="n">
        <f aca="false">SUM(P35:T35)</f>
        <v>102</v>
      </c>
      <c r="W35" s="42"/>
      <c r="X35" s="42" t="n">
        <v>50</v>
      </c>
      <c r="Y35" s="42"/>
      <c r="Z35" s="42" t="n">
        <v>0</v>
      </c>
      <c r="AA35" s="42"/>
      <c r="AB35" s="42" t="n">
        <v>0</v>
      </c>
      <c r="AC35" s="42"/>
      <c r="AD35" s="42" t="n">
        <f aca="false">SUM(X35:AB35)</f>
        <v>50</v>
      </c>
      <c r="AE35" s="71"/>
      <c r="AF35" s="39" t="s">
        <v>108</v>
      </c>
    </row>
    <row r="36" customFormat="false" ht="12.75" hidden="false" customHeight="false" outlineLevel="0" collapsed="false">
      <c r="A36" s="135" t="n">
        <v>11</v>
      </c>
      <c r="B36" s="136"/>
      <c r="C36" s="137" t="e">
        <f aca="false">+#REF!</f>
        <v>#REF!</v>
      </c>
      <c r="D36" s="137" t="e">
        <f aca="false">+#REF!</f>
        <v>#REF!</v>
      </c>
      <c r="E36" s="37"/>
      <c r="F36" s="37" t="e">
        <f aca="false">+#REF!</f>
        <v>#REF!</v>
      </c>
      <c r="G36" s="129"/>
      <c r="H36" s="42" t="e">
        <f aca="false">ROUND(#REF!/1000,0)</f>
        <v>#REF!</v>
      </c>
      <c r="I36" s="42"/>
      <c r="J36" s="42" t="e">
        <f aca="false">ROUND(#REF!/1000,0)</f>
        <v>#REF!</v>
      </c>
      <c r="K36" s="42"/>
      <c r="L36" s="42" t="e">
        <f aca="false">-ROUND((#REF!-#REF!)/1000,0)</f>
        <v>#REF!</v>
      </c>
      <c r="M36" s="42"/>
      <c r="N36" s="42" t="e">
        <f aca="false">SUM(H36:L36)</f>
        <v>#REF!</v>
      </c>
      <c r="O36" s="42"/>
      <c r="P36" s="42" t="n">
        <f aca="false">2400+4368+3200</f>
        <v>9968</v>
      </c>
      <c r="Q36" s="42"/>
      <c r="R36" s="42" t="n">
        <v>0</v>
      </c>
      <c r="S36" s="42"/>
      <c r="T36" s="42" t="n">
        <v>0</v>
      </c>
      <c r="U36" s="42"/>
      <c r="V36" s="42" t="n">
        <f aca="false">SUM(P36:T36)</f>
        <v>9968</v>
      </c>
      <c r="W36" s="42"/>
      <c r="X36" s="42" t="n">
        <f aca="false">3000+3000+4000</f>
        <v>10000</v>
      </c>
      <c r="Y36" s="42"/>
      <c r="Z36" s="42" t="n">
        <v>0</v>
      </c>
      <c r="AA36" s="42"/>
      <c r="AB36" s="42" t="n">
        <v>0</v>
      </c>
      <c r="AC36" s="42"/>
      <c r="AD36" s="42" t="n">
        <f aca="false">SUM(X36:AB36)</f>
        <v>10000</v>
      </c>
      <c r="AE36" s="71"/>
      <c r="AF36" s="39" t="s">
        <v>108</v>
      </c>
    </row>
    <row r="37" customFormat="false" ht="12.75" hidden="false" customHeight="false" outlineLevel="0" collapsed="false">
      <c r="A37" s="135" t="n">
        <v>11</v>
      </c>
      <c r="B37" s="136"/>
      <c r="C37" s="137" t="e">
        <f aca="false">+#REF!</f>
        <v>#REF!</v>
      </c>
      <c r="D37" s="137" t="e">
        <f aca="false">+#REF!</f>
        <v>#REF!</v>
      </c>
      <c r="E37" s="37"/>
      <c r="F37" s="37" t="e">
        <f aca="false">+#REF!</f>
        <v>#REF!</v>
      </c>
      <c r="G37" s="129"/>
      <c r="H37" s="42" t="e">
        <f aca="false">ROUND(#REF!/1000,0)</f>
        <v>#REF!</v>
      </c>
      <c r="I37" s="42"/>
      <c r="J37" s="42" t="e">
        <f aca="false">ROUND(#REF!/1000,0)</f>
        <v>#REF!</v>
      </c>
      <c r="K37" s="42"/>
      <c r="L37" s="42" t="e">
        <f aca="false">-ROUND((#REF!-#REF!)/1000,0)</f>
        <v>#REF!</v>
      </c>
      <c r="M37" s="42"/>
      <c r="N37" s="42" t="e">
        <f aca="false">SUM(H37:L37)</f>
        <v>#REF!</v>
      </c>
      <c r="O37" s="42"/>
      <c r="P37" s="42" t="n">
        <v>810</v>
      </c>
      <c r="Q37" s="42"/>
      <c r="R37" s="42" t="n">
        <v>-208</v>
      </c>
      <c r="S37" s="42"/>
      <c r="T37" s="42" t="n">
        <v>-12</v>
      </c>
      <c r="U37" s="42"/>
      <c r="V37" s="42" t="n">
        <f aca="false">SUM(P37:T37)</f>
        <v>590</v>
      </c>
      <c r="W37" s="42"/>
      <c r="X37" s="42" t="n">
        <v>485</v>
      </c>
      <c r="Y37" s="42"/>
      <c r="Z37" s="42" t="n">
        <v>-208</v>
      </c>
      <c r="AA37" s="42"/>
      <c r="AB37" s="42" t="n">
        <v>-12</v>
      </c>
      <c r="AC37" s="42"/>
      <c r="AD37" s="42" t="n">
        <f aca="false">SUM(X37:AB37)</f>
        <v>265</v>
      </c>
      <c r="AE37" s="71"/>
      <c r="AF37" s="39" t="s">
        <v>147</v>
      </c>
    </row>
    <row r="38" customFormat="false" ht="12.75" hidden="false" customHeight="false" outlineLevel="0" collapsed="false">
      <c r="A38" s="135" t="n">
        <v>11</v>
      </c>
      <c r="B38" s="136"/>
      <c r="C38" s="137" t="e">
        <f aca="false">+#REF!</f>
        <v>#REF!</v>
      </c>
      <c r="D38" s="137" t="e">
        <f aca="false">+#REF!</f>
        <v>#REF!</v>
      </c>
      <c r="E38" s="37"/>
      <c r="F38" s="37" t="e">
        <f aca="false">+#REF!</f>
        <v>#REF!</v>
      </c>
      <c r="G38" s="129"/>
      <c r="H38" s="42" t="e">
        <f aca="false">ROUND(#REF!/1000,0)</f>
        <v>#REF!</v>
      </c>
      <c r="I38" s="42"/>
      <c r="J38" s="42" t="e">
        <f aca="false">ROUND(#REF!/1000,0)</f>
        <v>#REF!</v>
      </c>
      <c r="K38" s="42"/>
      <c r="L38" s="42" t="e">
        <f aca="false">-ROUND((#REF!-#REF!)/1000,0)</f>
        <v>#REF!</v>
      </c>
      <c r="M38" s="42"/>
      <c r="N38" s="42" t="e">
        <f aca="false">SUM(H38:L38)</f>
        <v>#REF!</v>
      </c>
      <c r="O38" s="42"/>
      <c r="P38" s="42" t="n">
        <v>1498</v>
      </c>
      <c r="Q38" s="42"/>
      <c r="R38" s="42" t="n">
        <v>-1498</v>
      </c>
      <c r="S38" s="42"/>
      <c r="T38" s="42" t="n">
        <v>0</v>
      </c>
      <c r="U38" s="42"/>
      <c r="V38" s="42" t="n">
        <f aca="false">SUM(P38:T38)</f>
        <v>0</v>
      </c>
      <c r="W38" s="42"/>
      <c r="X38" s="42" t="n">
        <v>1550</v>
      </c>
      <c r="Y38" s="42"/>
      <c r="Z38" s="42" t="n">
        <v>0</v>
      </c>
      <c r="AA38" s="42"/>
      <c r="AB38" s="42" t="n">
        <v>0</v>
      </c>
      <c r="AC38" s="42"/>
      <c r="AD38" s="42" t="n">
        <f aca="false">SUM(X38:AB38)</f>
        <v>1550</v>
      </c>
      <c r="AE38" s="71"/>
      <c r="AF38" s="39" t="s">
        <v>108</v>
      </c>
    </row>
    <row r="39" customFormat="false" ht="12.75" hidden="false" customHeight="false" outlineLevel="0" collapsed="false">
      <c r="A39" s="135" t="n">
        <v>11</v>
      </c>
      <c r="B39" s="136"/>
      <c r="C39" s="137" t="e">
        <f aca="false">+#REF!</f>
        <v>#REF!</v>
      </c>
      <c r="D39" s="137" t="e">
        <f aca="false">+#REF!</f>
        <v>#REF!</v>
      </c>
      <c r="E39" s="37"/>
      <c r="F39" s="37" t="e">
        <f aca="false">+#REF!</f>
        <v>#REF!</v>
      </c>
      <c r="G39" s="129"/>
      <c r="H39" s="42" t="e">
        <f aca="false">ROUND(#REF!/1000,0)</f>
        <v>#REF!</v>
      </c>
      <c r="I39" s="42"/>
      <c r="J39" s="42" t="e">
        <f aca="false">ROUND(#REF!/1000,0)</f>
        <v>#REF!</v>
      </c>
      <c r="K39" s="42"/>
      <c r="L39" s="42" t="e">
        <f aca="false">-ROUND((#REF!-#REF!)/1000,0)</f>
        <v>#REF!</v>
      </c>
      <c r="M39" s="42"/>
      <c r="N39" s="42" t="e">
        <f aca="false">SUM(H39:L39)</f>
        <v>#REF!</v>
      </c>
      <c r="O39" s="42"/>
      <c r="P39" s="42" t="n">
        <v>322</v>
      </c>
      <c r="Q39" s="42"/>
      <c r="R39" s="42" t="n">
        <v>-82</v>
      </c>
      <c r="S39" s="42"/>
      <c r="T39" s="42" t="n">
        <v>-14</v>
      </c>
      <c r="U39" s="42"/>
      <c r="V39" s="42" t="n">
        <f aca="false">SUM(P39:T39)</f>
        <v>226</v>
      </c>
      <c r="W39" s="42"/>
      <c r="X39" s="42" t="n">
        <v>313</v>
      </c>
      <c r="Y39" s="42"/>
      <c r="Z39" s="42" t="n">
        <v>-82</v>
      </c>
      <c r="AA39" s="42"/>
      <c r="AB39" s="42" t="n">
        <v>-14</v>
      </c>
      <c r="AC39" s="42"/>
      <c r="AD39" s="42" t="n">
        <f aca="false">SUM(X39:AB39)</f>
        <v>217</v>
      </c>
      <c r="AE39" s="71"/>
      <c r="AF39" s="39" t="s">
        <v>147</v>
      </c>
    </row>
    <row r="40" customFormat="false" ht="12.75" hidden="false" customHeight="false" outlineLevel="0" collapsed="false">
      <c r="A40" s="135" t="n">
        <v>11</v>
      </c>
      <c r="B40" s="136"/>
      <c r="C40" s="139" t="e">
        <f aca="false">+#REF!</f>
        <v>#REF!</v>
      </c>
      <c r="D40" s="139" t="e">
        <f aca="false">+#REF!</f>
        <v>#REF!</v>
      </c>
      <c r="E40" s="68"/>
      <c r="F40" s="68" t="e">
        <f aca="false">+#REF!</f>
        <v>#REF!</v>
      </c>
      <c r="G40" s="140"/>
      <c r="H40" s="42" t="e">
        <f aca="false">ROUND(#REF!/1000,0)</f>
        <v>#REF!</v>
      </c>
      <c r="I40" s="42"/>
      <c r="J40" s="42" t="e">
        <f aca="false">ROUND(#REF!/1000,0)</f>
        <v>#REF!</v>
      </c>
      <c r="K40" s="42"/>
      <c r="L40" s="42" t="e">
        <f aca="false">-ROUND((#REF!-#REF!)/1000,0)</f>
        <v>#REF!</v>
      </c>
      <c r="M40" s="42"/>
      <c r="N40" s="42" t="e">
        <f aca="false">SUM(H40:L40)</f>
        <v>#REF!</v>
      </c>
      <c r="O40" s="42"/>
      <c r="P40" s="42" t="n">
        <v>0</v>
      </c>
      <c r="Q40" s="42"/>
      <c r="R40" s="42" t="n">
        <v>0</v>
      </c>
      <c r="S40" s="42"/>
      <c r="T40" s="42" t="n">
        <v>0</v>
      </c>
      <c r="U40" s="42"/>
      <c r="V40" s="42" t="n">
        <f aca="false">SUM(P40:T40)</f>
        <v>0</v>
      </c>
      <c r="W40" s="42"/>
      <c r="X40" s="42" t="n">
        <v>0</v>
      </c>
      <c r="Y40" s="42"/>
      <c r="Z40" s="42" t="n">
        <v>0</v>
      </c>
      <c r="AA40" s="42"/>
      <c r="AB40" s="42" t="n">
        <v>0</v>
      </c>
      <c r="AC40" s="42"/>
      <c r="AD40" s="42" t="n">
        <f aca="false">SUM(X40:AB40)</f>
        <v>0</v>
      </c>
      <c r="AE40" s="71"/>
      <c r="AF40" s="39"/>
    </row>
    <row r="41" customFormat="false" ht="12.75" hidden="false" customHeight="false" outlineLevel="0" collapsed="false">
      <c r="A41" s="135" t="n">
        <v>11</v>
      </c>
      <c r="B41" s="136"/>
      <c r="C41" s="137" t="e">
        <f aca="false">+#REF!</f>
        <v>#REF!</v>
      </c>
      <c r="D41" s="137" t="e">
        <f aca="false">+#REF!</f>
        <v>#REF!</v>
      </c>
      <c r="E41" s="37"/>
      <c r="F41" s="37" t="e">
        <f aca="false">+#REF!</f>
        <v>#REF!</v>
      </c>
      <c r="G41" s="129"/>
      <c r="H41" s="42" t="e">
        <f aca="false">ROUND(#REF!/1000,0)</f>
        <v>#REF!</v>
      </c>
      <c r="I41" s="42"/>
      <c r="J41" s="42" t="e">
        <f aca="false">ROUND(#REF!/1000,0)</f>
        <v>#REF!</v>
      </c>
      <c r="K41" s="42"/>
      <c r="L41" s="42" t="e">
        <f aca="false">-ROUND((#REF!-#REF!)/1000,0)</f>
        <v>#REF!</v>
      </c>
      <c r="M41" s="42"/>
      <c r="N41" s="42" t="e">
        <f aca="false">SUM(H41:L41)</f>
        <v>#REF!</v>
      </c>
      <c r="O41" s="42"/>
      <c r="P41" s="42" t="n">
        <v>4169</v>
      </c>
      <c r="Q41" s="42"/>
      <c r="R41" s="42" t="n">
        <v>-644</v>
      </c>
      <c r="S41" s="42"/>
      <c r="T41" s="42" t="n">
        <v>0</v>
      </c>
      <c r="U41" s="42"/>
      <c r="V41" s="42" t="n">
        <f aca="false">SUM(P41:T41)</f>
        <v>3525</v>
      </c>
      <c r="W41" s="42"/>
      <c r="X41" s="42" t="n">
        <v>3256</v>
      </c>
      <c r="Y41" s="42"/>
      <c r="Z41" s="42" t="n">
        <v>-2142</v>
      </c>
      <c r="AA41" s="42"/>
      <c r="AB41" s="42" t="n">
        <v>0</v>
      </c>
      <c r="AC41" s="42"/>
      <c r="AD41" s="42" t="n">
        <f aca="false">SUM(X41:AB41)</f>
        <v>1114</v>
      </c>
      <c r="AE41" s="71"/>
      <c r="AF41" s="39" t="s">
        <v>457</v>
      </c>
    </row>
    <row r="42" customFormat="false" ht="12.75" hidden="false" customHeight="false" outlineLevel="0" collapsed="false">
      <c r="A42" s="135" t="n">
        <v>11</v>
      </c>
      <c r="B42" s="136"/>
      <c r="C42" s="137" t="e">
        <f aca="false">+#REF!</f>
        <v>#REF!</v>
      </c>
      <c r="D42" s="137" t="e">
        <f aca="false">+#REF!</f>
        <v>#REF!</v>
      </c>
      <c r="E42" s="37"/>
      <c r="F42" s="37" t="e">
        <f aca="false">+#REF!</f>
        <v>#REF!</v>
      </c>
      <c r="G42" s="129"/>
      <c r="H42" s="42" t="e">
        <f aca="false">ROUND(#REF!/1000,0)</f>
        <v>#REF!</v>
      </c>
      <c r="I42" s="42"/>
      <c r="J42" s="42" t="e">
        <f aca="false">ROUND(#REF!/1000,0)</f>
        <v>#REF!</v>
      </c>
      <c r="K42" s="42"/>
      <c r="L42" s="42" t="e">
        <f aca="false">-ROUND((#REF!-#REF!)/1000,0)</f>
        <v>#REF!</v>
      </c>
      <c r="M42" s="42"/>
      <c r="N42" s="42" t="e">
        <f aca="false">SUM(H42:L42)</f>
        <v>#REF!</v>
      </c>
      <c r="O42" s="42"/>
      <c r="P42" s="42" t="n">
        <v>550</v>
      </c>
      <c r="Q42" s="42"/>
      <c r="R42" s="42" t="n">
        <v>0</v>
      </c>
      <c r="S42" s="42"/>
      <c r="T42" s="42" t="n">
        <v>-218</v>
      </c>
      <c r="U42" s="42"/>
      <c r="V42" s="42" t="n">
        <f aca="false">SUM(P42:T42)</f>
        <v>332</v>
      </c>
      <c r="W42" s="42"/>
      <c r="X42" s="42" t="n">
        <v>350</v>
      </c>
      <c r="Y42" s="42"/>
      <c r="Z42" s="42" t="n">
        <v>0</v>
      </c>
      <c r="AA42" s="42"/>
      <c r="AB42" s="42" t="n">
        <v>-218</v>
      </c>
      <c r="AC42" s="42"/>
      <c r="AD42" s="42" t="n">
        <f aca="false">SUM(X42:AB42)</f>
        <v>132</v>
      </c>
      <c r="AE42" s="71"/>
      <c r="AF42" s="39" t="s">
        <v>108</v>
      </c>
    </row>
    <row r="43" customFormat="false" ht="12.75" hidden="false" customHeight="false" outlineLevel="0" collapsed="false">
      <c r="A43" s="135" t="n">
        <v>11</v>
      </c>
      <c r="B43" s="136"/>
      <c r="C43" s="137" t="e">
        <f aca="false">+#REF!</f>
        <v>#REF!</v>
      </c>
      <c r="D43" s="137" t="e">
        <f aca="false">+#REF!</f>
        <v>#REF!</v>
      </c>
      <c r="E43" s="37"/>
      <c r="F43" s="37" t="e">
        <f aca="false">+#REF!</f>
        <v>#REF!</v>
      </c>
      <c r="G43" s="129"/>
      <c r="H43" s="42" t="e">
        <f aca="false">ROUND(#REF!/1000,0)</f>
        <v>#REF!</v>
      </c>
      <c r="I43" s="42"/>
      <c r="J43" s="42" t="e">
        <f aca="false">ROUND(#REF!/1000,0)</f>
        <v>#REF!</v>
      </c>
      <c r="K43" s="42"/>
      <c r="L43" s="42" t="e">
        <f aca="false">-ROUND((#REF!-#REF!)/1000,0)</f>
        <v>#REF!</v>
      </c>
      <c r="M43" s="42"/>
      <c r="N43" s="42" t="e">
        <f aca="false">SUM(H43:L43)</f>
        <v>#REF!</v>
      </c>
      <c r="O43" s="42"/>
      <c r="P43" s="42" t="n">
        <v>494</v>
      </c>
      <c r="Q43" s="42"/>
      <c r="R43" s="42" t="n">
        <v>-484</v>
      </c>
      <c r="S43" s="42"/>
      <c r="T43" s="42" t="n">
        <v>0</v>
      </c>
      <c r="U43" s="42"/>
      <c r="V43" s="42" t="n">
        <f aca="false">SUM(P43:T43)</f>
        <v>10</v>
      </c>
      <c r="W43" s="42"/>
      <c r="X43" s="42" t="n">
        <v>485</v>
      </c>
      <c r="Y43" s="42"/>
      <c r="Z43" s="42" t="n">
        <v>-485</v>
      </c>
      <c r="AA43" s="42"/>
      <c r="AB43" s="42" t="n">
        <v>0</v>
      </c>
      <c r="AC43" s="42"/>
      <c r="AD43" s="42" t="n">
        <f aca="false">SUM(X43:AB43)</f>
        <v>0</v>
      </c>
      <c r="AE43" s="71"/>
      <c r="AF43" s="39" t="s">
        <v>235</v>
      </c>
    </row>
    <row r="44" customFormat="false" ht="12.75" hidden="false" customHeight="false" outlineLevel="0" collapsed="false">
      <c r="A44" s="135" t="n">
        <v>11</v>
      </c>
      <c r="B44" s="136"/>
      <c r="C44" s="137" t="e">
        <f aca="false">+#REF!</f>
        <v>#REF!</v>
      </c>
      <c r="D44" s="137" t="e">
        <f aca="false">+#REF!</f>
        <v>#REF!</v>
      </c>
      <c r="E44" s="37"/>
      <c r="F44" s="37" t="e">
        <f aca="false">+#REF!</f>
        <v>#REF!</v>
      </c>
      <c r="G44" s="129"/>
      <c r="H44" s="42" t="e">
        <f aca="false">ROUND(#REF!/1000,0)</f>
        <v>#REF!</v>
      </c>
      <c r="I44" s="42"/>
      <c r="J44" s="42" t="e">
        <f aca="false">ROUND(#REF!/1000,0)</f>
        <v>#REF!</v>
      </c>
      <c r="K44" s="42"/>
      <c r="L44" s="42" t="e">
        <f aca="false">-ROUND((#REF!-#REF!)/1000,0)</f>
        <v>#REF!</v>
      </c>
      <c r="M44" s="42"/>
      <c r="N44" s="42" t="e">
        <f aca="false">SUM(H44:L44)</f>
        <v>#REF!</v>
      </c>
      <c r="O44" s="42"/>
      <c r="P44" s="42" t="n">
        <v>723</v>
      </c>
      <c r="Q44" s="42"/>
      <c r="R44" s="42" t="n">
        <v>0</v>
      </c>
      <c r="S44" s="42"/>
      <c r="T44" s="42" t="n">
        <v>-328</v>
      </c>
      <c r="U44" s="42"/>
      <c r="V44" s="42" t="n">
        <f aca="false">SUM(P44:T44)</f>
        <v>395</v>
      </c>
      <c r="W44" s="42"/>
      <c r="X44" s="42" t="n">
        <v>525</v>
      </c>
      <c r="Y44" s="42"/>
      <c r="Z44" s="42" t="n">
        <v>0</v>
      </c>
      <c r="AA44" s="42"/>
      <c r="AB44" s="42" t="n">
        <v>-328</v>
      </c>
      <c r="AC44" s="42"/>
      <c r="AD44" s="42" t="n">
        <f aca="false">SUM(X44:AB44)</f>
        <v>197</v>
      </c>
      <c r="AE44" s="71"/>
      <c r="AF44" s="39" t="s">
        <v>108</v>
      </c>
    </row>
    <row r="45" customFormat="false" ht="12.75" hidden="false" customHeight="false" outlineLevel="0" collapsed="false">
      <c r="A45" s="135" t="n">
        <v>11</v>
      </c>
      <c r="B45" s="136"/>
      <c r="C45" s="137" t="e">
        <f aca="false">+#REF!</f>
        <v>#REF!</v>
      </c>
      <c r="D45" s="137" t="e">
        <f aca="false">+#REF!</f>
        <v>#REF!</v>
      </c>
      <c r="E45" s="37"/>
      <c r="F45" s="37" t="e">
        <f aca="false">+#REF!</f>
        <v>#REF!</v>
      </c>
      <c r="G45" s="129"/>
      <c r="H45" s="42" t="e">
        <f aca="false">ROUND(#REF!/1000,0)</f>
        <v>#REF!</v>
      </c>
      <c r="I45" s="42"/>
      <c r="J45" s="42" t="e">
        <f aca="false">ROUND(#REF!/1000,0)</f>
        <v>#REF!</v>
      </c>
      <c r="K45" s="42"/>
      <c r="L45" s="42" t="e">
        <f aca="false">-ROUND((#REF!-#REF!)/1000,0)</f>
        <v>#REF!</v>
      </c>
      <c r="M45" s="42"/>
      <c r="N45" s="42" t="e">
        <f aca="false">SUM(H45:L45)</f>
        <v>#REF!</v>
      </c>
      <c r="O45" s="42"/>
      <c r="P45" s="42" t="n">
        <v>2594</v>
      </c>
      <c r="Q45" s="42"/>
      <c r="R45" s="42" t="n">
        <v>0</v>
      </c>
      <c r="S45" s="42"/>
      <c r="T45" s="42" t="n">
        <v>-1766</v>
      </c>
      <c r="U45" s="42"/>
      <c r="V45" s="42" t="n">
        <f aca="false">SUM(P45:T45)</f>
        <v>828</v>
      </c>
      <c r="W45" s="42"/>
      <c r="X45" s="42" t="n">
        <v>2612</v>
      </c>
      <c r="Y45" s="42"/>
      <c r="Z45" s="42" t="n">
        <v>0</v>
      </c>
      <c r="AA45" s="42"/>
      <c r="AB45" s="42" t="n">
        <v>-1766</v>
      </c>
      <c r="AC45" s="42"/>
      <c r="AD45" s="42" t="n">
        <f aca="false">SUM(X45:AB45)</f>
        <v>846</v>
      </c>
      <c r="AE45" s="71"/>
      <c r="AF45" s="39" t="s">
        <v>156</v>
      </c>
    </row>
    <row r="46" customFormat="false" ht="12.75" hidden="false" customHeight="false" outlineLevel="0" collapsed="false">
      <c r="A46" s="135" t="n">
        <v>49</v>
      </c>
      <c r="B46" s="136"/>
      <c r="C46" s="137" t="e">
        <f aca="false">+#REF!</f>
        <v>#REF!</v>
      </c>
      <c r="D46" s="137" t="e">
        <f aca="false">+#REF!</f>
        <v>#REF!</v>
      </c>
      <c r="E46" s="37"/>
      <c r="F46" s="37" t="e">
        <f aca="false">+#REF!</f>
        <v>#REF!</v>
      </c>
      <c r="G46" s="129"/>
      <c r="H46" s="42" t="e">
        <f aca="false">ROUND(#REF!/1000,0)</f>
        <v>#REF!</v>
      </c>
      <c r="I46" s="42"/>
      <c r="J46" s="42" t="e">
        <f aca="false">ROUND(#REF!/1000,0)</f>
        <v>#REF!</v>
      </c>
      <c r="K46" s="42"/>
      <c r="L46" s="42" t="e">
        <f aca="false">-ROUND((#REF!-#REF!)/1000,0)</f>
        <v>#REF!</v>
      </c>
      <c r="M46" s="42"/>
      <c r="N46" s="42" t="e">
        <f aca="false">SUM(H46:L46)</f>
        <v>#REF!</v>
      </c>
      <c r="O46" s="42"/>
      <c r="P46" s="42" t="n">
        <v>275</v>
      </c>
      <c r="Q46" s="42"/>
      <c r="R46" s="42" t="n">
        <v>-275</v>
      </c>
      <c r="S46" s="42"/>
      <c r="T46" s="42" t="n">
        <v>0</v>
      </c>
      <c r="U46" s="42"/>
      <c r="V46" s="42" t="n">
        <f aca="false">SUM(P46:T46)</f>
        <v>0</v>
      </c>
      <c r="W46" s="42"/>
      <c r="X46" s="42" t="n">
        <v>915</v>
      </c>
      <c r="Y46" s="42"/>
      <c r="Z46" s="42" t="n">
        <v>-915</v>
      </c>
      <c r="AA46" s="42"/>
      <c r="AB46" s="42" t="n">
        <v>0</v>
      </c>
      <c r="AC46" s="42"/>
      <c r="AD46" s="42" t="n">
        <f aca="false">SUM(X46:AB46)</f>
        <v>0</v>
      </c>
      <c r="AE46" s="71"/>
      <c r="AF46" s="39" t="s">
        <v>239</v>
      </c>
    </row>
    <row r="47" customFormat="false" ht="6" hidden="false" customHeight="true" outlineLevel="0" collapsed="false">
      <c r="A47" s="135"/>
      <c r="B47" s="136"/>
      <c r="C47" s="39"/>
      <c r="D47" s="39"/>
      <c r="E47" s="39"/>
      <c r="F47" s="37"/>
      <c r="G47" s="129"/>
      <c r="H47" s="141"/>
      <c r="I47" s="42"/>
      <c r="J47" s="141"/>
      <c r="K47" s="42"/>
      <c r="L47" s="141"/>
      <c r="M47" s="42"/>
      <c r="N47" s="141"/>
      <c r="O47" s="42"/>
      <c r="P47" s="141"/>
      <c r="Q47" s="42"/>
      <c r="R47" s="141"/>
      <c r="S47" s="42"/>
      <c r="T47" s="141"/>
      <c r="U47" s="42"/>
      <c r="V47" s="141"/>
      <c r="W47" s="42"/>
      <c r="X47" s="141"/>
      <c r="Y47" s="42"/>
      <c r="Z47" s="141"/>
      <c r="AA47" s="42"/>
      <c r="AB47" s="141"/>
      <c r="AC47" s="42"/>
      <c r="AD47" s="141"/>
      <c r="AE47" s="71"/>
      <c r="AF47" s="39"/>
    </row>
    <row r="48" customFormat="false" ht="12.75" hidden="false" customHeight="false" outlineLevel="0" collapsed="false">
      <c r="A48" s="135"/>
      <c r="B48" s="136"/>
      <c r="C48" s="39" t="s">
        <v>458</v>
      </c>
      <c r="D48" s="39"/>
      <c r="E48" s="39"/>
      <c r="F48" s="37"/>
      <c r="G48" s="129"/>
      <c r="H48" s="149" t="e">
        <f aca="false">SUM(H33:H47)</f>
        <v>#REF!</v>
      </c>
      <c r="I48" s="42"/>
      <c r="J48" s="149" t="e">
        <f aca="false">SUM(J33:J47)</f>
        <v>#REF!</v>
      </c>
      <c r="K48" s="42"/>
      <c r="L48" s="149" t="e">
        <f aca="false">SUM(L33:L47)</f>
        <v>#REF!</v>
      </c>
      <c r="M48" s="42"/>
      <c r="N48" s="149" t="e">
        <f aca="false">SUM(N33:N47)</f>
        <v>#REF!</v>
      </c>
      <c r="O48" s="42"/>
      <c r="P48" s="149" t="n">
        <f aca="false">SUM(P33:P47)</f>
        <v>24012</v>
      </c>
      <c r="Q48" s="42"/>
      <c r="R48" s="149" t="n">
        <f aca="false">SUM(R33:R47)</f>
        <v>-3191</v>
      </c>
      <c r="S48" s="42"/>
      <c r="T48" s="149" t="n">
        <f aca="false">SUM(T33:T47)</f>
        <v>-3610</v>
      </c>
      <c r="U48" s="42"/>
      <c r="V48" s="149" t="n">
        <f aca="false">SUM(V33:V47)</f>
        <v>17211</v>
      </c>
      <c r="W48" s="42"/>
      <c r="X48" s="149" t="n">
        <f aca="false">SUM(X33:X47)</f>
        <v>23217</v>
      </c>
      <c r="Y48" s="42"/>
      <c r="Z48" s="149" t="n">
        <f aca="false">SUM(Z33:Z47)</f>
        <v>-3832</v>
      </c>
      <c r="AA48" s="42"/>
      <c r="AB48" s="149" t="n">
        <f aca="false">SUM(AB33:AB47)</f>
        <v>-3610</v>
      </c>
      <c r="AC48" s="42"/>
      <c r="AD48" s="149" t="n">
        <f aca="false">SUM(AD33:AD47)</f>
        <v>15775</v>
      </c>
      <c r="AE48" s="71"/>
      <c r="AF48" s="39"/>
    </row>
    <row r="49" customFormat="false" ht="12.75" hidden="false" customHeight="false" outlineLevel="0" collapsed="false">
      <c r="A49" s="135"/>
      <c r="B49" s="136"/>
      <c r="C49" s="39"/>
      <c r="D49" s="39"/>
      <c r="E49" s="39"/>
      <c r="F49" s="37"/>
      <c r="G49" s="129"/>
      <c r="H49" s="42"/>
      <c r="I49" s="42"/>
      <c r="J49" s="42"/>
      <c r="K49" s="42"/>
      <c r="L49" s="42"/>
      <c r="M49" s="42"/>
      <c r="N49" s="42"/>
      <c r="O49" s="42"/>
      <c r="P49" s="42"/>
      <c r="Q49" s="42"/>
      <c r="R49" s="42"/>
      <c r="S49" s="42"/>
      <c r="T49" s="42"/>
      <c r="U49" s="42"/>
      <c r="V49" s="42"/>
      <c r="W49" s="42"/>
      <c r="X49" s="42"/>
      <c r="Y49" s="42"/>
      <c r="Z49" s="42"/>
      <c r="AA49" s="42"/>
      <c r="AB49" s="42"/>
      <c r="AC49" s="42"/>
      <c r="AD49" s="42"/>
      <c r="AE49" s="71"/>
      <c r="AF49" s="39"/>
    </row>
    <row r="50" customFormat="false" ht="12.75" hidden="false" customHeight="false" outlineLevel="0" collapsed="false">
      <c r="A50" s="135"/>
      <c r="B50" s="136"/>
      <c r="C50" s="32" t="s">
        <v>459</v>
      </c>
      <c r="D50" s="39"/>
      <c r="E50" s="39"/>
      <c r="F50" s="37"/>
      <c r="G50" s="129"/>
      <c r="H50" s="42"/>
      <c r="I50" s="42"/>
      <c r="J50" s="42"/>
      <c r="K50" s="42"/>
      <c r="L50" s="42"/>
      <c r="M50" s="42"/>
      <c r="N50" s="42"/>
      <c r="O50" s="42"/>
      <c r="P50" s="42"/>
      <c r="Q50" s="42"/>
      <c r="R50" s="42"/>
      <c r="S50" s="42"/>
      <c r="T50" s="42"/>
      <c r="U50" s="42"/>
      <c r="V50" s="42"/>
      <c r="W50" s="42"/>
      <c r="X50" s="42"/>
      <c r="Y50" s="42"/>
      <c r="Z50" s="42"/>
      <c r="AA50" s="42"/>
      <c r="AB50" s="42"/>
      <c r="AC50" s="42"/>
      <c r="AD50" s="42"/>
      <c r="AE50" s="71"/>
      <c r="AF50" s="39"/>
    </row>
    <row r="51" customFormat="false" ht="12.75" hidden="false" customHeight="false" outlineLevel="0" collapsed="false">
      <c r="A51" s="135" t="n">
        <v>11</v>
      </c>
      <c r="B51" s="136"/>
      <c r="C51" s="137" t="e">
        <f aca="false">+#REF!</f>
        <v>#REF!</v>
      </c>
      <c r="D51" s="137" t="e">
        <f aca="false">+#REF!</f>
        <v>#REF!</v>
      </c>
      <c r="E51" s="37"/>
      <c r="F51" s="37" t="e">
        <f aca="false">+#REF!</f>
        <v>#REF!</v>
      </c>
      <c r="G51" s="129"/>
      <c r="H51" s="42" t="e">
        <f aca="false">ROUND(#REF!/1000,0)</f>
        <v>#REF!</v>
      </c>
      <c r="I51" s="42"/>
      <c r="J51" s="42" t="e">
        <f aca="false">ROUND(#REF!/1000,0)</f>
        <v>#REF!</v>
      </c>
      <c r="K51" s="42"/>
      <c r="L51" s="42" t="e">
        <f aca="false">-ROUND((#REF!-#REF!)/1000,0)</f>
        <v>#REF!</v>
      </c>
      <c r="M51" s="42"/>
      <c r="N51" s="42" t="e">
        <f aca="false">SUM(H51:L51)</f>
        <v>#REF!</v>
      </c>
      <c r="O51" s="42"/>
      <c r="P51" s="42" t="n">
        <v>761</v>
      </c>
      <c r="Q51" s="42"/>
      <c r="R51" s="42" t="n">
        <v>0</v>
      </c>
      <c r="S51" s="42"/>
      <c r="T51" s="42" t="n">
        <v>-243</v>
      </c>
      <c r="U51" s="42"/>
      <c r="V51" s="42" t="n">
        <f aca="false">SUM(P51:T51)</f>
        <v>518</v>
      </c>
      <c r="W51" s="42"/>
      <c r="X51" s="42" t="n">
        <v>457</v>
      </c>
      <c r="Y51" s="42"/>
      <c r="Z51" s="42" t="n">
        <v>0</v>
      </c>
      <c r="AA51" s="42"/>
      <c r="AB51" s="42" t="n">
        <v>-243</v>
      </c>
      <c r="AC51" s="42"/>
      <c r="AD51" s="42" t="n">
        <f aca="false">SUM(X51:AB51)</f>
        <v>214</v>
      </c>
      <c r="AE51" s="71"/>
      <c r="AF51" s="39" t="s">
        <v>108</v>
      </c>
    </row>
    <row r="52" customFormat="false" ht="12.75" hidden="false" customHeight="false" outlineLevel="0" collapsed="false">
      <c r="A52" s="135" t="n">
        <v>11</v>
      </c>
      <c r="B52" s="136"/>
      <c r="C52" s="137" t="e">
        <f aca="false">+#REF!</f>
        <v>#REF!</v>
      </c>
      <c r="D52" s="137" t="e">
        <f aca="false">+#REF!</f>
        <v>#REF!</v>
      </c>
      <c r="E52" s="37"/>
      <c r="F52" s="37" t="e">
        <f aca="false">+#REF!</f>
        <v>#REF!</v>
      </c>
      <c r="G52" s="129"/>
      <c r="H52" s="42" t="e">
        <f aca="false">ROUND(#REF!/1000,0)</f>
        <v>#REF!</v>
      </c>
      <c r="I52" s="42"/>
      <c r="J52" s="42" t="e">
        <f aca="false">ROUND(#REF!/1000,0)</f>
        <v>#REF!</v>
      </c>
      <c r="K52" s="42"/>
      <c r="L52" s="42" t="e">
        <f aca="false">-ROUND((#REF!-#REF!)/1000,0)</f>
        <v>#REF!</v>
      </c>
      <c r="M52" s="42"/>
      <c r="N52" s="42" t="e">
        <f aca="false">SUM(H52:L52)</f>
        <v>#REF!</v>
      </c>
      <c r="O52" s="42"/>
      <c r="P52" s="42" t="n">
        <v>327</v>
      </c>
      <c r="Q52" s="42"/>
      <c r="R52" s="42" t="n">
        <v>0</v>
      </c>
      <c r="S52" s="42"/>
      <c r="T52" s="42" t="n">
        <v>-146</v>
      </c>
      <c r="U52" s="42"/>
      <c r="V52" s="42" t="n">
        <f aca="false">SUM(P52:T52)</f>
        <v>181</v>
      </c>
      <c r="W52" s="42"/>
      <c r="X52" s="42" t="n">
        <v>344</v>
      </c>
      <c r="Y52" s="42"/>
      <c r="Z52" s="42" t="n">
        <v>0</v>
      </c>
      <c r="AA52" s="42"/>
      <c r="AB52" s="42" t="n">
        <v>-146</v>
      </c>
      <c r="AC52" s="42"/>
      <c r="AD52" s="42" t="n">
        <f aca="false">SUM(X52:AB52)</f>
        <v>198</v>
      </c>
      <c r="AE52" s="71"/>
      <c r="AF52" s="39" t="s">
        <v>108</v>
      </c>
    </row>
    <row r="53" customFormat="false" ht="6" hidden="false" customHeight="true" outlineLevel="0" collapsed="false">
      <c r="A53" s="135"/>
      <c r="B53" s="136"/>
      <c r="C53" s="39"/>
      <c r="D53" s="39"/>
      <c r="E53" s="39"/>
      <c r="F53" s="37"/>
      <c r="G53" s="129"/>
      <c r="H53" s="141"/>
      <c r="I53" s="42"/>
      <c r="J53" s="141"/>
      <c r="K53" s="42"/>
      <c r="L53" s="141"/>
      <c r="M53" s="42"/>
      <c r="N53" s="141"/>
      <c r="O53" s="42"/>
      <c r="P53" s="141"/>
      <c r="Q53" s="42"/>
      <c r="R53" s="141"/>
      <c r="S53" s="42"/>
      <c r="T53" s="141"/>
      <c r="U53" s="42"/>
      <c r="V53" s="141"/>
      <c r="W53" s="42"/>
      <c r="X53" s="141"/>
      <c r="Y53" s="42"/>
      <c r="Z53" s="141"/>
      <c r="AA53" s="42"/>
      <c r="AB53" s="141"/>
      <c r="AC53" s="42"/>
      <c r="AD53" s="141"/>
      <c r="AE53" s="71"/>
      <c r="AF53" s="39"/>
    </row>
    <row r="54" customFormat="false" ht="12.75" hidden="false" customHeight="false" outlineLevel="0" collapsed="false">
      <c r="A54" s="135"/>
      <c r="B54" s="136"/>
      <c r="C54" s="39" t="s">
        <v>460</v>
      </c>
      <c r="D54" s="39"/>
      <c r="E54" s="39"/>
      <c r="F54" s="37"/>
      <c r="G54" s="129"/>
      <c r="H54" s="149" t="e">
        <f aca="false">SUM(H51:H53)</f>
        <v>#REF!</v>
      </c>
      <c r="I54" s="42"/>
      <c r="J54" s="149" t="e">
        <f aca="false">SUM(J51:J53)</f>
        <v>#REF!</v>
      </c>
      <c r="K54" s="42"/>
      <c r="L54" s="149" t="e">
        <f aca="false">SUM(L51:L53)</f>
        <v>#REF!</v>
      </c>
      <c r="M54" s="42"/>
      <c r="N54" s="149" t="e">
        <f aca="false">SUM(N51:N53)</f>
        <v>#REF!</v>
      </c>
      <c r="O54" s="42"/>
      <c r="P54" s="149" t="n">
        <f aca="false">SUM(P51:P53)</f>
        <v>1088</v>
      </c>
      <c r="Q54" s="42"/>
      <c r="R54" s="149" t="n">
        <f aca="false">SUM(R51:R53)</f>
        <v>0</v>
      </c>
      <c r="S54" s="42"/>
      <c r="T54" s="149" t="n">
        <f aca="false">SUM(T51:T53)</f>
        <v>-389</v>
      </c>
      <c r="U54" s="42"/>
      <c r="V54" s="149" t="n">
        <f aca="false">SUM(V51:V53)</f>
        <v>699</v>
      </c>
      <c r="W54" s="42"/>
      <c r="X54" s="149" t="n">
        <f aca="false">SUM(X51:X53)</f>
        <v>801</v>
      </c>
      <c r="Y54" s="42"/>
      <c r="Z54" s="149" t="n">
        <f aca="false">SUM(Z51:Z53)</f>
        <v>0</v>
      </c>
      <c r="AA54" s="42"/>
      <c r="AB54" s="149" t="n">
        <f aca="false">SUM(AB51:AB53)</f>
        <v>-389</v>
      </c>
      <c r="AC54" s="42"/>
      <c r="AD54" s="149" t="n">
        <f aca="false">SUM(AD51:AD53)</f>
        <v>412</v>
      </c>
      <c r="AE54" s="71"/>
      <c r="AF54" s="39"/>
    </row>
    <row r="55" customFormat="false" ht="12.75" hidden="false" customHeight="true" outlineLevel="0" collapsed="false">
      <c r="A55" s="135"/>
      <c r="B55" s="136"/>
      <c r="C55" s="38"/>
      <c r="D55" s="4"/>
      <c r="E55" s="4"/>
      <c r="F55" s="68"/>
      <c r="G55" s="140"/>
      <c r="H55" s="42"/>
      <c r="I55" s="42"/>
      <c r="J55" s="42"/>
      <c r="K55" s="42"/>
      <c r="L55" s="42"/>
      <c r="M55" s="42"/>
      <c r="N55" s="42"/>
      <c r="O55" s="42"/>
      <c r="P55" s="42"/>
      <c r="Q55" s="42"/>
      <c r="R55" s="42"/>
      <c r="S55" s="42"/>
      <c r="T55" s="42"/>
      <c r="U55" s="42"/>
      <c r="V55" s="42"/>
      <c r="W55" s="42"/>
      <c r="X55" s="42"/>
      <c r="Y55" s="42"/>
      <c r="Z55" s="42"/>
      <c r="AA55" s="42"/>
      <c r="AB55" s="42"/>
      <c r="AC55" s="42"/>
      <c r="AD55" s="42"/>
      <c r="AE55" s="71"/>
      <c r="AF55" s="39"/>
    </row>
    <row r="56" customFormat="false" ht="11.25" hidden="false" customHeight="true" outlineLevel="0" collapsed="false">
      <c r="A56" s="142"/>
      <c r="B56" s="143"/>
      <c r="C56" s="150" t="s">
        <v>461</v>
      </c>
      <c r="D56" s="151"/>
      <c r="E56" s="151"/>
      <c r="F56" s="152"/>
      <c r="G56" s="153"/>
      <c r="H56" s="147" t="e">
        <f aca="false">+H48+H54</f>
        <v>#REF!</v>
      </c>
      <c r="I56" s="55"/>
      <c r="J56" s="147" t="e">
        <f aca="false">+J48+J54</f>
        <v>#REF!</v>
      </c>
      <c r="K56" s="55"/>
      <c r="L56" s="147" t="e">
        <f aca="false">+L48+L54</f>
        <v>#REF!</v>
      </c>
      <c r="M56" s="55"/>
      <c r="N56" s="147" t="e">
        <f aca="false">+N48+N54</f>
        <v>#REF!</v>
      </c>
      <c r="O56" s="55"/>
      <c r="P56" s="147" t="n">
        <f aca="false">+P48+P54</f>
        <v>25100</v>
      </c>
      <c r="Q56" s="55"/>
      <c r="R56" s="147" t="n">
        <f aca="false">+R48+R54</f>
        <v>-3191</v>
      </c>
      <c r="S56" s="55"/>
      <c r="T56" s="147" t="n">
        <f aca="false">+T48+T54</f>
        <v>-3999</v>
      </c>
      <c r="U56" s="55"/>
      <c r="V56" s="147" t="n">
        <f aca="false">+V48+V54</f>
        <v>17910</v>
      </c>
      <c r="W56" s="55"/>
      <c r="X56" s="147" t="n">
        <f aca="false">+X48+X54</f>
        <v>24018</v>
      </c>
      <c r="Y56" s="55"/>
      <c r="Z56" s="147" t="n">
        <f aca="false">+Z48+Z54</f>
        <v>-3832</v>
      </c>
      <c r="AA56" s="55"/>
      <c r="AB56" s="147" t="n">
        <f aca="false">+AB48+AB54</f>
        <v>-3999</v>
      </c>
      <c r="AC56" s="55"/>
      <c r="AD56" s="147" t="n">
        <f aca="false">+AD48+AD54</f>
        <v>16187</v>
      </c>
      <c r="AE56" s="148"/>
      <c r="AF56" s="144"/>
    </row>
    <row r="57" customFormat="false" ht="12.75" hidden="false" customHeight="false" outlineLevel="0" collapsed="false">
      <c r="A57" s="135"/>
      <c r="B57" s="136"/>
      <c r="C57" s="39"/>
      <c r="D57" s="39"/>
      <c r="E57" s="39"/>
      <c r="F57" s="37"/>
      <c r="G57" s="129"/>
      <c r="H57" s="42"/>
      <c r="I57" s="42"/>
      <c r="J57" s="42"/>
      <c r="K57" s="42"/>
      <c r="L57" s="42"/>
      <c r="M57" s="42"/>
      <c r="N57" s="42"/>
      <c r="O57" s="42"/>
      <c r="P57" s="42"/>
      <c r="Q57" s="42"/>
      <c r="R57" s="42"/>
      <c r="S57" s="42"/>
      <c r="T57" s="42"/>
      <c r="U57" s="42"/>
      <c r="V57" s="42"/>
      <c r="W57" s="42"/>
      <c r="X57" s="42"/>
      <c r="Y57" s="42"/>
      <c r="Z57" s="42"/>
      <c r="AA57" s="42"/>
      <c r="AB57" s="42"/>
      <c r="AC57" s="42"/>
      <c r="AD57" s="42"/>
      <c r="AE57" s="71"/>
      <c r="AF57" s="39"/>
    </row>
    <row r="58" customFormat="false" ht="12.75" hidden="false" customHeight="false" outlineLevel="0" collapsed="false">
      <c r="A58" s="154" t="n">
        <v>11</v>
      </c>
      <c r="B58" s="155"/>
      <c r="C58" s="156" t="e">
        <f aca="false">+#REF!</f>
        <v>#REF!</v>
      </c>
      <c r="D58" s="144" t="e">
        <f aca="false">+#REF!</f>
        <v>#REF!</v>
      </c>
      <c r="E58" s="144"/>
      <c r="F58" s="145" t="e">
        <f aca="false">+#REF!</f>
        <v>#REF!</v>
      </c>
      <c r="G58" s="146"/>
      <c r="H58" s="55" t="e">
        <f aca="false">ROUND(#REF!/1000,0)</f>
        <v>#REF!</v>
      </c>
      <c r="I58" s="55"/>
      <c r="J58" s="55" t="e">
        <f aca="false">ROUND(#REF!/1000,0)</f>
        <v>#REF!</v>
      </c>
      <c r="K58" s="55"/>
      <c r="L58" s="55" t="e">
        <f aca="false">-ROUND((#REF!-#REF!)/1000,0)</f>
        <v>#REF!</v>
      </c>
      <c r="M58" s="55"/>
      <c r="N58" s="55" t="e">
        <f aca="false">SUM(H58:L58)</f>
        <v>#REF!</v>
      </c>
      <c r="O58" s="55"/>
      <c r="P58" s="55" t="n">
        <v>3461</v>
      </c>
      <c r="Q58" s="55"/>
      <c r="R58" s="55" t="n">
        <v>0</v>
      </c>
      <c r="S58" s="55"/>
      <c r="T58" s="55" t="n">
        <v>-62</v>
      </c>
      <c r="U58" s="55"/>
      <c r="V58" s="55" t="n">
        <f aca="false">SUM(P58:T58)</f>
        <v>3399</v>
      </c>
      <c r="W58" s="55"/>
      <c r="X58" s="55" t="n">
        <v>2214</v>
      </c>
      <c r="Y58" s="55"/>
      <c r="Z58" s="55" t="n">
        <v>0</v>
      </c>
      <c r="AA58" s="55"/>
      <c r="AB58" s="55" t="n">
        <v>-62</v>
      </c>
      <c r="AC58" s="55"/>
      <c r="AD58" s="55" t="n">
        <f aca="false">SUM(X58:AB58)</f>
        <v>2152</v>
      </c>
      <c r="AE58" s="148"/>
      <c r="AF58" s="144" t="s">
        <v>462</v>
      </c>
    </row>
    <row r="59" customFormat="false" ht="12.75" hidden="false" customHeight="false" outlineLevel="0" collapsed="false">
      <c r="A59" s="135"/>
      <c r="B59" s="136"/>
      <c r="C59" s="38"/>
      <c r="D59" s="4"/>
      <c r="E59" s="4"/>
      <c r="F59" s="68"/>
      <c r="G59" s="140"/>
      <c r="H59" s="42"/>
      <c r="I59" s="42"/>
      <c r="J59" s="42"/>
      <c r="K59" s="42"/>
      <c r="L59" s="42"/>
      <c r="M59" s="42"/>
      <c r="N59" s="42"/>
      <c r="O59" s="42"/>
      <c r="P59" s="42"/>
      <c r="Q59" s="42"/>
      <c r="R59" s="42"/>
      <c r="S59" s="42"/>
      <c r="T59" s="42"/>
      <c r="U59" s="42"/>
      <c r="V59" s="42"/>
      <c r="W59" s="42"/>
      <c r="X59" s="42"/>
      <c r="Y59" s="42"/>
      <c r="Z59" s="42"/>
      <c r="AA59" s="42"/>
      <c r="AB59" s="42"/>
      <c r="AC59" s="42"/>
      <c r="AD59" s="42"/>
      <c r="AE59" s="71"/>
      <c r="AF59" s="39"/>
    </row>
    <row r="60" customFormat="false" ht="12.75" hidden="false" customHeight="false" outlineLevel="0" collapsed="false">
      <c r="A60" s="142" t="n">
        <v>11</v>
      </c>
      <c r="B60" s="143"/>
      <c r="C60" s="156" t="e">
        <f aca="false">+#REF!</f>
        <v>#REF!</v>
      </c>
      <c r="D60" s="144" t="e">
        <f aca="false">+#REF!</f>
        <v>#REF!</v>
      </c>
      <c r="E60" s="144"/>
      <c r="F60" s="145" t="e">
        <f aca="false">+#REF!</f>
        <v>#REF!</v>
      </c>
      <c r="G60" s="146"/>
      <c r="H60" s="55" t="e">
        <f aca="false">ROUND(#REF!/1000,0)</f>
        <v>#REF!</v>
      </c>
      <c r="I60" s="55"/>
      <c r="J60" s="55" t="e">
        <f aca="false">ROUND(#REF!/1000,0)</f>
        <v>#REF!</v>
      </c>
      <c r="K60" s="55"/>
      <c r="L60" s="55" t="e">
        <f aca="false">-ROUND((#REF!-#REF!)/1000,0)</f>
        <v>#REF!</v>
      </c>
      <c r="M60" s="55"/>
      <c r="N60" s="55" t="e">
        <f aca="false">SUM(H60:L60)</f>
        <v>#REF!</v>
      </c>
      <c r="O60" s="55"/>
      <c r="P60" s="55" t="n">
        <v>2048</v>
      </c>
      <c r="Q60" s="55"/>
      <c r="R60" s="55" t="n">
        <v>-226</v>
      </c>
      <c r="S60" s="55"/>
      <c r="T60" s="55" t="n">
        <v>-634</v>
      </c>
      <c r="U60" s="55"/>
      <c r="V60" s="55" t="n">
        <f aca="false">SUM(P60:T60)</f>
        <v>1188</v>
      </c>
      <c r="W60" s="55"/>
      <c r="X60" s="55" t="n">
        <v>1664</v>
      </c>
      <c r="Y60" s="55"/>
      <c r="Z60" s="55" t="n">
        <v>-226</v>
      </c>
      <c r="AA60" s="55"/>
      <c r="AB60" s="55" t="n">
        <v>-634</v>
      </c>
      <c r="AC60" s="55"/>
      <c r="AD60" s="55" t="n">
        <f aca="false">SUM(X60:AB60)</f>
        <v>804</v>
      </c>
      <c r="AE60" s="148"/>
      <c r="AF60" s="144" t="s">
        <v>156</v>
      </c>
    </row>
    <row r="61" customFormat="false" ht="12.75" hidden="false" customHeight="false" outlineLevel="0" collapsed="false">
      <c r="A61" s="127"/>
      <c r="B61" s="128"/>
      <c r="C61" s="39"/>
      <c r="D61" s="39"/>
      <c r="E61" s="39"/>
      <c r="F61" s="37"/>
      <c r="G61" s="129"/>
      <c r="H61" s="42"/>
      <c r="I61" s="42"/>
      <c r="J61" s="42"/>
      <c r="K61" s="42"/>
      <c r="L61" s="42"/>
      <c r="M61" s="42"/>
      <c r="N61" s="42"/>
      <c r="O61" s="42"/>
      <c r="P61" s="42"/>
      <c r="Q61" s="42"/>
      <c r="R61" s="42"/>
      <c r="S61" s="42"/>
      <c r="T61" s="42"/>
      <c r="U61" s="42"/>
      <c r="V61" s="42"/>
      <c r="W61" s="42"/>
      <c r="X61" s="42"/>
      <c r="Y61" s="42"/>
      <c r="Z61" s="42"/>
      <c r="AA61" s="42"/>
      <c r="AB61" s="42"/>
      <c r="AC61" s="42"/>
      <c r="AD61" s="42"/>
      <c r="AE61" s="71"/>
      <c r="AF61" s="39"/>
    </row>
    <row r="62" customFormat="false" ht="12.75" hidden="false" customHeight="false" outlineLevel="0" collapsed="false">
      <c r="A62" s="135"/>
      <c r="B62" s="136"/>
      <c r="C62" s="157" t="s">
        <v>154</v>
      </c>
      <c r="D62" s="4"/>
      <c r="E62" s="4"/>
      <c r="F62" s="68"/>
      <c r="G62" s="140"/>
      <c r="H62" s="42"/>
      <c r="I62" s="42"/>
      <c r="J62" s="42"/>
      <c r="K62" s="42"/>
      <c r="L62" s="42"/>
      <c r="M62" s="42"/>
      <c r="N62" s="42"/>
      <c r="O62" s="42"/>
      <c r="P62" s="42"/>
      <c r="Q62" s="42"/>
      <c r="R62" s="42"/>
      <c r="S62" s="42"/>
      <c r="T62" s="42"/>
      <c r="U62" s="42"/>
      <c r="V62" s="42"/>
      <c r="W62" s="42"/>
      <c r="X62" s="42"/>
      <c r="Y62" s="42"/>
      <c r="Z62" s="42"/>
      <c r="AA62" s="42"/>
      <c r="AB62" s="42"/>
      <c r="AC62" s="42"/>
      <c r="AD62" s="42"/>
      <c r="AE62" s="71"/>
      <c r="AF62" s="39"/>
    </row>
    <row r="63" customFormat="false" ht="12.75" hidden="false" customHeight="false" outlineLevel="0" collapsed="false">
      <c r="A63" s="135" t="n">
        <v>11</v>
      </c>
      <c r="B63" s="136"/>
      <c r="C63" s="137" t="e">
        <f aca="false">+#REF!</f>
        <v>#REF!</v>
      </c>
      <c r="D63" s="137" t="e">
        <f aca="false">+#REF!</f>
        <v>#REF!</v>
      </c>
      <c r="E63" s="37"/>
      <c r="F63" s="37" t="e">
        <f aca="false">+#REF!</f>
        <v>#REF!</v>
      </c>
      <c r="G63" s="129"/>
      <c r="H63" s="42" t="e">
        <f aca="false">ROUND(#REF!/1000,0)</f>
        <v>#REF!</v>
      </c>
      <c r="I63" s="42"/>
      <c r="J63" s="42" t="e">
        <f aca="false">ROUND(#REF!/1000,0)</f>
        <v>#REF!</v>
      </c>
      <c r="K63" s="42"/>
      <c r="L63" s="42" t="e">
        <f aca="false">-ROUND((#REF!-#REF!)/1000,0)</f>
        <v>#REF!</v>
      </c>
      <c r="M63" s="42"/>
      <c r="N63" s="42" t="e">
        <f aca="false">SUM(H63:L63)</f>
        <v>#REF!</v>
      </c>
      <c r="O63" s="42"/>
      <c r="P63" s="42" t="n">
        <v>3500</v>
      </c>
      <c r="Q63" s="42"/>
      <c r="R63" s="42" t="n">
        <v>-546</v>
      </c>
      <c r="S63" s="42"/>
      <c r="T63" s="42" t="n">
        <v>-1103</v>
      </c>
      <c r="U63" s="42"/>
      <c r="V63" s="42" t="n">
        <f aca="false">SUM(P63:T63)</f>
        <v>1851</v>
      </c>
      <c r="W63" s="42"/>
      <c r="X63" s="42" t="n">
        <v>2717</v>
      </c>
      <c r="Y63" s="42"/>
      <c r="Z63" s="42" t="n">
        <v>-546</v>
      </c>
      <c r="AA63" s="42"/>
      <c r="AB63" s="42" t="n">
        <v>-1103</v>
      </c>
      <c r="AC63" s="42"/>
      <c r="AD63" s="42" t="n">
        <f aca="false">SUM(X63:AB63)</f>
        <v>1068</v>
      </c>
      <c r="AE63" s="71"/>
      <c r="AF63" s="39" t="s">
        <v>156</v>
      </c>
    </row>
    <row r="64" customFormat="false" ht="12.75" hidden="false" customHeight="false" outlineLevel="0" collapsed="false">
      <c r="A64" s="135" t="n">
        <v>11</v>
      </c>
      <c r="B64" s="136"/>
      <c r="C64" s="137" t="e">
        <f aca="false">+#REF!</f>
        <v>#REF!</v>
      </c>
      <c r="D64" s="137" t="e">
        <f aca="false">+#REF!</f>
        <v>#REF!</v>
      </c>
      <c r="E64" s="37"/>
      <c r="F64" s="37" t="e">
        <f aca="false">+#REF!</f>
        <v>#REF!</v>
      </c>
      <c r="G64" s="129"/>
      <c r="H64" s="42" t="e">
        <f aca="false">ROUND(#REF!/1000,0)</f>
        <v>#REF!</v>
      </c>
      <c r="I64" s="42"/>
      <c r="J64" s="42" t="e">
        <f aca="false">ROUND(#REF!/1000,0)</f>
        <v>#REF!</v>
      </c>
      <c r="K64" s="42"/>
      <c r="L64" s="42" t="e">
        <f aca="false">-ROUND((#REF!-#REF!)/1000,0)</f>
        <v>#REF!</v>
      </c>
      <c r="M64" s="42"/>
      <c r="N64" s="42" t="e">
        <f aca="false">SUM(H64:L64)</f>
        <v>#REF!</v>
      </c>
      <c r="O64" s="42"/>
      <c r="P64" s="42" t="n">
        <v>420</v>
      </c>
      <c r="Q64" s="42"/>
      <c r="R64" s="42" t="n">
        <v>-397</v>
      </c>
      <c r="S64" s="42"/>
      <c r="T64" s="42" t="n">
        <v>0</v>
      </c>
      <c r="U64" s="42"/>
      <c r="V64" s="42" t="n">
        <f aca="false">SUM(P64:T64)</f>
        <v>23</v>
      </c>
      <c r="W64" s="42"/>
      <c r="X64" s="42" t="n">
        <v>420</v>
      </c>
      <c r="Y64" s="42"/>
      <c r="Z64" s="42" t="n">
        <v>-397</v>
      </c>
      <c r="AA64" s="42"/>
      <c r="AB64" s="42" t="n">
        <v>0</v>
      </c>
      <c r="AC64" s="42"/>
      <c r="AD64" s="42" t="n">
        <f aca="false">SUM(X64:AB64)</f>
        <v>23</v>
      </c>
      <c r="AE64" s="71"/>
      <c r="AF64" s="39" t="s">
        <v>143</v>
      </c>
    </row>
    <row r="65" customFormat="false" ht="12.75" hidden="false" customHeight="false" outlineLevel="0" collapsed="false">
      <c r="A65" s="135" t="s">
        <v>449</v>
      </c>
      <c r="B65" s="136"/>
      <c r="C65" s="139" t="e">
        <f aca="false">+#REF!</f>
        <v>#REF!</v>
      </c>
      <c r="D65" s="139" t="e">
        <f aca="false">+#REF!</f>
        <v>#REF!</v>
      </c>
      <c r="E65" s="68"/>
      <c r="F65" s="68" t="e">
        <f aca="false">+#REF!</f>
        <v>#REF!</v>
      </c>
      <c r="G65" s="140"/>
      <c r="H65" s="42" t="e">
        <f aca="false">ROUND(#REF!/1000,0)</f>
        <v>#REF!</v>
      </c>
      <c r="I65" s="42"/>
      <c r="J65" s="42" t="e">
        <f aca="false">ROUND(#REF!/1000,0)</f>
        <v>#REF!</v>
      </c>
      <c r="K65" s="42"/>
      <c r="L65" s="42" t="e">
        <f aca="false">-ROUND((#REF!-#REF!)/1000,0)</f>
        <v>#REF!</v>
      </c>
      <c r="M65" s="42"/>
      <c r="N65" s="42" t="e">
        <f aca="false">SUM(H65:L65)</f>
        <v>#REF!</v>
      </c>
      <c r="O65" s="42"/>
      <c r="P65" s="42" t="n">
        <v>3951</v>
      </c>
      <c r="Q65" s="42"/>
      <c r="R65" s="42" t="n">
        <v>-3951</v>
      </c>
      <c r="S65" s="42"/>
      <c r="T65" s="42" t="n">
        <v>0</v>
      </c>
      <c r="U65" s="42"/>
      <c r="V65" s="42" t="n">
        <f aca="false">SUM(P65:T65)</f>
        <v>0</v>
      </c>
      <c r="W65" s="42"/>
      <c r="X65" s="42" t="n">
        <v>3951</v>
      </c>
      <c r="Y65" s="42"/>
      <c r="Z65" s="42" t="n">
        <v>-3951</v>
      </c>
      <c r="AA65" s="42"/>
      <c r="AB65" s="42" t="n">
        <v>0</v>
      </c>
      <c r="AC65" s="42"/>
      <c r="AD65" s="42" t="n">
        <f aca="false">SUM(X65:AB65)</f>
        <v>0</v>
      </c>
      <c r="AE65" s="71"/>
      <c r="AF65" s="39" t="s">
        <v>153</v>
      </c>
    </row>
    <row r="66" customFormat="false" ht="12.75" hidden="false" customHeight="false" outlineLevel="0" collapsed="false">
      <c r="A66" s="135" t="n">
        <v>11</v>
      </c>
      <c r="B66" s="136"/>
      <c r="C66" s="137" t="e">
        <f aca="false">+#REF!</f>
        <v>#REF!</v>
      </c>
      <c r="D66" s="137" t="e">
        <f aca="false">+#REF!</f>
        <v>#REF!</v>
      </c>
      <c r="E66" s="37"/>
      <c r="F66" s="37" t="e">
        <f aca="false">+#REF!</f>
        <v>#REF!</v>
      </c>
      <c r="G66" s="129"/>
      <c r="H66" s="42" t="e">
        <f aca="false">ROUND(#REF!/1000,0)</f>
        <v>#REF!</v>
      </c>
      <c r="I66" s="42"/>
      <c r="J66" s="42" t="e">
        <f aca="false">ROUND(#REF!/1000,0)</f>
        <v>#REF!</v>
      </c>
      <c r="K66" s="42"/>
      <c r="L66" s="42" t="e">
        <f aca="false">-ROUND((#REF!-#REF!)/1000,0)</f>
        <v>#REF!</v>
      </c>
      <c r="M66" s="42"/>
      <c r="N66" s="42" t="e">
        <f aca="false">SUM(H66:L66)</f>
        <v>#REF!</v>
      </c>
      <c r="O66" s="42"/>
      <c r="P66" s="42" t="n">
        <v>2762</v>
      </c>
      <c r="Q66" s="42"/>
      <c r="R66" s="42" t="n">
        <v>-1589</v>
      </c>
      <c r="S66" s="42"/>
      <c r="T66" s="42" t="n">
        <v>-581</v>
      </c>
      <c r="U66" s="42"/>
      <c r="V66" s="42" t="n">
        <f aca="false">SUM(P66:T66)</f>
        <v>592</v>
      </c>
      <c r="W66" s="42"/>
      <c r="X66" s="42" t="n">
        <v>2915</v>
      </c>
      <c r="Y66" s="42"/>
      <c r="Z66" s="42" t="n">
        <v>-1589</v>
      </c>
      <c r="AA66" s="42"/>
      <c r="AB66" s="42" t="n">
        <v>-581</v>
      </c>
      <c r="AC66" s="42"/>
      <c r="AD66" s="42" t="n">
        <f aca="false">SUM(X66:AB66)</f>
        <v>745</v>
      </c>
      <c r="AE66" s="71"/>
      <c r="AF66" s="39" t="s">
        <v>156</v>
      </c>
    </row>
    <row r="67" customFormat="false" ht="12.75" hidden="false" customHeight="false" outlineLevel="0" collapsed="false">
      <c r="A67" s="135" t="s">
        <v>449</v>
      </c>
      <c r="B67" s="136"/>
      <c r="C67" s="137" t="e">
        <f aca="false">+#REF!</f>
        <v>#REF!</v>
      </c>
      <c r="D67" s="137" t="e">
        <f aca="false">+#REF!</f>
        <v>#REF!</v>
      </c>
      <c r="E67" s="37"/>
      <c r="F67" s="37" t="e">
        <f aca="false">+#REF!</f>
        <v>#REF!</v>
      </c>
      <c r="G67" s="129"/>
      <c r="H67" s="42" t="e">
        <f aca="false">ROUND(#REF!/1000,0)</f>
        <v>#REF!</v>
      </c>
      <c r="I67" s="42"/>
      <c r="J67" s="42" t="e">
        <f aca="false">ROUND(#REF!/1000,0)</f>
        <v>#REF!</v>
      </c>
      <c r="K67" s="42"/>
      <c r="L67" s="42" t="e">
        <f aca="false">-ROUND((#REF!-#REF!)/1000,0)</f>
        <v>#REF!</v>
      </c>
      <c r="M67" s="42"/>
      <c r="N67" s="42" t="e">
        <f aca="false">SUM(H67:L67)</f>
        <v>#REF!</v>
      </c>
      <c r="O67" s="42"/>
      <c r="P67" s="42" t="n">
        <v>413</v>
      </c>
      <c r="Q67" s="42"/>
      <c r="R67" s="42" t="n">
        <v>-413</v>
      </c>
      <c r="S67" s="42"/>
      <c r="T67" s="42" t="n">
        <v>0</v>
      </c>
      <c r="U67" s="42"/>
      <c r="V67" s="42" t="n">
        <f aca="false">SUM(P67:T67)</f>
        <v>0</v>
      </c>
      <c r="W67" s="42"/>
      <c r="X67" s="42" t="n">
        <v>441</v>
      </c>
      <c r="Y67" s="42"/>
      <c r="Z67" s="42" t="n">
        <v>-441</v>
      </c>
      <c r="AA67" s="42"/>
      <c r="AB67" s="42" t="n">
        <v>0</v>
      </c>
      <c r="AC67" s="42"/>
      <c r="AD67" s="42" t="n">
        <f aca="false">SUM(X67:AB67)</f>
        <v>0</v>
      </c>
      <c r="AE67" s="71"/>
      <c r="AF67" s="39" t="s">
        <v>156</v>
      </c>
    </row>
    <row r="68" customFormat="false" ht="12.75" hidden="false" customHeight="false" outlineLevel="0" collapsed="false">
      <c r="A68" s="135" t="s">
        <v>449</v>
      </c>
      <c r="B68" s="136"/>
      <c r="C68" s="139" t="e">
        <f aca="false">+#REF!</f>
        <v>#REF!</v>
      </c>
      <c r="D68" s="139" t="e">
        <f aca="false">+#REF!</f>
        <v>#REF!</v>
      </c>
      <c r="E68" s="68"/>
      <c r="F68" s="68" t="e">
        <f aca="false">+#REF!</f>
        <v>#REF!</v>
      </c>
      <c r="G68" s="140"/>
      <c r="H68" s="42" t="e">
        <f aca="false">ROUND(#REF!/1000,0)</f>
        <v>#REF!</v>
      </c>
      <c r="I68" s="42"/>
      <c r="J68" s="42" t="e">
        <f aca="false">ROUND(#REF!/1000,0)</f>
        <v>#REF!</v>
      </c>
      <c r="K68" s="42"/>
      <c r="L68" s="42" t="e">
        <f aca="false">-ROUND((#REF!-#REF!)/1000,0)</f>
        <v>#REF!</v>
      </c>
      <c r="M68" s="42"/>
      <c r="N68" s="42" t="e">
        <f aca="false">SUM(H68:L68)</f>
        <v>#REF!</v>
      </c>
      <c r="O68" s="42"/>
      <c r="P68" s="42" t="n">
        <v>656</v>
      </c>
      <c r="Q68" s="42"/>
      <c r="R68" s="42" t="n">
        <v>-646</v>
      </c>
      <c r="S68" s="42"/>
      <c r="T68" s="42" t="n">
        <v>0</v>
      </c>
      <c r="U68" s="42"/>
      <c r="V68" s="42" t="n">
        <f aca="false">SUM(P68:T68)</f>
        <v>10</v>
      </c>
      <c r="W68" s="42"/>
      <c r="X68" s="42" t="n">
        <v>646</v>
      </c>
      <c r="Y68" s="42"/>
      <c r="Z68" s="42" t="n">
        <v>-646</v>
      </c>
      <c r="AA68" s="42"/>
      <c r="AB68" s="42" t="n">
        <v>0</v>
      </c>
      <c r="AC68" s="42"/>
      <c r="AD68" s="42" t="n">
        <f aca="false">SUM(X68:AB68)</f>
        <v>0</v>
      </c>
      <c r="AE68" s="71"/>
      <c r="AF68" s="39" t="s">
        <v>242</v>
      </c>
    </row>
    <row r="69" customFormat="false" ht="12.75" hidden="false" customHeight="false" outlineLevel="0" collapsed="false">
      <c r="A69" s="135" t="n">
        <v>11</v>
      </c>
      <c r="B69" s="136"/>
      <c r="C69" s="139" t="e">
        <f aca="false">+#REF!</f>
        <v>#REF!</v>
      </c>
      <c r="D69" s="139" t="e">
        <f aca="false">+#REF!</f>
        <v>#REF!</v>
      </c>
      <c r="E69" s="68"/>
      <c r="F69" s="68" t="e">
        <f aca="false">+#REF!</f>
        <v>#REF!</v>
      </c>
      <c r="G69" s="129"/>
      <c r="H69" s="42" t="e">
        <f aca="false">ROUND(#REF!/1000,0)</f>
        <v>#REF!</v>
      </c>
      <c r="I69" s="42"/>
      <c r="J69" s="42" t="e">
        <f aca="false">ROUND(#REF!/1000,0)</f>
        <v>#REF!</v>
      </c>
      <c r="K69" s="42"/>
      <c r="L69" s="42" t="e">
        <f aca="false">-ROUND((#REF!-#REF!)/1000,0)</f>
        <v>#REF!</v>
      </c>
      <c r="M69" s="42"/>
      <c r="N69" s="42" t="e">
        <f aca="false">SUM(H69:L69)</f>
        <v>#REF!</v>
      </c>
      <c r="O69" s="42"/>
      <c r="P69" s="42" t="n">
        <v>1435</v>
      </c>
      <c r="Q69" s="42"/>
      <c r="R69" s="42" t="n">
        <v>0</v>
      </c>
      <c r="S69" s="42"/>
      <c r="T69" s="42" t="n">
        <v>-782</v>
      </c>
      <c r="U69" s="42"/>
      <c r="V69" s="42" t="n">
        <f aca="false">SUM(P69:T69)</f>
        <v>653</v>
      </c>
      <c r="W69" s="42"/>
      <c r="X69" s="42" t="n">
        <v>1253</v>
      </c>
      <c r="Y69" s="42"/>
      <c r="Z69" s="42" t="n">
        <v>0</v>
      </c>
      <c r="AA69" s="42"/>
      <c r="AB69" s="42" t="n">
        <v>-782</v>
      </c>
      <c r="AC69" s="42"/>
      <c r="AD69" s="42" t="n">
        <f aca="false">SUM(X69:AB69)</f>
        <v>471</v>
      </c>
      <c r="AE69" s="71"/>
      <c r="AF69" s="39" t="s">
        <v>108</v>
      </c>
    </row>
    <row r="70" customFormat="false" ht="12.75" hidden="false" customHeight="false" outlineLevel="0" collapsed="false">
      <c r="A70" s="135"/>
      <c r="B70" s="136"/>
      <c r="C70" s="39"/>
      <c r="D70" s="39"/>
      <c r="E70" s="39"/>
      <c r="F70" s="37"/>
      <c r="G70" s="129"/>
      <c r="H70" s="141"/>
      <c r="I70" s="42"/>
      <c r="J70" s="141"/>
      <c r="K70" s="42"/>
      <c r="L70" s="141"/>
      <c r="M70" s="42"/>
      <c r="N70" s="141"/>
      <c r="O70" s="42"/>
      <c r="P70" s="141"/>
      <c r="Q70" s="42"/>
      <c r="R70" s="141"/>
      <c r="S70" s="42"/>
      <c r="T70" s="141"/>
      <c r="U70" s="42"/>
      <c r="V70" s="141"/>
      <c r="W70" s="42"/>
      <c r="X70" s="141"/>
      <c r="Y70" s="42"/>
      <c r="Z70" s="141"/>
      <c r="AA70" s="42"/>
      <c r="AB70" s="141"/>
      <c r="AC70" s="42"/>
      <c r="AD70" s="141"/>
      <c r="AE70" s="71"/>
      <c r="AF70" s="39"/>
    </row>
    <row r="71" customFormat="false" ht="12.75" hidden="false" customHeight="false" outlineLevel="0" collapsed="false">
      <c r="A71" s="142"/>
      <c r="B71" s="143"/>
      <c r="C71" s="144" t="s">
        <v>463</v>
      </c>
      <c r="D71" s="144"/>
      <c r="E71" s="144"/>
      <c r="F71" s="145"/>
      <c r="G71" s="146"/>
      <c r="H71" s="147" t="e">
        <f aca="false">SUM(H63:H70)</f>
        <v>#REF!</v>
      </c>
      <c r="I71" s="55"/>
      <c r="J71" s="147" t="e">
        <f aca="false">SUM(J63:J70)</f>
        <v>#REF!</v>
      </c>
      <c r="K71" s="55"/>
      <c r="L71" s="147" t="e">
        <f aca="false">SUM(L63:L70)</f>
        <v>#REF!</v>
      </c>
      <c r="M71" s="55"/>
      <c r="N71" s="147" t="e">
        <f aca="false">SUM(N63:N70)</f>
        <v>#REF!</v>
      </c>
      <c r="O71" s="55"/>
      <c r="P71" s="147" t="n">
        <f aca="false">SUM(P63:P70)</f>
        <v>13137</v>
      </c>
      <c r="Q71" s="55"/>
      <c r="R71" s="147" t="n">
        <f aca="false">SUM(R63:R70)</f>
        <v>-7542</v>
      </c>
      <c r="S71" s="55"/>
      <c r="T71" s="147" t="n">
        <f aca="false">SUM(T63:T70)</f>
        <v>-2466</v>
      </c>
      <c r="U71" s="55"/>
      <c r="V71" s="147" t="n">
        <f aca="false">SUM(V63:V70)</f>
        <v>3129</v>
      </c>
      <c r="W71" s="55"/>
      <c r="X71" s="147" t="n">
        <f aca="false">SUM(X63:X70)</f>
        <v>12343</v>
      </c>
      <c r="Y71" s="55"/>
      <c r="Z71" s="147" t="n">
        <f aca="false">SUM(Z63:Z70)</f>
        <v>-7570</v>
      </c>
      <c r="AA71" s="55"/>
      <c r="AB71" s="147" t="n">
        <f aca="false">SUM(AB63:AB70)</f>
        <v>-2466</v>
      </c>
      <c r="AC71" s="55"/>
      <c r="AD71" s="147" t="n">
        <f aca="false">SUM(AD63:AD70)</f>
        <v>2307</v>
      </c>
      <c r="AE71" s="148"/>
      <c r="AF71" s="144"/>
    </row>
    <row r="72" customFormat="false" ht="12.75" hidden="false" customHeight="false" outlineLevel="0" collapsed="false">
      <c r="A72" s="135"/>
      <c r="B72" s="136"/>
      <c r="C72" s="39"/>
      <c r="D72" s="39"/>
      <c r="E72" s="39"/>
      <c r="F72" s="37"/>
      <c r="G72" s="129"/>
      <c r="H72" s="42"/>
      <c r="I72" s="42"/>
      <c r="J72" s="42"/>
      <c r="K72" s="42"/>
      <c r="L72" s="42"/>
      <c r="M72" s="42"/>
      <c r="N72" s="42"/>
      <c r="O72" s="42"/>
      <c r="P72" s="42"/>
      <c r="Q72" s="42"/>
      <c r="R72" s="42"/>
      <c r="S72" s="42"/>
      <c r="T72" s="42"/>
      <c r="U72" s="42"/>
      <c r="V72" s="42"/>
      <c r="W72" s="42"/>
      <c r="X72" s="42"/>
      <c r="Y72" s="42"/>
      <c r="Z72" s="42"/>
      <c r="AA72" s="42"/>
      <c r="AB72" s="42"/>
      <c r="AC72" s="42"/>
      <c r="AD72" s="42"/>
      <c r="AE72" s="71"/>
      <c r="AF72" s="39"/>
    </row>
    <row r="73" customFormat="false" ht="12.75" hidden="false" customHeight="false" outlineLevel="0" collapsed="false">
      <c r="A73" s="135"/>
      <c r="B73" s="136"/>
      <c r="C73" s="32" t="s">
        <v>464</v>
      </c>
      <c r="D73" s="39"/>
      <c r="E73" s="39"/>
      <c r="F73" s="37"/>
      <c r="G73" s="129"/>
      <c r="H73" s="42"/>
      <c r="I73" s="42"/>
      <c r="J73" s="42"/>
      <c r="K73" s="42"/>
      <c r="L73" s="42"/>
      <c r="M73" s="42"/>
      <c r="N73" s="42"/>
      <c r="O73" s="42"/>
      <c r="P73" s="42"/>
      <c r="Q73" s="42"/>
      <c r="R73" s="42"/>
      <c r="S73" s="42"/>
      <c r="T73" s="42"/>
      <c r="U73" s="42"/>
      <c r="V73" s="42"/>
      <c r="W73" s="42"/>
      <c r="X73" s="42"/>
      <c r="Y73" s="42"/>
      <c r="Z73" s="42"/>
      <c r="AA73" s="42"/>
      <c r="AB73" s="42"/>
      <c r="AC73" s="42"/>
      <c r="AD73" s="42"/>
      <c r="AE73" s="71"/>
      <c r="AF73" s="39"/>
    </row>
    <row r="74" customFormat="false" ht="12.75" hidden="false" customHeight="false" outlineLevel="0" collapsed="false">
      <c r="A74" s="135" t="s">
        <v>449</v>
      </c>
      <c r="B74" s="136"/>
      <c r="C74" s="137" t="e">
        <f aca="false">+#REF!</f>
        <v>#REF!</v>
      </c>
      <c r="D74" s="137" t="e">
        <f aca="false">+#REF!</f>
        <v>#REF!</v>
      </c>
      <c r="E74" s="37"/>
      <c r="F74" s="37" t="e">
        <f aca="false">+#REF!</f>
        <v>#REF!</v>
      </c>
      <c r="G74" s="129"/>
      <c r="H74" s="42" t="e">
        <f aca="false">ROUND(#REF!/1000,0)</f>
        <v>#REF!</v>
      </c>
      <c r="I74" s="42"/>
      <c r="J74" s="42" t="e">
        <f aca="false">ROUND(#REF!/1000,0)</f>
        <v>#REF!</v>
      </c>
      <c r="K74" s="42"/>
      <c r="L74" s="42" t="e">
        <f aca="false">-ROUND((#REF!-#REF!)/1000,0)</f>
        <v>#REF!</v>
      </c>
      <c r="M74" s="42"/>
      <c r="N74" s="42" t="e">
        <f aca="false">SUM(H74:L74)</f>
        <v>#REF!</v>
      </c>
      <c r="O74" s="42"/>
      <c r="P74" s="42" t="n">
        <v>5925</v>
      </c>
      <c r="Q74" s="42"/>
      <c r="R74" s="42" t="n">
        <v>-2156</v>
      </c>
      <c r="S74" s="42"/>
      <c r="T74" s="42" t="n">
        <v>-1099</v>
      </c>
      <c r="U74" s="42"/>
      <c r="V74" s="42" t="n">
        <f aca="false">SUM(P74:T74)</f>
        <v>2670</v>
      </c>
      <c r="W74" s="42"/>
      <c r="X74" s="42" t="n">
        <v>5925</v>
      </c>
      <c r="Y74" s="42"/>
      <c r="Z74" s="42" t="n">
        <v>-4311</v>
      </c>
      <c r="AA74" s="42"/>
      <c r="AB74" s="42" t="n">
        <v>-1099</v>
      </c>
      <c r="AC74" s="42"/>
      <c r="AD74" s="42" t="n">
        <f aca="false">SUM(X74:AB74)</f>
        <v>515</v>
      </c>
      <c r="AE74" s="71"/>
      <c r="AF74" s="39" t="s">
        <v>465</v>
      </c>
    </row>
    <row r="75" customFormat="false" ht="12.75" hidden="false" customHeight="false" outlineLevel="0" collapsed="false">
      <c r="A75" s="135" t="n">
        <v>11</v>
      </c>
      <c r="B75" s="136"/>
      <c r="C75" s="137" t="e">
        <f aca="false">+#REF!</f>
        <v>#REF!</v>
      </c>
      <c r="D75" s="137" t="e">
        <f aca="false">+#REF!</f>
        <v>#REF!</v>
      </c>
      <c r="E75" s="37"/>
      <c r="F75" s="37" t="e">
        <f aca="false">+#REF!</f>
        <v>#REF!</v>
      </c>
      <c r="G75" s="129"/>
      <c r="H75" s="42" t="e">
        <f aca="false">ROUND(#REF!/1000,0)</f>
        <v>#REF!</v>
      </c>
      <c r="I75" s="42"/>
      <c r="J75" s="42" t="e">
        <f aca="false">ROUND(#REF!/1000,0)</f>
        <v>#REF!</v>
      </c>
      <c r="K75" s="42"/>
      <c r="L75" s="42" t="e">
        <f aca="false">-ROUND((#REF!-#REF!)/1000,0)</f>
        <v>#REF!</v>
      </c>
      <c r="M75" s="42"/>
      <c r="N75" s="42" t="e">
        <f aca="false">SUM(H75:L75)</f>
        <v>#REF!</v>
      </c>
      <c r="O75" s="42"/>
      <c r="P75" s="42" t="n">
        <v>1133</v>
      </c>
      <c r="Q75" s="42"/>
      <c r="R75" s="42" t="n">
        <v>0</v>
      </c>
      <c r="S75" s="42"/>
      <c r="T75" s="42" t="n">
        <v>-648</v>
      </c>
      <c r="U75" s="42"/>
      <c r="V75" s="42" t="n">
        <f aca="false">SUM(P75:T75)</f>
        <v>485</v>
      </c>
      <c r="W75" s="42"/>
      <c r="X75" s="42" t="n">
        <v>1133</v>
      </c>
      <c r="Y75" s="42"/>
      <c r="Z75" s="42" t="n">
        <v>0</v>
      </c>
      <c r="AA75" s="42"/>
      <c r="AB75" s="42" t="n">
        <v>-648</v>
      </c>
      <c r="AC75" s="42"/>
      <c r="AD75" s="42" t="n">
        <f aca="false">SUM(X75:AB75)</f>
        <v>485</v>
      </c>
      <c r="AE75" s="71"/>
      <c r="AF75" s="39" t="s">
        <v>108</v>
      </c>
    </row>
    <row r="76" customFormat="false" ht="12.75" hidden="false" customHeight="false" outlineLevel="0" collapsed="false">
      <c r="A76" s="135" t="s">
        <v>449</v>
      </c>
      <c r="B76" s="136"/>
      <c r="C76" s="137" t="e">
        <f aca="false">+#REF!</f>
        <v>#REF!</v>
      </c>
      <c r="D76" s="137" t="e">
        <f aca="false">+#REF!</f>
        <v>#REF!</v>
      </c>
      <c r="E76" s="37"/>
      <c r="F76" s="37" t="e">
        <f aca="false">+#REF!</f>
        <v>#REF!</v>
      </c>
      <c r="G76" s="129"/>
      <c r="H76" s="42" t="e">
        <f aca="false">ROUND(#REF!/1000,0)</f>
        <v>#REF!</v>
      </c>
      <c r="I76" s="42"/>
      <c r="J76" s="42" t="e">
        <f aca="false">ROUND(#REF!/1000,0)</f>
        <v>#REF!</v>
      </c>
      <c r="K76" s="42"/>
      <c r="L76" s="42" t="e">
        <f aca="false">-ROUND((#REF!-#REF!)/1000,0)</f>
        <v>#REF!</v>
      </c>
      <c r="M76" s="42"/>
      <c r="N76" s="42" t="e">
        <f aca="false">SUM(H76:L76)</f>
        <v>#REF!</v>
      </c>
      <c r="O76" s="42"/>
      <c r="P76" s="42" t="n">
        <v>5398</v>
      </c>
      <c r="Q76" s="42"/>
      <c r="R76" s="42" t="n">
        <v>-5398</v>
      </c>
      <c r="S76" s="42"/>
      <c r="T76" s="42" t="n">
        <v>0</v>
      </c>
      <c r="U76" s="42"/>
      <c r="V76" s="42" t="n">
        <f aca="false">SUM(P76:T76)</f>
        <v>0</v>
      </c>
      <c r="W76" s="42"/>
      <c r="X76" s="42" t="n">
        <v>5398</v>
      </c>
      <c r="Y76" s="42"/>
      <c r="Z76" s="42" t="n">
        <v>-5398</v>
      </c>
      <c r="AA76" s="42"/>
      <c r="AB76" s="42" t="n">
        <v>0</v>
      </c>
      <c r="AC76" s="42"/>
      <c r="AD76" s="42" t="n">
        <f aca="false">SUM(X76:AB76)</f>
        <v>0</v>
      </c>
      <c r="AE76" s="71"/>
      <c r="AF76" s="39" t="s">
        <v>156</v>
      </c>
    </row>
    <row r="77" customFormat="false" ht="12.75" hidden="false" customHeight="false" outlineLevel="0" collapsed="false">
      <c r="A77" s="135" t="n">
        <v>11</v>
      </c>
      <c r="B77" s="136"/>
      <c r="C77" s="137" t="e">
        <f aca="false">+#REF!</f>
        <v>#REF!</v>
      </c>
      <c r="D77" s="137" t="e">
        <f aca="false">+#REF!</f>
        <v>#REF!</v>
      </c>
      <c r="E77" s="37"/>
      <c r="F77" s="37" t="e">
        <f aca="false">+#REF!</f>
        <v>#REF!</v>
      </c>
      <c r="G77" s="129"/>
      <c r="H77" s="42" t="e">
        <f aca="false">ROUND(#REF!/1000,0)</f>
        <v>#REF!</v>
      </c>
      <c r="I77" s="42"/>
      <c r="J77" s="42" t="e">
        <f aca="false">ROUND(#REF!/1000,0)</f>
        <v>#REF!</v>
      </c>
      <c r="K77" s="42"/>
      <c r="L77" s="42" t="e">
        <f aca="false">-ROUND((#REF!-#REF!)/1000,0)</f>
        <v>#REF!</v>
      </c>
      <c r="M77" s="42"/>
      <c r="N77" s="42" t="e">
        <f aca="false">SUM(H77:L77)</f>
        <v>#REF!</v>
      </c>
      <c r="O77" s="42"/>
      <c r="P77" s="42" t="n">
        <v>1954</v>
      </c>
      <c r="Q77" s="42"/>
      <c r="R77" s="42" t="n">
        <v>-977</v>
      </c>
      <c r="S77" s="42"/>
      <c r="T77" s="42" t="n">
        <v>0</v>
      </c>
      <c r="U77" s="42"/>
      <c r="V77" s="42" t="n">
        <f aca="false">SUM(P77:T77)</f>
        <v>977</v>
      </c>
      <c r="W77" s="42"/>
      <c r="X77" s="42" t="n">
        <v>1954</v>
      </c>
      <c r="Y77" s="42"/>
      <c r="Z77" s="42" t="n">
        <v>-1954</v>
      </c>
      <c r="AA77" s="42"/>
      <c r="AB77" s="42" t="n">
        <v>0</v>
      </c>
      <c r="AC77" s="42"/>
      <c r="AD77" s="42" t="n">
        <f aca="false">SUM(X77:AB77)</f>
        <v>0</v>
      </c>
      <c r="AE77" s="71"/>
      <c r="AF77" s="39" t="s">
        <v>156</v>
      </c>
    </row>
    <row r="78" customFormat="false" ht="12.75" hidden="false" customHeight="false" outlineLevel="0" collapsed="false">
      <c r="A78" s="135" t="s">
        <v>449</v>
      </c>
      <c r="B78" s="136"/>
      <c r="C78" s="137" t="e">
        <f aca="false">+#REF!</f>
        <v>#REF!</v>
      </c>
      <c r="D78" s="137" t="e">
        <f aca="false">+#REF!</f>
        <v>#REF!</v>
      </c>
      <c r="E78" s="37"/>
      <c r="F78" s="37" t="e">
        <f aca="false">+#REF!</f>
        <v>#REF!</v>
      </c>
      <c r="G78" s="129"/>
      <c r="H78" s="42" t="e">
        <f aca="false">ROUND(#REF!/1000,0)</f>
        <v>#REF!</v>
      </c>
      <c r="I78" s="42"/>
      <c r="J78" s="42" t="e">
        <f aca="false">ROUND(#REF!/1000,0)</f>
        <v>#REF!</v>
      </c>
      <c r="K78" s="42"/>
      <c r="L78" s="42" t="e">
        <f aca="false">-ROUND((#REF!-#REF!)/1000,0)</f>
        <v>#REF!</v>
      </c>
      <c r="M78" s="42"/>
      <c r="N78" s="42" t="e">
        <f aca="false">SUM(H78:L78)</f>
        <v>#REF!</v>
      </c>
      <c r="O78" s="42"/>
      <c r="P78" s="42" t="n">
        <v>6683</v>
      </c>
      <c r="Q78" s="42"/>
      <c r="R78" s="42" t="n">
        <v>-3342</v>
      </c>
      <c r="S78" s="42"/>
      <c r="T78" s="42" t="n">
        <v>0</v>
      </c>
      <c r="U78" s="42"/>
      <c r="V78" s="42" t="n">
        <f aca="false">SUM(P78:T78)</f>
        <v>3341</v>
      </c>
      <c r="W78" s="42"/>
      <c r="X78" s="42" t="n">
        <v>6683</v>
      </c>
      <c r="Y78" s="42"/>
      <c r="Z78" s="42" t="n">
        <v>-6683</v>
      </c>
      <c r="AA78" s="42"/>
      <c r="AB78" s="42" t="n">
        <v>0</v>
      </c>
      <c r="AC78" s="42"/>
      <c r="AD78" s="42" t="n">
        <f aca="false">SUM(X78:AB78)</f>
        <v>0</v>
      </c>
      <c r="AE78" s="71"/>
      <c r="AF78" s="39" t="s">
        <v>156</v>
      </c>
    </row>
    <row r="79" customFormat="false" ht="12.75" hidden="false" customHeight="false" outlineLevel="0" collapsed="false">
      <c r="A79" s="135" t="s">
        <v>449</v>
      </c>
      <c r="B79" s="136"/>
      <c r="C79" s="137" t="e">
        <f aca="false">+#REF!</f>
        <v>#REF!</v>
      </c>
      <c r="D79" s="137" t="e">
        <f aca="false">+#REF!</f>
        <v>#REF!</v>
      </c>
      <c r="E79" s="37"/>
      <c r="F79" s="37" t="e">
        <f aca="false">+#REF!</f>
        <v>#REF!</v>
      </c>
      <c r="G79" s="129"/>
      <c r="H79" s="42" t="e">
        <f aca="false">ROUND(#REF!/1000,0)</f>
        <v>#REF!</v>
      </c>
      <c r="I79" s="42"/>
      <c r="J79" s="42" t="e">
        <f aca="false">ROUND(#REF!/1000,0)</f>
        <v>#REF!</v>
      </c>
      <c r="K79" s="42"/>
      <c r="L79" s="42" t="e">
        <f aca="false">-ROUND((#REF!-#REF!)/1000,0)</f>
        <v>#REF!</v>
      </c>
      <c r="M79" s="42"/>
      <c r="N79" s="42" t="e">
        <f aca="false">SUM(H79:L79)</f>
        <v>#REF!</v>
      </c>
      <c r="O79" s="42"/>
      <c r="P79" s="42" t="n">
        <v>2263</v>
      </c>
      <c r="Q79" s="42"/>
      <c r="R79" s="42" t="n">
        <v>-1132</v>
      </c>
      <c r="S79" s="42"/>
      <c r="T79" s="42" t="n">
        <v>0</v>
      </c>
      <c r="U79" s="42"/>
      <c r="V79" s="42" t="n">
        <f aca="false">SUM(P79:T79)</f>
        <v>1131</v>
      </c>
      <c r="W79" s="42"/>
      <c r="X79" s="42" t="n">
        <v>2263</v>
      </c>
      <c r="Y79" s="42"/>
      <c r="Z79" s="42" t="n">
        <v>-2263</v>
      </c>
      <c r="AA79" s="42"/>
      <c r="AB79" s="42" t="n">
        <v>0</v>
      </c>
      <c r="AC79" s="42"/>
      <c r="AD79" s="42" t="n">
        <f aca="false">SUM(X79:AB79)</f>
        <v>0</v>
      </c>
      <c r="AE79" s="71"/>
      <c r="AF79" s="39" t="s">
        <v>156</v>
      </c>
    </row>
    <row r="80" customFormat="false" ht="12.75" hidden="false" customHeight="false" outlineLevel="0" collapsed="false">
      <c r="A80" s="135" t="s">
        <v>449</v>
      </c>
      <c r="B80" s="136"/>
      <c r="C80" s="137" t="e">
        <f aca="false">+#REF!</f>
        <v>#REF!</v>
      </c>
      <c r="D80" s="137" t="e">
        <f aca="false">+#REF!</f>
        <v>#REF!</v>
      </c>
      <c r="E80" s="37"/>
      <c r="F80" s="37" t="e">
        <f aca="false">+#REF!</f>
        <v>#REF!</v>
      </c>
      <c r="G80" s="129"/>
      <c r="H80" s="42" t="e">
        <f aca="false">ROUND(#REF!/1000,0)</f>
        <v>#REF!</v>
      </c>
      <c r="I80" s="42"/>
      <c r="J80" s="42" t="e">
        <f aca="false">ROUND(#REF!/1000,0)</f>
        <v>#REF!</v>
      </c>
      <c r="K80" s="42"/>
      <c r="L80" s="42" t="e">
        <f aca="false">-ROUND((#REF!-#REF!)/1000,0)</f>
        <v>#REF!</v>
      </c>
      <c r="M80" s="42"/>
      <c r="N80" s="42" t="e">
        <f aca="false">SUM(H80:L80)</f>
        <v>#REF!</v>
      </c>
      <c r="O80" s="42"/>
      <c r="P80" s="42" t="n">
        <v>1625</v>
      </c>
      <c r="Q80" s="42"/>
      <c r="R80" s="42" t="n">
        <v>-813</v>
      </c>
      <c r="S80" s="42"/>
      <c r="T80" s="42" t="n">
        <v>0</v>
      </c>
      <c r="U80" s="42"/>
      <c r="V80" s="42" t="n">
        <f aca="false">SUM(P80:T80)</f>
        <v>812</v>
      </c>
      <c r="W80" s="42"/>
      <c r="X80" s="42" t="n">
        <v>1625</v>
      </c>
      <c r="Y80" s="42"/>
      <c r="Z80" s="42" t="n">
        <v>-1625</v>
      </c>
      <c r="AA80" s="42"/>
      <c r="AB80" s="42" t="n">
        <v>0</v>
      </c>
      <c r="AC80" s="42"/>
      <c r="AD80" s="42" t="n">
        <f aca="false">SUM(X80:AB80)</f>
        <v>0</v>
      </c>
      <c r="AE80" s="71"/>
      <c r="AF80" s="39" t="s">
        <v>156</v>
      </c>
    </row>
    <row r="81" customFormat="false" ht="12.75" hidden="false" customHeight="false" outlineLevel="0" collapsed="false">
      <c r="A81" s="135" t="s">
        <v>449</v>
      </c>
      <c r="B81" s="136"/>
      <c r="C81" s="137" t="e">
        <f aca="false">+#REF!</f>
        <v>#REF!</v>
      </c>
      <c r="D81" s="137" t="e">
        <f aca="false">+#REF!</f>
        <v>#REF!</v>
      </c>
      <c r="E81" s="37"/>
      <c r="F81" s="37" t="e">
        <f aca="false">+#REF!</f>
        <v>#REF!</v>
      </c>
      <c r="G81" s="129"/>
      <c r="H81" s="42" t="e">
        <f aca="false">ROUND(#REF!/1000,0)</f>
        <v>#REF!</v>
      </c>
      <c r="I81" s="42"/>
      <c r="J81" s="42" t="e">
        <f aca="false">ROUND(#REF!/1000,0)</f>
        <v>#REF!</v>
      </c>
      <c r="K81" s="42"/>
      <c r="L81" s="42" t="e">
        <f aca="false">-ROUND((#REF!-#REF!)/1000,0)</f>
        <v>#REF!</v>
      </c>
      <c r="M81" s="42"/>
      <c r="N81" s="42" t="e">
        <f aca="false">SUM(H81:L81)</f>
        <v>#REF!</v>
      </c>
      <c r="O81" s="42"/>
      <c r="P81" s="42" t="n">
        <v>1031</v>
      </c>
      <c r="Q81" s="42"/>
      <c r="R81" s="42" t="n">
        <v>-516</v>
      </c>
      <c r="S81" s="42"/>
      <c r="T81" s="42" t="n">
        <v>0</v>
      </c>
      <c r="U81" s="42"/>
      <c r="V81" s="42" t="n">
        <f aca="false">SUM(P81:T81)</f>
        <v>515</v>
      </c>
      <c r="W81" s="42"/>
      <c r="X81" s="42" t="n">
        <v>1031</v>
      </c>
      <c r="Y81" s="42"/>
      <c r="Z81" s="42" t="n">
        <v>-1031</v>
      </c>
      <c r="AA81" s="42"/>
      <c r="AB81" s="42" t="n">
        <v>0</v>
      </c>
      <c r="AC81" s="42"/>
      <c r="AD81" s="42" t="n">
        <f aca="false">SUM(X81:AB81)</f>
        <v>0</v>
      </c>
      <c r="AE81" s="71"/>
      <c r="AF81" s="39" t="s">
        <v>156</v>
      </c>
    </row>
    <row r="82" customFormat="false" ht="12.75" hidden="false" customHeight="false" outlineLevel="0" collapsed="false">
      <c r="A82" s="135" t="s">
        <v>449</v>
      </c>
      <c r="B82" s="136"/>
      <c r="C82" s="137" t="e">
        <f aca="false">+#REF!</f>
        <v>#REF!</v>
      </c>
      <c r="D82" s="137" t="e">
        <f aca="false">+#REF!</f>
        <v>#REF!</v>
      </c>
      <c r="E82" s="37"/>
      <c r="F82" s="37" t="e">
        <f aca="false">+#REF!</f>
        <v>#REF!</v>
      </c>
      <c r="G82" s="129"/>
      <c r="H82" s="42" t="e">
        <f aca="false">ROUND(#REF!/1000,0)</f>
        <v>#REF!</v>
      </c>
      <c r="I82" s="42"/>
      <c r="J82" s="42" t="e">
        <f aca="false">ROUND(#REF!/1000,0)</f>
        <v>#REF!</v>
      </c>
      <c r="K82" s="42"/>
      <c r="L82" s="42" t="e">
        <f aca="false">-ROUND((#REF!-#REF!)/1000,0)</f>
        <v>#REF!</v>
      </c>
      <c r="M82" s="42"/>
      <c r="N82" s="42" t="e">
        <f aca="false">SUM(H82:L82)</f>
        <v>#REF!</v>
      </c>
      <c r="O82" s="42"/>
      <c r="P82" s="42" t="n">
        <v>2405</v>
      </c>
      <c r="Q82" s="42"/>
      <c r="R82" s="42" t="n">
        <v>-1203</v>
      </c>
      <c r="S82" s="42"/>
      <c r="T82" s="42" t="n">
        <v>0</v>
      </c>
      <c r="U82" s="42"/>
      <c r="V82" s="42" t="n">
        <f aca="false">SUM(P82:T82)</f>
        <v>1202</v>
      </c>
      <c r="W82" s="42"/>
      <c r="X82" s="42" t="n">
        <v>2405</v>
      </c>
      <c r="Y82" s="42"/>
      <c r="Z82" s="42" t="n">
        <v>-2405</v>
      </c>
      <c r="AA82" s="42"/>
      <c r="AB82" s="42" t="n">
        <v>0</v>
      </c>
      <c r="AC82" s="42"/>
      <c r="AD82" s="42" t="n">
        <f aca="false">SUM(X82:AB82)</f>
        <v>0</v>
      </c>
      <c r="AE82" s="71"/>
      <c r="AF82" s="39" t="s">
        <v>156</v>
      </c>
    </row>
    <row r="83" customFormat="false" ht="12.75" hidden="false" customHeight="false" outlineLevel="0" collapsed="false">
      <c r="A83" s="135" t="s">
        <v>449</v>
      </c>
      <c r="B83" s="136"/>
      <c r="C83" s="137" t="e">
        <f aca="false">+#REF!</f>
        <v>#REF!</v>
      </c>
      <c r="D83" s="137" t="e">
        <f aca="false">+#REF!</f>
        <v>#REF!</v>
      </c>
      <c r="E83" s="37"/>
      <c r="F83" s="37" t="e">
        <f aca="false">+#REF!</f>
        <v>#REF!</v>
      </c>
      <c r="G83" s="129"/>
      <c r="H83" s="42" t="e">
        <f aca="false">ROUND(#REF!/1000,0)</f>
        <v>#REF!</v>
      </c>
      <c r="I83" s="42"/>
      <c r="J83" s="42" t="e">
        <f aca="false">ROUND(#REF!/1000,0)</f>
        <v>#REF!</v>
      </c>
      <c r="K83" s="42"/>
      <c r="L83" s="42" t="e">
        <f aca="false">-ROUND((#REF!-#REF!)/1000,0)</f>
        <v>#REF!</v>
      </c>
      <c r="M83" s="42"/>
      <c r="N83" s="42" t="e">
        <f aca="false">SUM(H83:L83)</f>
        <v>#REF!</v>
      </c>
      <c r="O83" s="42"/>
      <c r="P83" s="42" t="n">
        <v>823</v>
      </c>
      <c r="Q83" s="42"/>
      <c r="R83" s="42" t="n">
        <v>0</v>
      </c>
      <c r="S83" s="42"/>
      <c r="T83" s="42" t="n">
        <v>0</v>
      </c>
      <c r="U83" s="42"/>
      <c r="V83" s="42" t="n">
        <f aca="false">SUM(P83:T83)</f>
        <v>823</v>
      </c>
      <c r="W83" s="42"/>
      <c r="X83" s="42" t="n">
        <v>823</v>
      </c>
      <c r="Y83" s="42"/>
      <c r="Z83" s="42" t="n">
        <v>-823</v>
      </c>
      <c r="AA83" s="42"/>
      <c r="AB83" s="42" t="n">
        <v>0</v>
      </c>
      <c r="AC83" s="42"/>
      <c r="AD83" s="42" t="n">
        <f aca="false">SUM(X83:AB83)</f>
        <v>0</v>
      </c>
      <c r="AE83" s="71"/>
      <c r="AF83" s="39" t="s">
        <v>156</v>
      </c>
    </row>
    <row r="84" customFormat="false" ht="12.75" hidden="false" customHeight="false" outlineLevel="0" collapsed="false">
      <c r="A84" s="135" t="s">
        <v>449</v>
      </c>
      <c r="B84" s="136"/>
      <c r="C84" s="137" t="e">
        <f aca="false">+#REF!</f>
        <v>#REF!</v>
      </c>
      <c r="D84" s="137" t="e">
        <f aca="false">+#REF!</f>
        <v>#REF!</v>
      </c>
      <c r="E84" s="37"/>
      <c r="F84" s="37" t="e">
        <f aca="false">+#REF!</f>
        <v>#REF!</v>
      </c>
      <c r="G84" s="129"/>
      <c r="H84" s="42" t="e">
        <f aca="false">ROUND(#REF!/1000,0)</f>
        <v>#REF!</v>
      </c>
      <c r="I84" s="42"/>
      <c r="J84" s="42" t="e">
        <f aca="false">ROUND(#REF!/1000,0)</f>
        <v>#REF!</v>
      </c>
      <c r="K84" s="42"/>
      <c r="L84" s="42" t="e">
        <f aca="false">-ROUND((#REF!-#REF!)/1000,0)</f>
        <v>#REF!</v>
      </c>
      <c r="M84" s="42"/>
      <c r="N84" s="42" t="e">
        <f aca="false">SUM(H84:L84)</f>
        <v>#REF!</v>
      </c>
      <c r="O84" s="42"/>
      <c r="P84" s="42" t="n">
        <v>3500</v>
      </c>
      <c r="Q84" s="42"/>
      <c r="R84" s="42" t="n">
        <v>-1273</v>
      </c>
      <c r="S84" s="42"/>
      <c r="T84" s="42" t="n">
        <v>0</v>
      </c>
      <c r="U84" s="42"/>
      <c r="V84" s="42" t="n">
        <f aca="false">SUM(P84:T84)</f>
        <v>2227</v>
      </c>
      <c r="W84" s="42"/>
      <c r="X84" s="42" t="n">
        <v>2545</v>
      </c>
      <c r="Y84" s="42"/>
      <c r="Z84" s="42" t="n">
        <v>-2545</v>
      </c>
      <c r="AA84" s="42"/>
      <c r="AB84" s="42" t="n">
        <v>0</v>
      </c>
      <c r="AC84" s="42"/>
      <c r="AD84" s="42" t="n">
        <f aca="false">SUM(X84:AB84)</f>
        <v>0</v>
      </c>
      <c r="AE84" s="71"/>
      <c r="AF84" s="39" t="s">
        <v>156</v>
      </c>
    </row>
    <row r="85" customFormat="false" ht="12.75" hidden="false" customHeight="false" outlineLevel="0" collapsed="false">
      <c r="A85" s="135" t="s">
        <v>449</v>
      </c>
      <c r="B85" s="136"/>
      <c r="C85" s="137" t="e">
        <f aca="false">+#REF!</f>
        <v>#REF!</v>
      </c>
      <c r="D85" s="137" t="e">
        <f aca="false">+#REF!</f>
        <v>#REF!</v>
      </c>
      <c r="E85" s="37"/>
      <c r="F85" s="37" t="e">
        <f aca="false">+#REF!</f>
        <v>#REF!</v>
      </c>
      <c r="G85" s="129"/>
      <c r="H85" s="42" t="e">
        <f aca="false">ROUND(#REF!/1000,0)</f>
        <v>#REF!</v>
      </c>
      <c r="I85" s="42"/>
      <c r="J85" s="42" t="e">
        <f aca="false">ROUND(#REF!/1000,0)</f>
        <v>#REF!</v>
      </c>
      <c r="K85" s="42"/>
      <c r="L85" s="42" t="e">
        <f aca="false">-ROUND((#REF!-#REF!)/1000,0)</f>
        <v>#REF!</v>
      </c>
      <c r="M85" s="42"/>
      <c r="N85" s="42" t="e">
        <f aca="false">SUM(H85:L85)</f>
        <v>#REF!</v>
      </c>
      <c r="O85" s="42"/>
      <c r="P85" s="42" t="n">
        <v>2425</v>
      </c>
      <c r="Q85" s="42"/>
      <c r="R85" s="42" t="n">
        <v>-592</v>
      </c>
      <c r="S85" s="42"/>
      <c r="T85" s="42" t="n">
        <v>0</v>
      </c>
      <c r="U85" s="42"/>
      <c r="V85" s="42" t="n">
        <f aca="false">SUM(P85:T85)</f>
        <v>1833</v>
      </c>
      <c r="W85" s="42"/>
      <c r="X85" s="42" t="n">
        <v>2425</v>
      </c>
      <c r="Y85" s="42"/>
      <c r="Z85" s="42" t="n">
        <v>-2425</v>
      </c>
      <c r="AA85" s="42"/>
      <c r="AB85" s="42" t="n">
        <v>0</v>
      </c>
      <c r="AC85" s="42"/>
      <c r="AD85" s="42" t="n">
        <f aca="false">SUM(X85:AB85)</f>
        <v>0</v>
      </c>
      <c r="AE85" s="71"/>
      <c r="AF85" s="39" t="s">
        <v>156</v>
      </c>
    </row>
    <row r="86" customFormat="false" ht="12.75" hidden="false" customHeight="false" outlineLevel="0" collapsed="false">
      <c r="A86" s="135" t="n">
        <v>11</v>
      </c>
      <c r="B86" s="136"/>
      <c r="C86" s="137" t="e">
        <f aca="false">+#REF!</f>
        <v>#REF!</v>
      </c>
      <c r="D86" s="137" t="e">
        <f aca="false">+#REF!</f>
        <v>#REF!</v>
      </c>
      <c r="E86" s="37"/>
      <c r="F86" s="37" t="e">
        <f aca="false">+#REF!</f>
        <v>#REF!</v>
      </c>
      <c r="G86" s="129"/>
      <c r="H86" s="42" t="e">
        <f aca="false">ROUND(#REF!/1000,0)</f>
        <v>#REF!</v>
      </c>
      <c r="I86" s="42"/>
      <c r="J86" s="42" t="e">
        <f aca="false">ROUND(#REF!/1000,0)</f>
        <v>#REF!</v>
      </c>
      <c r="K86" s="42"/>
      <c r="L86" s="42" t="e">
        <f aca="false">-ROUND((#REF!-#REF!)/1000,0)</f>
        <v>#REF!</v>
      </c>
      <c r="M86" s="42"/>
      <c r="N86" s="42" t="e">
        <f aca="false">SUM(H86:L86)</f>
        <v>#REF!</v>
      </c>
      <c r="O86" s="42"/>
      <c r="P86" s="42" t="n">
        <v>0</v>
      </c>
      <c r="Q86" s="42"/>
      <c r="R86" s="42" t="n">
        <f aca="false">+P86/2</f>
        <v>0</v>
      </c>
      <c r="S86" s="42"/>
      <c r="T86" s="42" t="n">
        <v>0</v>
      </c>
      <c r="U86" s="42"/>
      <c r="V86" s="42" t="n">
        <f aca="false">SUM(P86:T86)</f>
        <v>0</v>
      </c>
      <c r="W86" s="42"/>
      <c r="X86" s="42" t="n">
        <v>0</v>
      </c>
      <c r="Y86" s="42"/>
      <c r="Z86" s="42" t="n">
        <v>0</v>
      </c>
      <c r="AA86" s="42"/>
      <c r="AB86" s="42" t="n">
        <v>0</v>
      </c>
      <c r="AC86" s="42"/>
      <c r="AD86" s="42" t="n">
        <f aca="false">SUM(X86:AB86)</f>
        <v>0</v>
      </c>
      <c r="AE86" s="71"/>
      <c r="AF86" s="39" t="s">
        <v>156</v>
      </c>
    </row>
    <row r="87" customFormat="false" ht="12.75" hidden="false" customHeight="false" outlineLevel="0" collapsed="false">
      <c r="A87" s="135" t="n">
        <v>11</v>
      </c>
      <c r="B87" s="136"/>
      <c r="C87" s="137" t="e">
        <f aca="false">+#REF!</f>
        <v>#REF!</v>
      </c>
      <c r="D87" s="137" t="e">
        <f aca="false">+#REF!</f>
        <v>#REF!</v>
      </c>
      <c r="E87" s="37"/>
      <c r="F87" s="37" t="e">
        <f aca="false">+#REF!</f>
        <v>#REF!</v>
      </c>
      <c r="G87" s="129"/>
      <c r="H87" s="42" t="e">
        <f aca="false">ROUND(#REF!/1000,0)</f>
        <v>#REF!</v>
      </c>
      <c r="I87" s="42"/>
      <c r="J87" s="42" t="e">
        <f aca="false">ROUND(#REF!/1000,0)</f>
        <v>#REF!</v>
      </c>
      <c r="K87" s="42"/>
      <c r="L87" s="42" t="e">
        <f aca="false">-ROUND((#REF!-#REF!)/1000,0)</f>
        <v>#REF!</v>
      </c>
      <c r="M87" s="42"/>
      <c r="N87" s="42" t="e">
        <f aca="false">SUM(H87:L87)</f>
        <v>#REF!</v>
      </c>
      <c r="O87" s="42"/>
      <c r="P87" s="42" t="n">
        <v>0</v>
      </c>
      <c r="Q87" s="42"/>
      <c r="R87" s="42" t="n">
        <f aca="false">+P87/2</f>
        <v>0</v>
      </c>
      <c r="S87" s="42"/>
      <c r="T87" s="42" t="n">
        <v>0</v>
      </c>
      <c r="U87" s="42"/>
      <c r="V87" s="42" t="n">
        <f aca="false">SUM(P87:T87)</f>
        <v>0</v>
      </c>
      <c r="W87" s="42"/>
      <c r="X87" s="42" t="n">
        <v>0</v>
      </c>
      <c r="Y87" s="42"/>
      <c r="Z87" s="42" t="n">
        <v>0</v>
      </c>
      <c r="AA87" s="42"/>
      <c r="AB87" s="42" t="n">
        <v>0</v>
      </c>
      <c r="AC87" s="42"/>
      <c r="AD87" s="42" t="n">
        <f aca="false">SUM(X87:AB87)</f>
        <v>0</v>
      </c>
      <c r="AE87" s="71"/>
      <c r="AF87" s="39" t="s">
        <v>156</v>
      </c>
    </row>
    <row r="88" customFormat="false" ht="12.75" hidden="false" customHeight="false" outlineLevel="0" collapsed="false">
      <c r="A88" s="135" t="n">
        <v>11</v>
      </c>
      <c r="B88" s="136"/>
      <c r="C88" s="137" t="e">
        <f aca="false">+#REF!</f>
        <v>#REF!</v>
      </c>
      <c r="D88" s="137" t="e">
        <f aca="false">+#REF!</f>
        <v>#REF!</v>
      </c>
      <c r="E88" s="37"/>
      <c r="F88" s="37" t="e">
        <f aca="false">+#REF!</f>
        <v>#REF!</v>
      </c>
      <c r="G88" s="129"/>
      <c r="H88" s="42" t="e">
        <f aca="false">ROUND(#REF!/1000,0)</f>
        <v>#REF!</v>
      </c>
      <c r="I88" s="42"/>
      <c r="J88" s="42" t="e">
        <f aca="false">ROUND(#REF!/1000,0)</f>
        <v>#REF!</v>
      </c>
      <c r="K88" s="42"/>
      <c r="L88" s="42" t="e">
        <f aca="false">-ROUND((#REF!-#REF!)/1000,0)</f>
        <v>#REF!</v>
      </c>
      <c r="M88" s="42"/>
      <c r="N88" s="42" t="e">
        <f aca="false">SUM(H88:L88)</f>
        <v>#REF!</v>
      </c>
      <c r="O88" s="42"/>
      <c r="P88" s="42" t="n">
        <v>0</v>
      </c>
      <c r="Q88" s="42"/>
      <c r="R88" s="42" t="n">
        <f aca="false">+P88/2</f>
        <v>0</v>
      </c>
      <c r="S88" s="42"/>
      <c r="T88" s="42" t="n">
        <v>0</v>
      </c>
      <c r="U88" s="42"/>
      <c r="V88" s="42" t="n">
        <f aca="false">SUM(P88:T88)</f>
        <v>0</v>
      </c>
      <c r="W88" s="42"/>
      <c r="X88" s="42" t="n">
        <v>0</v>
      </c>
      <c r="Y88" s="42"/>
      <c r="Z88" s="42" t="n">
        <v>0</v>
      </c>
      <c r="AA88" s="42"/>
      <c r="AB88" s="42" t="n">
        <v>0</v>
      </c>
      <c r="AC88" s="42"/>
      <c r="AD88" s="42" t="n">
        <f aca="false">SUM(X88:AB88)</f>
        <v>0</v>
      </c>
      <c r="AE88" s="71"/>
      <c r="AF88" s="39" t="s">
        <v>156</v>
      </c>
    </row>
    <row r="89" customFormat="false" ht="12.75" hidden="false" customHeight="false" outlineLevel="0" collapsed="false">
      <c r="A89" s="135"/>
      <c r="B89" s="136"/>
      <c r="C89" s="39"/>
      <c r="D89" s="39"/>
      <c r="E89" s="39"/>
      <c r="F89" s="37"/>
      <c r="G89" s="129"/>
      <c r="H89" s="141"/>
      <c r="I89" s="42"/>
      <c r="J89" s="141"/>
      <c r="K89" s="42"/>
      <c r="L89" s="141"/>
      <c r="M89" s="42"/>
      <c r="N89" s="141"/>
      <c r="O89" s="42"/>
      <c r="P89" s="141"/>
      <c r="Q89" s="42"/>
      <c r="R89" s="141"/>
      <c r="S89" s="42"/>
      <c r="T89" s="141"/>
      <c r="U89" s="42"/>
      <c r="V89" s="141"/>
      <c r="W89" s="42"/>
      <c r="X89" s="141"/>
      <c r="Y89" s="42"/>
      <c r="Z89" s="141"/>
      <c r="AA89" s="42"/>
      <c r="AB89" s="141"/>
      <c r="AC89" s="42"/>
      <c r="AD89" s="141"/>
      <c r="AE89" s="71"/>
      <c r="AF89" s="39"/>
    </row>
    <row r="90" customFormat="false" ht="12.75" hidden="false" customHeight="false" outlineLevel="0" collapsed="false">
      <c r="A90" s="142"/>
      <c r="B90" s="143"/>
      <c r="C90" s="144" t="s">
        <v>466</v>
      </c>
      <c r="D90" s="144"/>
      <c r="E90" s="144"/>
      <c r="F90" s="145"/>
      <c r="G90" s="146"/>
      <c r="H90" s="147" t="e">
        <f aca="false">SUM(H74:H89)</f>
        <v>#REF!</v>
      </c>
      <c r="I90" s="55"/>
      <c r="J90" s="147" t="e">
        <f aca="false">SUM(J74:J89)</f>
        <v>#REF!</v>
      </c>
      <c r="K90" s="55"/>
      <c r="L90" s="147" t="e">
        <f aca="false">SUM(L74:L89)</f>
        <v>#REF!</v>
      </c>
      <c r="M90" s="55"/>
      <c r="N90" s="147" t="e">
        <f aca="false">SUM(N74:N89)</f>
        <v>#REF!</v>
      </c>
      <c r="O90" s="55"/>
      <c r="P90" s="147" t="n">
        <f aca="false">SUM(P74:P89)</f>
        <v>35165</v>
      </c>
      <c r="Q90" s="55"/>
      <c r="R90" s="147" t="n">
        <f aca="false">SUM(R74:R89)</f>
        <v>-17402</v>
      </c>
      <c r="S90" s="55"/>
      <c r="T90" s="147" t="n">
        <f aca="false">SUM(T74:T89)</f>
        <v>-1747</v>
      </c>
      <c r="U90" s="55"/>
      <c r="V90" s="147" t="n">
        <f aca="false">SUM(V74:V89)</f>
        <v>16016</v>
      </c>
      <c r="W90" s="55"/>
      <c r="X90" s="147" t="n">
        <f aca="false">SUM(X74:X89)</f>
        <v>34210</v>
      </c>
      <c r="Y90" s="55"/>
      <c r="Z90" s="147" t="n">
        <f aca="false">SUM(Z74:Z89)</f>
        <v>-31463</v>
      </c>
      <c r="AA90" s="55"/>
      <c r="AB90" s="147" t="n">
        <f aca="false">SUM(AB74:AB89)</f>
        <v>-1747</v>
      </c>
      <c r="AC90" s="55"/>
      <c r="AD90" s="147" t="n">
        <f aca="false">SUM(AD74:AD89)</f>
        <v>1000</v>
      </c>
      <c r="AE90" s="148"/>
      <c r="AF90" s="144"/>
    </row>
    <row r="91" customFormat="false" ht="12.75" hidden="false" customHeight="false" outlineLevel="0" collapsed="false">
      <c r="A91" s="135"/>
      <c r="B91" s="136"/>
      <c r="C91" s="39"/>
      <c r="D91" s="39"/>
      <c r="E91" s="39"/>
      <c r="F91" s="37"/>
      <c r="G91" s="129"/>
      <c r="H91" s="42"/>
      <c r="I91" s="42"/>
      <c r="J91" s="42"/>
      <c r="K91" s="42"/>
      <c r="L91" s="42"/>
      <c r="M91" s="42"/>
      <c r="N91" s="42"/>
      <c r="O91" s="42"/>
      <c r="P91" s="42"/>
      <c r="Q91" s="42"/>
      <c r="R91" s="42"/>
      <c r="S91" s="42"/>
      <c r="T91" s="42"/>
      <c r="U91" s="42"/>
      <c r="V91" s="42"/>
      <c r="W91" s="42"/>
      <c r="X91" s="42"/>
      <c r="Y91" s="42"/>
      <c r="Z91" s="42"/>
      <c r="AA91" s="42"/>
      <c r="AB91" s="42"/>
      <c r="AC91" s="42"/>
      <c r="AD91" s="42"/>
      <c r="AE91" s="71"/>
      <c r="AF91" s="39"/>
    </row>
    <row r="92" customFormat="false" ht="12.75" hidden="false" customHeight="false" outlineLevel="0" collapsed="false">
      <c r="A92" s="135"/>
      <c r="B92" s="136"/>
      <c r="C92" s="32" t="s">
        <v>467</v>
      </c>
      <c r="D92" s="4"/>
      <c r="E92" s="4"/>
      <c r="F92" s="68"/>
      <c r="G92" s="140"/>
      <c r="H92" s="42"/>
      <c r="I92" s="42"/>
      <c r="J92" s="42"/>
      <c r="K92" s="42"/>
      <c r="L92" s="42"/>
      <c r="M92" s="42"/>
      <c r="N92" s="42"/>
      <c r="O92" s="42"/>
      <c r="P92" s="42"/>
      <c r="Q92" s="42"/>
      <c r="R92" s="42"/>
      <c r="S92" s="42"/>
      <c r="T92" s="42"/>
      <c r="U92" s="42"/>
      <c r="V92" s="42"/>
      <c r="W92" s="42"/>
      <c r="X92" s="42"/>
      <c r="Y92" s="42"/>
      <c r="Z92" s="42"/>
      <c r="AA92" s="42"/>
      <c r="AB92" s="42"/>
      <c r="AC92" s="42"/>
      <c r="AD92" s="42"/>
      <c r="AE92" s="71"/>
      <c r="AF92" s="39"/>
    </row>
    <row r="93" customFormat="false" ht="12.75" hidden="false" customHeight="false" outlineLevel="0" collapsed="false">
      <c r="A93" s="135" t="s">
        <v>449</v>
      </c>
      <c r="B93" s="158"/>
      <c r="C93" s="139" t="e">
        <f aca="false">+#REF!</f>
        <v>#REF!</v>
      </c>
      <c r="D93" s="139" t="e">
        <f aca="false">+#REF!</f>
        <v>#REF!</v>
      </c>
      <c r="E93" s="68"/>
      <c r="F93" s="68" t="e">
        <f aca="false">+#REF!</f>
        <v>#REF!</v>
      </c>
      <c r="G93" s="140"/>
      <c r="H93" s="42" t="e">
        <f aca="false">ROUND(#REF!/1000,0)</f>
        <v>#REF!</v>
      </c>
      <c r="I93" s="42"/>
      <c r="J93" s="42" t="e">
        <f aca="false">ROUND(#REF!/1000,0)</f>
        <v>#REF!</v>
      </c>
      <c r="K93" s="42"/>
      <c r="L93" s="42" t="e">
        <f aca="false">-ROUND((#REF!-#REF!)/1000,0)</f>
        <v>#REF!</v>
      </c>
      <c r="M93" s="42"/>
      <c r="N93" s="42" t="e">
        <f aca="false">SUM(H93:L93)</f>
        <v>#REF!</v>
      </c>
      <c r="O93" s="42"/>
      <c r="P93" s="42" t="n">
        <v>3375</v>
      </c>
      <c r="Q93" s="42"/>
      <c r="R93" s="42" t="n">
        <v>-1671</v>
      </c>
      <c r="S93" s="42"/>
      <c r="T93" s="42" t="n">
        <v>0</v>
      </c>
      <c r="U93" s="42"/>
      <c r="V93" s="42" t="n">
        <f aca="false">SUM(P93:T93)</f>
        <v>1704</v>
      </c>
      <c r="W93" s="42"/>
      <c r="X93" s="42" t="n">
        <v>4477</v>
      </c>
      <c r="Y93" s="42"/>
      <c r="Z93" s="42" t="n">
        <v>-4477</v>
      </c>
      <c r="AA93" s="42"/>
      <c r="AB93" s="42" t="n">
        <v>0</v>
      </c>
      <c r="AC93" s="42"/>
      <c r="AD93" s="42" t="n">
        <f aca="false">SUM(X93:AB93)</f>
        <v>0</v>
      </c>
      <c r="AE93" s="71"/>
      <c r="AF93" s="39" t="s">
        <v>156</v>
      </c>
    </row>
    <row r="94" customFormat="false" ht="12.75" hidden="false" customHeight="false" outlineLevel="0" collapsed="false">
      <c r="A94" s="135" t="s">
        <v>449</v>
      </c>
      <c r="B94" s="158"/>
      <c r="C94" s="139" t="e">
        <f aca="false">+#REF!</f>
        <v>#REF!</v>
      </c>
      <c r="D94" s="139" t="e">
        <f aca="false">+#REF!</f>
        <v>#REF!</v>
      </c>
      <c r="E94" s="68"/>
      <c r="F94" s="68" t="e">
        <f aca="false">+#REF!</f>
        <v>#REF!</v>
      </c>
      <c r="G94" s="129"/>
      <c r="H94" s="42" t="e">
        <f aca="false">ROUND(#REF!/1000,0)</f>
        <v>#REF!</v>
      </c>
      <c r="I94" s="42"/>
      <c r="J94" s="42" t="e">
        <f aca="false">ROUND(#REF!/1000,0)</f>
        <v>#REF!</v>
      </c>
      <c r="K94" s="42"/>
      <c r="L94" s="42" t="e">
        <f aca="false">-ROUND((#REF!-#REF!)/1000,0)</f>
        <v>#REF!</v>
      </c>
      <c r="M94" s="42"/>
      <c r="N94" s="42" t="e">
        <f aca="false">SUM(H94:L94)</f>
        <v>#REF!</v>
      </c>
      <c r="O94" s="42"/>
      <c r="P94" s="42" t="n">
        <v>1600</v>
      </c>
      <c r="Q94" s="42"/>
      <c r="R94" s="42" t="n">
        <v>-917</v>
      </c>
      <c r="S94" s="42"/>
      <c r="T94" s="42" t="n">
        <v>0</v>
      </c>
      <c r="U94" s="42"/>
      <c r="V94" s="42" t="n">
        <f aca="false">SUM(P94:T94)</f>
        <v>683</v>
      </c>
      <c r="W94" s="42"/>
      <c r="X94" s="42" t="n">
        <v>1600</v>
      </c>
      <c r="Y94" s="42"/>
      <c r="Z94" s="42" t="n">
        <v>-1600</v>
      </c>
      <c r="AA94" s="42"/>
      <c r="AB94" s="42" t="n">
        <v>0</v>
      </c>
      <c r="AC94" s="42"/>
      <c r="AD94" s="42" t="n">
        <f aca="false">SUM(X94:AB94)</f>
        <v>0</v>
      </c>
      <c r="AE94" s="71"/>
      <c r="AF94" s="39" t="s">
        <v>468</v>
      </c>
    </row>
    <row r="95" customFormat="false" ht="12.75" hidden="false" customHeight="false" outlineLevel="0" collapsed="false">
      <c r="A95" s="135" t="s">
        <v>449</v>
      </c>
      <c r="B95" s="158"/>
      <c r="C95" s="139" t="e">
        <f aca="false">+#REF!</f>
        <v>#REF!</v>
      </c>
      <c r="D95" s="139" t="e">
        <f aca="false">+#REF!</f>
        <v>#REF!</v>
      </c>
      <c r="E95" s="68"/>
      <c r="F95" s="68" t="e">
        <f aca="false">+#REF!</f>
        <v>#REF!</v>
      </c>
      <c r="G95" s="140"/>
      <c r="H95" s="42" t="e">
        <f aca="false">ROUND(#REF!/1000,0)</f>
        <v>#REF!</v>
      </c>
      <c r="I95" s="42"/>
      <c r="J95" s="42" t="e">
        <f aca="false">ROUND(#REF!/1000,0)</f>
        <v>#REF!</v>
      </c>
      <c r="K95" s="42"/>
      <c r="L95" s="42" t="e">
        <f aca="false">-ROUND((#REF!-#REF!)/1000,0)</f>
        <v>#REF!</v>
      </c>
      <c r="M95" s="42"/>
      <c r="N95" s="42" t="e">
        <f aca="false">SUM(H95:L95)</f>
        <v>#REF!</v>
      </c>
      <c r="O95" s="42"/>
      <c r="P95" s="42" t="n">
        <v>2432</v>
      </c>
      <c r="Q95" s="42"/>
      <c r="R95" s="42" t="n">
        <v>-2380</v>
      </c>
      <c r="S95" s="42"/>
      <c r="T95" s="42" t="n">
        <v>0</v>
      </c>
      <c r="U95" s="42"/>
      <c r="V95" s="42" t="n">
        <f aca="false">SUM(P95:T95)</f>
        <v>52</v>
      </c>
      <c r="W95" s="42"/>
      <c r="X95" s="42" t="n">
        <v>2432</v>
      </c>
      <c r="Y95" s="42"/>
      <c r="Z95" s="42" t="n">
        <v>-2432</v>
      </c>
      <c r="AA95" s="42"/>
      <c r="AB95" s="42" t="n">
        <v>0</v>
      </c>
      <c r="AC95" s="42"/>
      <c r="AD95" s="42" t="n">
        <f aca="false">SUM(X95:AB95)</f>
        <v>0</v>
      </c>
      <c r="AE95" s="71"/>
      <c r="AF95" s="39" t="s">
        <v>156</v>
      </c>
    </row>
    <row r="96" customFormat="false" ht="12.75" hidden="false" customHeight="false" outlineLevel="0" collapsed="false">
      <c r="A96" s="135" t="s">
        <v>449</v>
      </c>
      <c r="B96" s="158"/>
      <c r="C96" s="139" t="e">
        <f aca="false">+#REF!</f>
        <v>#REF!</v>
      </c>
      <c r="D96" s="139" t="e">
        <f aca="false">+#REF!</f>
        <v>#REF!</v>
      </c>
      <c r="E96" s="68"/>
      <c r="F96" s="68" t="e">
        <f aca="false">+#REF!</f>
        <v>#REF!</v>
      </c>
      <c r="G96" s="140"/>
      <c r="H96" s="42" t="e">
        <f aca="false">ROUND(#REF!/1000,0)</f>
        <v>#REF!</v>
      </c>
      <c r="I96" s="42"/>
      <c r="J96" s="42" t="e">
        <f aca="false">ROUND(#REF!/1000,0)</f>
        <v>#REF!</v>
      </c>
      <c r="K96" s="42"/>
      <c r="L96" s="42" t="e">
        <f aca="false">-ROUND((#REF!-#REF!)/1000,0)</f>
        <v>#REF!</v>
      </c>
      <c r="M96" s="42"/>
      <c r="N96" s="42" t="e">
        <f aca="false">SUM(H96:L96)</f>
        <v>#REF!</v>
      </c>
      <c r="O96" s="42"/>
      <c r="P96" s="42" t="n">
        <v>2267</v>
      </c>
      <c r="Q96" s="42"/>
      <c r="R96" s="42" t="n">
        <v>-2220</v>
      </c>
      <c r="S96" s="42"/>
      <c r="T96" s="42" t="n">
        <v>0</v>
      </c>
      <c r="U96" s="42"/>
      <c r="V96" s="42" t="n">
        <f aca="false">SUM(P96:T96)</f>
        <v>47</v>
      </c>
      <c r="W96" s="42"/>
      <c r="X96" s="42" t="n">
        <v>2267</v>
      </c>
      <c r="Y96" s="42"/>
      <c r="Z96" s="42" t="n">
        <v>-2267</v>
      </c>
      <c r="AA96" s="42"/>
      <c r="AB96" s="42" t="n">
        <v>0</v>
      </c>
      <c r="AC96" s="42"/>
      <c r="AD96" s="42" t="n">
        <f aca="false">SUM(X96:AB96)</f>
        <v>0</v>
      </c>
      <c r="AE96" s="71"/>
      <c r="AF96" s="39" t="s">
        <v>156</v>
      </c>
    </row>
    <row r="97" customFormat="false" ht="12.75" hidden="false" customHeight="false" outlineLevel="0" collapsed="false">
      <c r="A97" s="135" t="s">
        <v>449</v>
      </c>
      <c r="B97" s="158"/>
      <c r="C97" s="139" t="e">
        <f aca="false">+#REF!</f>
        <v>#REF!</v>
      </c>
      <c r="D97" s="139" t="e">
        <f aca="false">+#REF!</f>
        <v>#REF!</v>
      </c>
      <c r="E97" s="68"/>
      <c r="F97" s="68" t="e">
        <f aca="false">+#REF!</f>
        <v>#REF!</v>
      </c>
      <c r="G97" s="140"/>
      <c r="H97" s="42" t="e">
        <f aca="false">ROUND(#REF!/1000,0)</f>
        <v>#REF!</v>
      </c>
      <c r="I97" s="42"/>
      <c r="J97" s="42" t="e">
        <f aca="false">ROUND(#REF!/1000,0)</f>
        <v>#REF!</v>
      </c>
      <c r="K97" s="42"/>
      <c r="L97" s="42" t="e">
        <f aca="false">-ROUND((#REF!-#REF!)/1000,0)</f>
        <v>#REF!</v>
      </c>
      <c r="M97" s="42"/>
      <c r="N97" s="42" t="e">
        <f aca="false">SUM(H97:L97)</f>
        <v>#REF!</v>
      </c>
      <c r="O97" s="42"/>
      <c r="P97" s="42" t="n">
        <v>3471</v>
      </c>
      <c r="Q97" s="42"/>
      <c r="R97" s="42" t="n">
        <v>-3419</v>
      </c>
      <c r="S97" s="42"/>
      <c r="T97" s="42" t="n">
        <v>0</v>
      </c>
      <c r="U97" s="42"/>
      <c r="V97" s="42" t="n">
        <f aca="false">SUM(P97:T97)</f>
        <v>52</v>
      </c>
      <c r="W97" s="42"/>
      <c r="X97" s="42" t="n">
        <v>3471</v>
      </c>
      <c r="Y97" s="42"/>
      <c r="Z97" s="42" t="n">
        <v>-3471</v>
      </c>
      <c r="AA97" s="42"/>
      <c r="AB97" s="42" t="n">
        <v>0</v>
      </c>
      <c r="AC97" s="42"/>
      <c r="AD97" s="42" t="n">
        <f aca="false">SUM(X97:AB97)</f>
        <v>0</v>
      </c>
      <c r="AE97" s="71"/>
      <c r="AF97" s="39" t="s">
        <v>156</v>
      </c>
    </row>
    <row r="98" customFormat="false" ht="12.75" hidden="false" customHeight="false" outlineLevel="0" collapsed="false">
      <c r="A98" s="135" t="s">
        <v>449</v>
      </c>
      <c r="B98" s="158"/>
      <c r="C98" s="139" t="e">
        <f aca="false">+#REF!</f>
        <v>#REF!</v>
      </c>
      <c r="D98" s="139" t="e">
        <f aca="false">+#REF!</f>
        <v>#REF!</v>
      </c>
      <c r="E98" s="68"/>
      <c r="F98" s="68" t="e">
        <f aca="false">+#REF!</f>
        <v>#REF!</v>
      </c>
      <c r="G98" s="140"/>
      <c r="H98" s="42" t="e">
        <f aca="false">ROUND(#REF!/1000,0)</f>
        <v>#REF!</v>
      </c>
      <c r="I98" s="42"/>
      <c r="J98" s="42" t="e">
        <f aca="false">ROUND(#REF!/1000,0)</f>
        <v>#REF!</v>
      </c>
      <c r="K98" s="42"/>
      <c r="L98" s="42" t="e">
        <f aca="false">-ROUND((#REF!-#REF!)/1000,0)</f>
        <v>#REF!</v>
      </c>
      <c r="M98" s="42"/>
      <c r="N98" s="42" t="e">
        <f aca="false">SUM(H98:L98)</f>
        <v>#REF!</v>
      </c>
      <c r="O98" s="42"/>
      <c r="P98" s="42" t="n">
        <v>2994</v>
      </c>
      <c r="Q98" s="42"/>
      <c r="R98" s="42" t="n">
        <v>-2924</v>
      </c>
      <c r="S98" s="42"/>
      <c r="T98" s="42" t="n">
        <v>0</v>
      </c>
      <c r="U98" s="42"/>
      <c r="V98" s="42" t="n">
        <f aca="false">SUM(P98:T98)</f>
        <v>70</v>
      </c>
      <c r="W98" s="42"/>
      <c r="X98" s="42" t="n">
        <v>2994</v>
      </c>
      <c r="Y98" s="42"/>
      <c r="Z98" s="42" t="n">
        <v>-2994</v>
      </c>
      <c r="AA98" s="42"/>
      <c r="AB98" s="42" t="n">
        <v>0</v>
      </c>
      <c r="AC98" s="42"/>
      <c r="AD98" s="42" t="n">
        <f aca="false">SUM(X98:AB98)</f>
        <v>0</v>
      </c>
      <c r="AE98" s="71"/>
      <c r="AF98" s="39" t="s">
        <v>156</v>
      </c>
    </row>
    <row r="99" customFormat="false" ht="12.75" hidden="false" customHeight="false" outlineLevel="0" collapsed="false">
      <c r="A99" s="135" t="s">
        <v>449</v>
      </c>
      <c r="B99" s="158"/>
      <c r="C99" s="139" t="e">
        <f aca="false">+#REF!</f>
        <v>#REF!</v>
      </c>
      <c r="D99" s="139" t="e">
        <f aca="false">+#REF!</f>
        <v>#REF!</v>
      </c>
      <c r="E99" s="68"/>
      <c r="F99" s="68" t="e">
        <f aca="false">+#REF!</f>
        <v>#REF!</v>
      </c>
      <c r="G99" s="140"/>
      <c r="H99" s="42" t="e">
        <f aca="false">ROUND(#REF!/1000,0)</f>
        <v>#REF!</v>
      </c>
      <c r="I99" s="42"/>
      <c r="J99" s="42" t="e">
        <f aca="false">ROUND(#REF!/1000,0)</f>
        <v>#REF!</v>
      </c>
      <c r="K99" s="42"/>
      <c r="L99" s="42" t="e">
        <f aca="false">-ROUND((#REF!-#REF!)/1000,0)</f>
        <v>#REF!</v>
      </c>
      <c r="M99" s="42"/>
      <c r="N99" s="42" t="e">
        <f aca="false">SUM(H99:L99)</f>
        <v>#REF!</v>
      </c>
      <c r="O99" s="42"/>
      <c r="P99" s="42" t="n">
        <v>0</v>
      </c>
      <c r="Q99" s="42"/>
      <c r="R99" s="42" t="n">
        <v>0</v>
      </c>
      <c r="S99" s="42"/>
      <c r="T99" s="42" t="n">
        <v>0</v>
      </c>
      <c r="U99" s="42"/>
      <c r="V99" s="42" t="n">
        <f aca="false">SUM(P99:T99)</f>
        <v>0</v>
      </c>
      <c r="W99" s="42"/>
      <c r="X99" s="42" t="n">
        <v>0</v>
      </c>
      <c r="Y99" s="42"/>
      <c r="Z99" s="42" t="n">
        <v>0</v>
      </c>
      <c r="AA99" s="42"/>
      <c r="AB99" s="42" t="n">
        <v>0</v>
      </c>
      <c r="AC99" s="42"/>
      <c r="AD99" s="42" t="n">
        <f aca="false">SUM(X99:AB99)</f>
        <v>0</v>
      </c>
      <c r="AE99" s="71"/>
      <c r="AF99" s="39" t="s">
        <v>156</v>
      </c>
    </row>
    <row r="100" customFormat="false" ht="12.75" hidden="false" customHeight="false" outlineLevel="0" collapsed="false">
      <c r="A100" s="135" t="s">
        <v>449</v>
      </c>
      <c r="B100" s="158"/>
      <c r="C100" s="139" t="e">
        <f aca="false">+#REF!</f>
        <v>#REF!</v>
      </c>
      <c r="D100" s="139" t="e">
        <f aca="false">+#REF!</f>
        <v>#REF!</v>
      </c>
      <c r="E100" s="68"/>
      <c r="F100" s="68" t="e">
        <f aca="false">+#REF!</f>
        <v>#REF!</v>
      </c>
      <c r="G100" s="140"/>
      <c r="H100" s="42" t="e">
        <f aca="false">ROUND(#REF!/1000,0)</f>
        <v>#REF!</v>
      </c>
      <c r="I100" s="42"/>
      <c r="J100" s="42" t="e">
        <f aca="false">ROUND(#REF!/1000,0)</f>
        <v>#REF!</v>
      </c>
      <c r="K100" s="42"/>
      <c r="L100" s="42" t="e">
        <f aca="false">-ROUND((#REF!-#REF!)/1000,0)</f>
        <v>#REF!</v>
      </c>
      <c r="M100" s="42"/>
      <c r="N100" s="42" t="e">
        <f aca="false">SUM(H100:L100)</f>
        <v>#REF!</v>
      </c>
      <c r="O100" s="42"/>
      <c r="P100" s="42" t="n">
        <v>0</v>
      </c>
      <c r="Q100" s="42"/>
      <c r="R100" s="42" t="n">
        <v>0</v>
      </c>
      <c r="S100" s="42"/>
      <c r="T100" s="42" t="n">
        <v>0</v>
      </c>
      <c r="U100" s="42"/>
      <c r="V100" s="42" t="n">
        <f aca="false">SUM(P100:T100)</f>
        <v>0</v>
      </c>
      <c r="W100" s="42"/>
      <c r="X100" s="42" t="n">
        <v>0</v>
      </c>
      <c r="Y100" s="42"/>
      <c r="Z100" s="42" t="n">
        <v>0</v>
      </c>
      <c r="AA100" s="42"/>
      <c r="AB100" s="42" t="n">
        <v>0</v>
      </c>
      <c r="AC100" s="42"/>
      <c r="AD100" s="42" t="n">
        <f aca="false">SUM(X100:AB100)</f>
        <v>0</v>
      </c>
      <c r="AE100" s="71"/>
      <c r="AF100" s="39" t="s">
        <v>156</v>
      </c>
    </row>
    <row r="101" customFormat="false" ht="12.75" hidden="false" customHeight="false" outlineLevel="0" collapsed="false">
      <c r="A101" s="135"/>
      <c r="B101" s="158"/>
      <c r="C101" s="38"/>
      <c r="D101" s="4"/>
      <c r="E101" s="4"/>
      <c r="F101" s="68"/>
      <c r="G101" s="140"/>
      <c r="H101" s="141"/>
      <c r="I101" s="42"/>
      <c r="J101" s="141"/>
      <c r="K101" s="42"/>
      <c r="L101" s="141"/>
      <c r="M101" s="42"/>
      <c r="N101" s="141"/>
      <c r="O101" s="42"/>
      <c r="P101" s="141"/>
      <c r="Q101" s="42"/>
      <c r="R101" s="141"/>
      <c r="S101" s="42"/>
      <c r="T101" s="141"/>
      <c r="U101" s="42"/>
      <c r="V101" s="141"/>
      <c r="W101" s="42"/>
      <c r="X101" s="141"/>
      <c r="Y101" s="42"/>
      <c r="Z101" s="141"/>
      <c r="AA101" s="42"/>
      <c r="AB101" s="141"/>
      <c r="AC101" s="42"/>
      <c r="AD101" s="141"/>
      <c r="AE101" s="71"/>
      <c r="AF101" s="39"/>
    </row>
    <row r="102" customFormat="false" ht="12.75" hidden="false" customHeight="false" outlineLevel="0" collapsed="false">
      <c r="A102" s="142"/>
      <c r="B102" s="159"/>
      <c r="C102" s="160" t="s">
        <v>469</v>
      </c>
      <c r="D102" s="151"/>
      <c r="E102" s="151"/>
      <c r="F102" s="152"/>
      <c r="G102" s="153"/>
      <c r="H102" s="147" t="e">
        <f aca="false">SUM(H93:H101)</f>
        <v>#REF!</v>
      </c>
      <c r="I102" s="55"/>
      <c r="J102" s="147" t="e">
        <f aca="false">SUM(J93:J101)</f>
        <v>#REF!</v>
      </c>
      <c r="K102" s="55"/>
      <c r="L102" s="147" t="e">
        <f aca="false">SUM(L93:L101)</f>
        <v>#REF!</v>
      </c>
      <c r="M102" s="55"/>
      <c r="N102" s="147" t="e">
        <f aca="false">SUM(N93:N101)</f>
        <v>#REF!</v>
      </c>
      <c r="O102" s="55"/>
      <c r="P102" s="147" t="n">
        <f aca="false">SUM(P93:P101)</f>
        <v>16139</v>
      </c>
      <c r="Q102" s="55"/>
      <c r="R102" s="147" t="n">
        <f aca="false">SUM(R93:R101)</f>
        <v>-13531</v>
      </c>
      <c r="S102" s="55"/>
      <c r="T102" s="147" t="n">
        <f aca="false">SUM(T93:T101)</f>
        <v>0</v>
      </c>
      <c r="U102" s="55"/>
      <c r="V102" s="147" t="n">
        <f aca="false">SUM(V93:V101)</f>
        <v>2608</v>
      </c>
      <c r="W102" s="55"/>
      <c r="X102" s="147" t="n">
        <f aca="false">SUM(X93:X101)</f>
        <v>17241</v>
      </c>
      <c r="Y102" s="55"/>
      <c r="Z102" s="147" t="n">
        <f aca="false">SUM(Z93:Z101)</f>
        <v>-17241</v>
      </c>
      <c r="AA102" s="55"/>
      <c r="AB102" s="147" t="n">
        <f aca="false">SUM(AB93:AB101)</f>
        <v>0</v>
      </c>
      <c r="AC102" s="55"/>
      <c r="AD102" s="147" t="n">
        <f aca="false">SUM(AD93:AD101)</f>
        <v>0</v>
      </c>
      <c r="AE102" s="148"/>
      <c r="AF102" s="144"/>
    </row>
    <row r="103" customFormat="false" ht="12.75" hidden="false" customHeight="false" outlineLevel="0" collapsed="false">
      <c r="A103" s="135"/>
      <c r="B103" s="158"/>
      <c r="C103" s="38"/>
      <c r="D103" s="4"/>
      <c r="E103" s="4"/>
      <c r="F103" s="68"/>
      <c r="G103" s="140"/>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71"/>
      <c r="AF103" s="39"/>
    </row>
    <row r="104" customFormat="false" ht="12.75" hidden="false" customHeight="false" outlineLevel="0" collapsed="false">
      <c r="A104" s="135"/>
      <c r="B104" s="158"/>
      <c r="C104" s="157" t="s">
        <v>470</v>
      </c>
      <c r="D104" s="4"/>
      <c r="E104" s="4"/>
      <c r="F104" s="68"/>
      <c r="G104" s="140"/>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71"/>
      <c r="AF104" s="39"/>
    </row>
    <row r="105" customFormat="false" ht="12.75" hidden="false" customHeight="false" outlineLevel="0" collapsed="false">
      <c r="A105" s="135" t="n">
        <v>11</v>
      </c>
      <c r="B105" s="136"/>
      <c r="C105" s="137" t="e">
        <f aca="false">+#REF!</f>
        <v>#REF!</v>
      </c>
      <c r="D105" s="137" t="e">
        <f aca="false">+#REF!</f>
        <v>#REF!</v>
      </c>
      <c r="E105" s="37"/>
      <c r="F105" s="37" t="e">
        <f aca="false">+#REF!</f>
        <v>#REF!</v>
      </c>
      <c r="G105" s="129"/>
      <c r="H105" s="42" t="e">
        <f aca="false">ROUND(#REF!/1000,0)</f>
        <v>#REF!</v>
      </c>
      <c r="I105" s="42"/>
      <c r="J105" s="42" t="e">
        <f aca="false">ROUND(#REF!/1000,0)</f>
        <v>#REF!</v>
      </c>
      <c r="K105" s="42"/>
      <c r="L105" s="42" t="e">
        <f aca="false">-ROUND((#REF!-#REF!)/1000,0)</f>
        <v>#REF!</v>
      </c>
      <c r="M105" s="42"/>
      <c r="N105" s="42" t="e">
        <f aca="false">SUM(H105:L105)</f>
        <v>#REF!</v>
      </c>
      <c r="O105" s="42"/>
      <c r="P105" s="42" t="n">
        <v>771</v>
      </c>
      <c r="Q105" s="42"/>
      <c r="R105" s="42" t="n">
        <v>0</v>
      </c>
      <c r="S105" s="42"/>
      <c r="T105" s="42" t="n">
        <v>-525</v>
      </c>
      <c r="U105" s="42"/>
      <c r="V105" s="42" t="n">
        <f aca="false">SUM(P105:T105)</f>
        <v>246</v>
      </c>
      <c r="W105" s="42"/>
      <c r="X105" s="42" t="n">
        <v>521</v>
      </c>
      <c r="Y105" s="42"/>
      <c r="Z105" s="42" t="n">
        <v>0</v>
      </c>
      <c r="AA105" s="42"/>
      <c r="AB105" s="42" t="n">
        <v>-525</v>
      </c>
      <c r="AC105" s="42"/>
      <c r="AD105" s="42" t="n">
        <f aca="false">SUM(X105:AB105)</f>
        <v>-4</v>
      </c>
      <c r="AE105" s="71"/>
      <c r="AF105" s="39" t="s">
        <v>108</v>
      </c>
    </row>
    <row r="106" customFormat="false" ht="12.75" hidden="false" customHeight="false" outlineLevel="0" collapsed="false">
      <c r="A106" s="135" t="n">
        <v>11</v>
      </c>
      <c r="B106" s="136"/>
      <c r="C106" s="137" t="e">
        <f aca="false">+#REF!</f>
        <v>#REF!</v>
      </c>
      <c r="D106" s="137" t="e">
        <f aca="false">+#REF!</f>
        <v>#REF!</v>
      </c>
      <c r="E106" s="37"/>
      <c r="F106" s="37" t="e">
        <f aca="false">+#REF!</f>
        <v>#REF!</v>
      </c>
      <c r="G106" s="129"/>
      <c r="H106" s="42" t="e">
        <f aca="false">ROUND(#REF!/1000,0)</f>
        <v>#REF!</v>
      </c>
      <c r="I106" s="42"/>
      <c r="J106" s="42" t="e">
        <f aca="false">ROUND(#REF!/1000,0)</f>
        <v>#REF!</v>
      </c>
      <c r="K106" s="42"/>
      <c r="L106" s="42" t="e">
        <f aca="false">-ROUND((#REF!-#REF!)/1000,0)</f>
        <v>#REF!</v>
      </c>
      <c r="M106" s="42"/>
      <c r="N106" s="42" t="e">
        <f aca="false">SUM(H106:L106)</f>
        <v>#REF!</v>
      </c>
      <c r="O106" s="42"/>
      <c r="P106" s="42" t="n">
        <v>573</v>
      </c>
      <c r="Q106" s="42"/>
      <c r="R106" s="42" t="n">
        <v>0</v>
      </c>
      <c r="S106" s="42"/>
      <c r="T106" s="42" t="n">
        <v>0</v>
      </c>
      <c r="U106" s="42"/>
      <c r="V106" s="42" t="n">
        <f aca="false">SUM(P106:T106)</f>
        <v>573</v>
      </c>
      <c r="W106" s="42"/>
      <c r="X106" s="42" t="n">
        <f aca="false">250+250</f>
        <v>500</v>
      </c>
      <c r="Y106" s="42"/>
      <c r="Z106" s="42" t="n">
        <v>0</v>
      </c>
      <c r="AA106" s="42"/>
      <c r="AB106" s="42" t="n">
        <v>0</v>
      </c>
      <c r="AC106" s="42"/>
      <c r="AD106" s="42" t="n">
        <f aca="false">SUM(X106:AB106)</f>
        <v>500</v>
      </c>
      <c r="AE106" s="71"/>
      <c r="AF106" s="39" t="s">
        <v>471</v>
      </c>
    </row>
    <row r="107" customFormat="false" ht="12.75" hidden="false" customHeight="false" outlineLevel="0" collapsed="false">
      <c r="A107" s="161"/>
      <c r="B107" s="162"/>
      <c r="C107" s="163" t="s">
        <v>472</v>
      </c>
      <c r="D107" s="164"/>
      <c r="E107" s="165"/>
      <c r="F107" s="165"/>
      <c r="G107" s="166"/>
      <c r="H107" s="167" t="e">
        <f aca="false">ROUND(#REF!/1000,0)</f>
        <v>#REF!</v>
      </c>
      <c r="I107" s="167"/>
      <c r="J107" s="167" t="e">
        <f aca="false">ROUND(#REF!/1000,0)</f>
        <v>#REF!</v>
      </c>
      <c r="K107" s="167"/>
      <c r="L107" s="167" t="e">
        <f aca="false">-ROUND((#REF!-#REF!)/1000,0)</f>
        <v>#REF!</v>
      </c>
      <c r="M107" s="167"/>
      <c r="N107" s="167" t="e">
        <f aca="false">SUM(H107:L107)</f>
        <v>#REF!</v>
      </c>
      <c r="O107" s="167"/>
      <c r="P107" s="167" t="n">
        <v>0</v>
      </c>
      <c r="Q107" s="167"/>
      <c r="R107" s="167" t="n">
        <v>0</v>
      </c>
      <c r="S107" s="167"/>
      <c r="T107" s="167" t="n">
        <v>0</v>
      </c>
      <c r="U107" s="167"/>
      <c r="V107" s="167" t="n">
        <f aca="false">SUM(P107:T107)</f>
        <v>0</v>
      </c>
      <c r="W107" s="167"/>
      <c r="X107" s="167" t="n">
        <v>0</v>
      </c>
      <c r="Y107" s="167"/>
      <c r="Z107" s="167" t="n">
        <v>0</v>
      </c>
      <c r="AA107" s="167"/>
      <c r="AB107" s="167" t="n">
        <v>0</v>
      </c>
      <c r="AC107" s="167"/>
      <c r="AD107" s="167" t="n">
        <f aca="false">SUM(X107:AB107)</f>
        <v>0</v>
      </c>
      <c r="AE107" s="168"/>
      <c r="AF107" s="169"/>
    </row>
    <row r="108" customFormat="false" ht="12.75" hidden="false" customHeight="false" outlineLevel="0" collapsed="false">
      <c r="A108" s="135" t="n">
        <v>11</v>
      </c>
      <c r="B108" s="136"/>
      <c r="C108" s="137" t="e">
        <f aca="false">+#REF!</f>
        <v>#REF!</v>
      </c>
      <c r="D108" s="137" t="e">
        <f aca="false">+#REF!</f>
        <v>#REF!</v>
      </c>
      <c r="E108" s="37"/>
      <c r="F108" s="37" t="e">
        <f aca="false">+#REF!</f>
        <v>#REF!</v>
      </c>
      <c r="G108" s="129"/>
      <c r="H108" s="42" t="e">
        <f aca="false">ROUND(#REF!/1000,0)</f>
        <v>#REF!</v>
      </c>
      <c r="I108" s="42"/>
      <c r="J108" s="42" t="e">
        <f aca="false">ROUND(#REF!/1000,0)</f>
        <v>#REF!</v>
      </c>
      <c r="K108" s="42"/>
      <c r="L108" s="42" t="e">
        <f aca="false">-ROUND((#REF!-#REF!)/1000,0)</f>
        <v>#REF!</v>
      </c>
      <c r="M108" s="42"/>
      <c r="N108" s="42" t="e">
        <f aca="false">SUM(H108:L108)</f>
        <v>#REF!</v>
      </c>
      <c r="O108" s="42"/>
      <c r="P108" s="42" t="n">
        <v>1976</v>
      </c>
      <c r="Q108" s="42"/>
      <c r="R108" s="42" t="n">
        <v>0</v>
      </c>
      <c r="S108" s="42"/>
      <c r="T108" s="42" t="n">
        <v>0</v>
      </c>
      <c r="U108" s="42"/>
      <c r="V108" s="42" t="n">
        <f aca="false">SUM(P108:T108)</f>
        <v>1976</v>
      </c>
      <c r="W108" s="42"/>
      <c r="X108" s="42" t="n">
        <v>0</v>
      </c>
      <c r="Y108" s="42"/>
      <c r="Z108" s="42" t="n">
        <v>0</v>
      </c>
      <c r="AA108" s="42"/>
      <c r="AB108" s="42" t="n">
        <v>0</v>
      </c>
      <c r="AC108" s="42"/>
      <c r="AD108" s="42" t="n">
        <f aca="false">SUM(X108:AB108)</f>
        <v>0</v>
      </c>
      <c r="AE108" s="71"/>
      <c r="AF108" s="39" t="s">
        <v>108</v>
      </c>
    </row>
    <row r="109" customFormat="false" ht="12.75" hidden="false" customHeight="false" outlineLevel="0" collapsed="false">
      <c r="A109" s="135" t="n">
        <v>11</v>
      </c>
      <c r="B109" s="136"/>
      <c r="C109" s="137" t="e">
        <f aca="false">+#REF!</f>
        <v>#REF!</v>
      </c>
      <c r="D109" s="137" t="e">
        <f aca="false">+#REF!</f>
        <v>#REF!</v>
      </c>
      <c r="E109" s="37"/>
      <c r="F109" s="37" t="e">
        <f aca="false">+#REF!</f>
        <v>#REF!</v>
      </c>
      <c r="G109" s="129"/>
      <c r="H109" s="42" t="e">
        <f aca="false">ROUND(#REF!/1000,0)</f>
        <v>#REF!</v>
      </c>
      <c r="I109" s="42"/>
      <c r="J109" s="42" t="e">
        <f aca="false">ROUND(#REF!/1000,0)</f>
        <v>#REF!</v>
      </c>
      <c r="K109" s="42"/>
      <c r="L109" s="42" t="e">
        <f aca="false">-ROUND((#REF!-#REF!)/1000,0)</f>
        <v>#REF!</v>
      </c>
      <c r="M109" s="42"/>
      <c r="N109" s="42" t="e">
        <f aca="false">SUM(H109:L109)</f>
        <v>#REF!</v>
      </c>
      <c r="O109" s="42"/>
      <c r="P109" s="42" t="n">
        <v>80</v>
      </c>
      <c r="Q109" s="42"/>
      <c r="R109" s="42" t="n">
        <v>0</v>
      </c>
      <c r="S109" s="42"/>
      <c r="T109" s="42" t="n">
        <v>0</v>
      </c>
      <c r="U109" s="42"/>
      <c r="V109" s="42" t="n">
        <f aca="false">SUM(P109:T109)</f>
        <v>80</v>
      </c>
      <c r="W109" s="42"/>
      <c r="X109" s="42" t="n">
        <v>0</v>
      </c>
      <c r="Y109" s="42"/>
      <c r="Z109" s="42" t="n">
        <v>0</v>
      </c>
      <c r="AA109" s="42"/>
      <c r="AB109" s="42" t="n">
        <v>0</v>
      </c>
      <c r="AC109" s="42"/>
      <c r="AD109" s="42" t="n">
        <f aca="false">SUM(X109:AB109)</f>
        <v>0</v>
      </c>
      <c r="AE109" s="71"/>
      <c r="AF109" s="39" t="s">
        <v>452</v>
      </c>
    </row>
    <row r="110" customFormat="false" ht="12.75" hidden="false" customHeight="false" outlineLevel="0" collapsed="false">
      <c r="A110" s="135"/>
      <c r="B110" s="136"/>
      <c r="C110" s="39"/>
      <c r="D110" s="39"/>
      <c r="E110" s="39"/>
      <c r="F110" s="37"/>
      <c r="G110" s="129"/>
      <c r="H110" s="141"/>
      <c r="I110" s="42"/>
      <c r="J110" s="141"/>
      <c r="K110" s="42"/>
      <c r="L110" s="141"/>
      <c r="M110" s="42"/>
      <c r="N110" s="141"/>
      <c r="O110" s="42"/>
      <c r="P110" s="141"/>
      <c r="Q110" s="42"/>
      <c r="R110" s="141"/>
      <c r="S110" s="42"/>
      <c r="T110" s="141"/>
      <c r="U110" s="42"/>
      <c r="V110" s="141"/>
      <c r="W110" s="42"/>
      <c r="X110" s="141"/>
      <c r="Y110" s="42"/>
      <c r="Z110" s="141"/>
      <c r="AA110" s="42"/>
      <c r="AB110" s="141"/>
      <c r="AC110" s="42"/>
      <c r="AD110" s="141"/>
      <c r="AE110" s="71"/>
      <c r="AF110" s="39"/>
    </row>
    <row r="111" customFormat="false" ht="12.75" hidden="false" customHeight="false" outlineLevel="0" collapsed="false">
      <c r="A111" s="135"/>
      <c r="B111" s="136"/>
      <c r="C111" s="39"/>
      <c r="D111" s="39"/>
      <c r="E111" s="39"/>
      <c r="F111" s="37"/>
      <c r="G111" s="129"/>
      <c r="H111" s="149" t="e">
        <f aca="false">SUM(H105:H110)</f>
        <v>#REF!</v>
      </c>
      <c r="I111" s="42"/>
      <c r="J111" s="149" t="e">
        <f aca="false">SUM(J105:J110)</f>
        <v>#REF!</v>
      </c>
      <c r="K111" s="42"/>
      <c r="L111" s="149" t="e">
        <f aca="false">SUM(L105:L110)</f>
        <v>#REF!</v>
      </c>
      <c r="M111" s="42"/>
      <c r="N111" s="149" t="e">
        <f aca="false">SUM(N105:N110)</f>
        <v>#REF!</v>
      </c>
      <c r="O111" s="42"/>
      <c r="P111" s="149" t="n">
        <f aca="false">SUM(P105:P110)</f>
        <v>3400</v>
      </c>
      <c r="Q111" s="42"/>
      <c r="R111" s="149" t="n">
        <f aca="false">SUM(R105:R110)</f>
        <v>0</v>
      </c>
      <c r="S111" s="42"/>
      <c r="T111" s="149" t="n">
        <f aca="false">SUM(T105:T110)</f>
        <v>-525</v>
      </c>
      <c r="U111" s="42"/>
      <c r="V111" s="149" t="n">
        <f aca="false">SUM(V105:V110)</f>
        <v>2875</v>
      </c>
      <c r="W111" s="42"/>
      <c r="X111" s="149" t="n">
        <f aca="false">SUM(X105:X110)</f>
        <v>1021</v>
      </c>
      <c r="Y111" s="42"/>
      <c r="Z111" s="149" t="n">
        <f aca="false">SUM(Z105:Z110)</f>
        <v>0</v>
      </c>
      <c r="AA111" s="42"/>
      <c r="AB111" s="149" t="n">
        <f aca="false">SUM(AB105:AB110)</f>
        <v>-525</v>
      </c>
      <c r="AC111" s="42"/>
      <c r="AD111" s="149" t="n">
        <f aca="false">SUM(AD105:AD110)</f>
        <v>496</v>
      </c>
      <c r="AE111" s="71"/>
      <c r="AF111" s="39"/>
    </row>
    <row r="112" customFormat="false" ht="12.75" hidden="false" customHeight="false" outlineLevel="0" collapsed="false">
      <c r="A112" s="135"/>
      <c r="B112" s="136"/>
      <c r="C112" s="39"/>
      <c r="D112" s="39"/>
      <c r="E112" s="39"/>
      <c r="F112" s="37"/>
      <c r="G112" s="129"/>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71"/>
      <c r="AF112" s="39"/>
    </row>
    <row r="113" customFormat="false" ht="12.75" hidden="false" customHeight="false" outlineLevel="0" collapsed="false">
      <c r="A113" s="135" t="n">
        <v>11</v>
      </c>
      <c r="B113" s="136"/>
      <c r="C113" s="137" t="e">
        <f aca="false">+#REF!</f>
        <v>#REF!</v>
      </c>
      <c r="D113" s="137" t="e">
        <f aca="false">+#REF!</f>
        <v>#REF!</v>
      </c>
      <c r="E113" s="37"/>
      <c r="F113" s="37" t="e">
        <f aca="false">+#REF!</f>
        <v>#REF!</v>
      </c>
      <c r="G113" s="129"/>
      <c r="H113" s="42" t="e">
        <f aca="false">ROUND(#REF!/1000,0)</f>
        <v>#REF!</v>
      </c>
      <c r="I113" s="42"/>
      <c r="J113" s="42" t="e">
        <f aca="false">ROUND(#REF!/1000,0)</f>
        <v>#REF!</v>
      </c>
      <c r="K113" s="42"/>
      <c r="L113" s="42" t="e">
        <f aca="false">-ROUND((#REF!-#REF!)/1000,0)</f>
        <v>#REF!</v>
      </c>
      <c r="M113" s="42"/>
      <c r="N113" s="42" t="e">
        <f aca="false">SUM(H113:L113)</f>
        <v>#REF!</v>
      </c>
      <c r="O113" s="42"/>
      <c r="P113" s="42" t="n">
        <f aca="false">ROUND(456+4*29,0)</f>
        <v>572</v>
      </c>
      <c r="Q113" s="42"/>
      <c r="R113" s="42" t="n">
        <v>0</v>
      </c>
      <c r="S113" s="42"/>
      <c r="T113" s="42" t="n">
        <v>-677</v>
      </c>
      <c r="U113" s="42"/>
      <c r="V113" s="42" t="n">
        <f aca="false">SUM(P113:T113)</f>
        <v>-105</v>
      </c>
      <c r="W113" s="42"/>
      <c r="X113" s="42" t="n">
        <v>993</v>
      </c>
      <c r="Y113" s="42"/>
      <c r="Z113" s="42" t="n">
        <v>0</v>
      </c>
      <c r="AA113" s="42"/>
      <c r="AB113" s="42" t="n">
        <v>-677</v>
      </c>
      <c r="AC113" s="42"/>
      <c r="AD113" s="42" t="n">
        <f aca="false">SUM(X113:AB113)</f>
        <v>316</v>
      </c>
      <c r="AE113" s="71"/>
      <c r="AF113" s="39" t="s">
        <v>108</v>
      </c>
    </row>
    <row r="114" customFormat="false" ht="12.75" hidden="false" customHeight="false" outlineLevel="0" collapsed="false">
      <c r="A114" s="135" t="n">
        <v>11</v>
      </c>
      <c r="B114" s="136"/>
      <c r="C114" s="137" t="e">
        <f aca="false">+#REF!</f>
        <v>#REF!</v>
      </c>
      <c r="D114" s="137" t="e">
        <f aca="false">+#REF!</f>
        <v>#REF!</v>
      </c>
      <c r="E114" s="37"/>
      <c r="F114" s="37" t="e">
        <f aca="false">+#REF!</f>
        <v>#REF!</v>
      </c>
      <c r="G114" s="129"/>
      <c r="H114" s="42" t="e">
        <f aca="false">ROUND(#REF!/1000,0)</f>
        <v>#REF!</v>
      </c>
      <c r="I114" s="42"/>
      <c r="J114" s="42" t="e">
        <f aca="false">ROUND(#REF!/1000,0)</f>
        <v>#REF!</v>
      </c>
      <c r="K114" s="42"/>
      <c r="L114" s="42" t="e">
        <f aca="false">-ROUND((#REF!-#REF!)/1000,0)</f>
        <v>#REF!</v>
      </c>
      <c r="M114" s="42"/>
      <c r="N114" s="42" t="e">
        <f aca="false">SUM(H114:L114)</f>
        <v>#REF!</v>
      </c>
      <c r="O114" s="42"/>
      <c r="P114" s="42" t="n">
        <f aca="false">2990-572+1</f>
        <v>2419</v>
      </c>
      <c r="Q114" s="42"/>
      <c r="R114" s="42" t="n">
        <v>0</v>
      </c>
      <c r="S114" s="42"/>
      <c r="T114" s="42" t="n">
        <v>-1306</v>
      </c>
      <c r="U114" s="42"/>
      <c r="V114" s="42" t="n">
        <f aca="false">SUM(P114:T114)</f>
        <v>1113</v>
      </c>
      <c r="W114" s="42"/>
      <c r="X114" s="42" t="n">
        <v>1978</v>
      </c>
      <c r="Y114" s="42"/>
      <c r="Z114" s="42" t="n">
        <v>0</v>
      </c>
      <c r="AA114" s="42"/>
      <c r="AB114" s="42" t="n">
        <v>-1306</v>
      </c>
      <c r="AC114" s="42"/>
      <c r="AD114" s="42" t="n">
        <f aca="false">SUM(X114:AB114)</f>
        <v>672</v>
      </c>
      <c r="AE114" s="71"/>
      <c r="AF114" s="39" t="s">
        <v>108</v>
      </c>
    </row>
    <row r="115" customFormat="false" ht="12.75" hidden="false" customHeight="false" outlineLevel="0" collapsed="false">
      <c r="A115" s="135" t="s">
        <v>449</v>
      </c>
      <c r="B115" s="136"/>
      <c r="C115" s="139" t="e">
        <f aca="false">+#REF!</f>
        <v>#REF!</v>
      </c>
      <c r="D115" s="139" t="e">
        <f aca="false">+#REF!</f>
        <v>#REF!</v>
      </c>
      <c r="E115" s="68"/>
      <c r="F115" s="68" t="e">
        <f aca="false">+#REF!</f>
        <v>#REF!</v>
      </c>
      <c r="G115" s="140"/>
      <c r="H115" s="42" t="e">
        <f aca="false">ROUND(#REF!/1000,0)</f>
        <v>#REF!</v>
      </c>
      <c r="I115" s="42"/>
      <c r="J115" s="42" t="e">
        <f aca="false">ROUND(#REF!/1000,0)</f>
        <v>#REF!</v>
      </c>
      <c r="K115" s="42"/>
      <c r="L115" s="42" t="e">
        <f aca="false">-ROUND((#REF!-#REF!)/1000,0)</f>
        <v>#REF!</v>
      </c>
      <c r="M115" s="42"/>
      <c r="N115" s="42" t="e">
        <f aca="false">SUM(H115:L115)</f>
        <v>#REF!</v>
      </c>
      <c r="O115" s="42"/>
      <c r="P115" s="42" t="n">
        <v>0</v>
      </c>
      <c r="Q115" s="42"/>
      <c r="R115" s="42" t="n">
        <v>0</v>
      </c>
      <c r="S115" s="42"/>
      <c r="T115" s="42" t="n">
        <v>0</v>
      </c>
      <c r="U115" s="42"/>
      <c r="V115" s="42" t="n">
        <f aca="false">SUM(P115:T115)</f>
        <v>0</v>
      </c>
      <c r="W115" s="42"/>
      <c r="X115" s="42" t="n">
        <v>302</v>
      </c>
      <c r="Y115" s="42"/>
      <c r="Z115" s="42" t="n">
        <v>-302</v>
      </c>
      <c r="AA115" s="42"/>
      <c r="AB115" s="42" t="n">
        <v>0</v>
      </c>
      <c r="AC115" s="42"/>
      <c r="AD115" s="42" t="n">
        <f aca="false">SUM(X115:AB115)</f>
        <v>0</v>
      </c>
      <c r="AE115" s="71"/>
      <c r="AF115" s="39" t="s">
        <v>473</v>
      </c>
    </row>
    <row r="116" customFormat="false" ht="12.75" hidden="false" customHeight="false" outlineLevel="0" collapsed="false">
      <c r="A116" s="135" t="s">
        <v>449</v>
      </c>
      <c r="B116" s="136"/>
      <c r="C116" s="139" t="e">
        <f aca="false">+#REF!</f>
        <v>#REF!</v>
      </c>
      <c r="D116" s="139" t="e">
        <f aca="false">+#REF!</f>
        <v>#REF!</v>
      </c>
      <c r="E116" s="68"/>
      <c r="F116" s="68" t="e">
        <f aca="false">+#REF!</f>
        <v>#REF!</v>
      </c>
      <c r="G116" s="129"/>
      <c r="H116" s="42" t="e">
        <f aca="false">ROUND(#REF!/1000,0)</f>
        <v>#REF!</v>
      </c>
      <c r="I116" s="42"/>
      <c r="J116" s="42" t="e">
        <f aca="false">ROUND(#REF!/1000,0)</f>
        <v>#REF!</v>
      </c>
      <c r="K116" s="42"/>
      <c r="L116" s="42" t="e">
        <f aca="false">-ROUND((#REF!-#REF!)/1000,0)</f>
        <v>#REF!</v>
      </c>
      <c r="M116" s="42"/>
      <c r="N116" s="42" t="e">
        <f aca="false">SUM(H116:L116)</f>
        <v>#REF!</v>
      </c>
      <c r="O116" s="42"/>
      <c r="P116" s="42" t="n">
        <v>10138</v>
      </c>
      <c r="Q116" s="42"/>
      <c r="R116" s="42" t="n">
        <v>-8734</v>
      </c>
      <c r="S116" s="42"/>
      <c r="T116" s="42" t="n">
        <v>-159</v>
      </c>
      <c r="U116" s="42"/>
      <c r="V116" s="42" t="n">
        <f aca="false">SUM(P116:T116)</f>
        <v>1245</v>
      </c>
      <c r="W116" s="42"/>
      <c r="X116" s="42" t="n">
        <v>8867</v>
      </c>
      <c r="Y116" s="42"/>
      <c r="Z116" s="42" t="n">
        <v>-8432</v>
      </c>
      <c r="AA116" s="42"/>
      <c r="AB116" s="42" t="n">
        <v>-159</v>
      </c>
      <c r="AC116" s="42"/>
      <c r="AD116" s="42" t="n">
        <f aca="false">SUM(X116:AB116)</f>
        <v>276</v>
      </c>
      <c r="AE116" s="71"/>
      <c r="AF116" s="39" t="s">
        <v>450</v>
      </c>
    </row>
    <row r="117" customFormat="false" ht="12.75" hidden="false" customHeight="false" outlineLevel="0" collapsed="false">
      <c r="A117" s="135"/>
      <c r="B117" s="136"/>
      <c r="C117" s="38"/>
      <c r="D117" s="39"/>
      <c r="E117" s="39"/>
      <c r="F117" s="68"/>
      <c r="G117" s="129"/>
      <c r="H117" s="141"/>
      <c r="I117" s="42"/>
      <c r="J117" s="141"/>
      <c r="K117" s="42"/>
      <c r="L117" s="141"/>
      <c r="M117" s="42"/>
      <c r="N117" s="141"/>
      <c r="O117" s="42"/>
      <c r="P117" s="141"/>
      <c r="Q117" s="42"/>
      <c r="R117" s="141"/>
      <c r="S117" s="42"/>
      <c r="T117" s="141"/>
      <c r="U117" s="42"/>
      <c r="V117" s="141"/>
      <c r="W117" s="42"/>
      <c r="X117" s="141"/>
      <c r="Y117" s="42"/>
      <c r="Z117" s="141"/>
      <c r="AA117" s="42"/>
      <c r="AB117" s="141"/>
      <c r="AC117" s="42"/>
      <c r="AD117" s="141"/>
      <c r="AE117" s="71"/>
      <c r="AF117" s="39"/>
    </row>
    <row r="118" customFormat="false" ht="12.75" hidden="false" customHeight="false" outlineLevel="0" collapsed="false">
      <c r="A118" s="135"/>
      <c r="B118" s="136"/>
      <c r="C118" s="38"/>
      <c r="D118" s="39"/>
      <c r="E118" s="39"/>
      <c r="F118" s="68"/>
      <c r="G118" s="129"/>
      <c r="H118" s="149" t="e">
        <f aca="false">SUM(H113:H117)</f>
        <v>#REF!</v>
      </c>
      <c r="I118" s="42"/>
      <c r="J118" s="149" t="e">
        <f aca="false">SUM(J113:J117)</f>
        <v>#REF!</v>
      </c>
      <c r="K118" s="42"/>
      <c r="L118" s="149" t="e">
        <f aca="false">SUM(L113:L117)</f>
        <v>#REF!</v>
      </c>
      <c r="M118" s="42"/>
      <c r="N118" s="149" t="e">
        <f aca="false">SUM(N113:N117)</f>
        <v>#REF!</v>
      </c>
      <c r="O118" s="42"/>
      <c r="P118" s="149" t="n">
        <f aca="false">SUM(P113:P117)</f>
        <v>13129</v>
      </c>
      <c r="Q118" s="42"/>
      <c r="R118" s="149" t="n">
        <f aca="false">SUM(R113:R117)</f>
        <v>-8734</v>
      </c>
      <c r="S118" s="42"/>
      <c r="T118" s="149" t="n">
        <f aca="false">SUM(T113:T117)</f>
        <v>-2142</v>
      </c>
      <c r="U118" s="42"/>
      <c r="V118" s="149" t="n">
        <f aca="false">SUM(V113:V117)</f>
        <v>2253</v>
      </c>
      <c r="W118" s="42"/>
      <c r="X118" s="149" t="n">
        <f aca="false">SUM(X113:X117)</f>
        <v>12140</v>
      </c>
      <c r="Y118" s="42"/>
      <c r="Z118" s="149" t="n">
        <f aca="false">SUM(Z113:Z117)</f>
        <v>-8734</v>
      </c>
      <c r="AA118" s="42"/>
      <c r="AB118" s="149" t="n">
        <f aca="false">SUM(AB113:AB117)</f>
        <v>-2142</v>
      </c>
      <c r="AC118" s="42"/>
      <c r="AD118" s="149" t="n">
        <f aca="false">SUM(AD113:AD117)</f>
        <v>1264</v>
      </c>
      <c r="AE118" s="71"/>
      <c r="AF118" s="39"/>
    </row>
    <row r="119" customFormat="false" ht="12.75" hidden="false" customHeight="false" outlineLevel="0" collapsed="false">
      <c r="A119" s="135"/>
      <c r="B119" s="136"/>
      <c r="C119" s="38"/>
      <c r="D119" s="39"/>
      <c r="E119" s="39"/>
      <c r="F119" s="68"/>
      <c r="G119" s="129"/>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71"/>
      <c r="AF119" s="39"/>
    </row>
    <row r="120" customFormat="false" ht="12.75" hidden="false" customHeight="false" outlineLevel="0" collapsed="false">
      <c r="A120" s="135" t="s">
        <v>449</v>
      </c>
      <c r="B120" s="136"/>
      <c r="C120" s="139" t="e">
        <f aca="false">+#REF!</f>
        <v>#REF!</v>
      </c>
      <c r="D120" s="139" t="e">
        <f aca="false">+#REF!</f>
        <v>#REF!</v>
      </c>
      <c r="E120" s="68"/>
      <c r="F120" s="68" t="e">
        <f aca="false">+#REF!</f>
        <v>#REF!</v>
      </c>
      <c r="G120" s="140"/>
      <c r="H120" s="42" t="e">
        <f aca="false">ROUND(#REF!/1000,0)</f>
        <v>#REF!</v>
      </c>
      <c r="I120" s="42"/>
      <c r="J120" s="42" t="e">
        <f aca="false">ROUND(#REF!/1000,0)</f>
        <v>#REF!</v>
      </c>
      <c r="K120" s="42"/>
      <c r="L120" s="42" t="e">
        <f aca="false">-ROUND((#REF!-#REF!)/1000,0)</f>
        <v>#REF!</v>
      </c>
      <c r="M120" s="42"/>
      <c r="N120" s="42" t="e">
        <f aca="false">SUM(H120:L120)</f>
        <v>#REF!</v>
      </c>
      <c r="O120" s="42"/>
      <c r="P120" s="42" t="n">
        <v>372</v>
      </c>
      <c r="Q120" s="42"/>
      <c r="R120" s="42" t="n">
        <v>-373</v>
      </c>
      <c r="S120" s="42"/>
      <c r="T120" s="42" t="n">
        <v>0</v>
      </c>
      <c r="U120" s="42"/>
      <c r="V120" s="42" t="n">
        <f aca="false">SUM(P120:T120)</f>
        <v>-1</v>
      </c>
      <c r="W120" s="42"/>
      <c r="X120" s="42" t="n">
        <v>372</v>
      </c>
      <c r="Y120" s="42"/>
      <c r="Z120" s="42" t="n">
        <v>-373</v>
      </c>
      <c r="AA120" s="42"/>
      <c r="AB120" s="42" t="n">
        <v>0</v>
      </c>
      <c r="AC120" s="42"/>
      <c r="AD120" s="42" t="n">
        <f aca="false">SUM(X120:AB120)</f>
        <v>-1</v>
      </c>
      <c r="AE120" s="71"/>
      <c r="AF120" s="39"/>
    </row>
    <row r="121" customFormat="false" ht="12.75" hidden="false" customHeight="false" outlineLevel="0" collapsed="false">
      <c r="A121" s="135" t="n">
        <v>11</v>
      </c>
      <c r="B121" s="136"/>
      <c r="C121" s="137" t="e">
        <f aca="false">+#REF!</f>
        <v>#REF!</v>
      </c>
      <c r="D121" s="137" t="e">
        <f aca="false">+#REF!</f>
        <v>#REF!</v>
      </c>
      <c r="E121" s="37"/>
      <c r="F121" s="37" t="e">
        <f aca="false">+#REF!</f>
        <v>#REF!</v>
      </c>
      <c r="G121" s="129"/>
      <c r="H121" s="42" t="e">
        <f aca="false">ROUND(#REF!/1000,0)</f>
        <v>#REF!</v>
      </c>
      <c r="I121" s="42"/>
      <c r="J121" s="42" t="e">
        <f aca="false">ROUND(#REF!/1000,0)</f>
        <v>#REF!</v>
      </c>
      <c r="K121" s="42"/>
      <c r="L121" s="42" t="e">
        <f aca="false">-ROUND((#REF!-#REF!)/1000,0)</f>
        <v>#REF!</v>
      </c>
      <c r="M121" s="42"/>
      <c r="N121" s="42" t="e">
        <f aca="false">SUM(H121:L121)</f>
        <v>#REF!</v>
      </c>
      <c r="O121" s="42"/>
      <c r="P121" s="42" t="n">
        <v>4683</v>
      </c>
      <c r="Q121" s="42"/>
      <c r="R121" s="42" t="n">
        <v>-125</v>
      </c>
      <c r="S121" s="42"/>
      <c r="T121" s="42" t="n">
        <v>-1366</v>
      </c>
      <c r="U121" s="42"/>
      <c r="V121" s="42" t="n">
        <f aca="false">SUM(P121:T121)</f>
        <v>3192</v>
      </c>
      <c r="W121" s="42"/>
      <c r="X121" s="42" t="n">
        <v>3214</v>
      </c>
      <c r="Y121" s="42"/>
      <c r="Z121" s="42" t="n">
        <v>-125</v>
      </c>
      <c r="AA121" s="42"/>
      <c r="AB121" s="42" t="n">
        <v>-1366</v>
      </c>
      <c r="AC121" s="42"/>
      <c r="AD121" s="42" t="n">
        <f aca="false">SUM(X121:AB121)</f>
        <v>1723</v>
      </c>
      <c r="AE121" s="71"/>
      <c r="AF121" s="39" t="s">
        <v>474</v>
      </c>
    </row>
    <row r="122" customFormat="false" ht="12.75" hidden="false" customHeight="false" outlineLevel="0" collapsed="false">
      <c r="A122" s="135" t="s">
        <v>449</v>
      </c>
      <c r="B122" s="136"/>
      <c r="C122" s="139" t="e">
        <f aca="false">+#REF!</f>
        <v>#REF!</v>
      </c>
      <c r="D122" s="139" t="e">
        <f aca="false">+#REF!</f>
        <v>#REF!</v>
      </c>
      <c r="E122" s="68"/>
      <c r="F122" s="68" t="e">
        <f aca="false">+#REF!</f>
        <v>#REF!</v>
      </c>
      <c r="G122" s="140"/>
      <c r="H122" s="42" t="e">
        <f aca="false">ROUND(#REF!/1000,0)</f>
        <v>#REF!</v>
      </c>
      <c r="I122" s="42"/>
      <c r="J122" s="42" t="e">
        <f aca="false">ROUND(#REF!/1000,0)</f>
        <v>#REF!</v>
      </c>
      <c r="K122" s="42"/>
      <c r="L122" s="42" t="e">
        <f aca="false">-ROUND((#REF!-#REF!)/1000,0)</f>
        <v>#REF!</v>
      </c>
      <c r="M122" s="42"/>
      <c r="N122" s="42" t="e">
        <f aca="false">SUM(H122:L122)</f>
        <v>#REF!</v>
      </c>
      <c r="O122" s="42"/>
      <c r="P122" s="42" t="n">
        <v>1053</v>
      </c>
      <c r="Q122" s="42"/>
      <c r="R122" s="42" t="n">
        <v>-939</v>
      </c>
      <c r="S122" s="42"/>
      <c r="T122" s="42" t="n">
        <v>-100</v>
      </c>
      <c r="U122" s="42"/>
      <c r="V122" s="42" t="n">
        <f aca="false">SUM(P122:T122)</f>
        <v>14</v>
      </c>
      <c r="W122" s="42"/>
      <c r="X122" s="42" t="n">
        <v>1091</v>
      </c>
      <c r="Y122" s="42"/>
      <c r="Z122" s="42" t="n">
        <v>-939</v>
      </c>
      <c r="AA122" s="42"/>
      <c r="AB122" s="42" t="n">
        <v>-100</v>
      </c>
      <c r="AC122" s="42"/>
      <c r="AD122" s="42" t="n">
        <f aca="false">SUM(X122:AB122)</f>
        <v>52</v>
      </c>
      <c r="AE122" s="71"/>
      <c r="AF122" s="39" t="s">
        <v>475</v>
      </c>
    </row>
    <row r="123" customFormat="false" ht="12.75" hidden="false" customHeight="false" outlineLevel="0" collapsed="false">
      <c r="A123" s="135" t="s">
        <v>449</v>
      </c>
      <c r="B123" s="136"/>
      <c r="C123" s="139" t="e">
        <f aca="false">+#REF!</f>
        <v>#REF!</v>
      </c>
      <c r="D123" s="139" t="e">
        <f aca="false">+#REF!</f>
        <v>#REF!</v>
      </c>
      <c r="E123" s="68"/>
      <c r="F123" s="68" t="e">
        <f aca="false">+#REF!</f>
        <v>#REF!</v>
      </c>
      <c r="G123" s="140"/>
      <c r="H123" s="42" t="e">
        <f aca="false">ROUND(#REF!/1000,0)</f>
        <v>#REF!</v>
      </c>
      <c r="I123" s="42"/>
      <c r="J123" s="42" t="e">
        <f aca="false">ROUND(#REF!/1000,0)</f>
        <v>#REF!</v>
      </c>
      <c r="K123" s="42"/>
      <c r="L123" s="42" t="e">
        <f aca="false">-ROUND((#REF!-#REF!)/1000,0)</f>
        <v>#REF!</v>
      </c>
      <c r="M123" s="42"/>
      <c r="N123" s="42" t="e">
        <f aca="false">SUM(H123:L123)</f>
        <v>#REF!</v>
      </c>
      <c r="O123" s="42"/>
      <c r="P123" s="42" t="n">
        <v>0</v>
      </c>
      <c r="Q123" s="42"/>
      <c r="R123" s="42" t="n">
        <v>0</v>
      </c>
      <c r="S123" s="42"/>
      <c r="T123" s="42" t="n">
        <v>0</v>
      </c>
      <c r="U123" s="42"/>
      <c r="V123" s="42" t="n">
        <f aca="false">SUM(P123:T123)</f>
        <v>0</v>
      </c>
      <c r="W123" s="42"/>
      <c r="X123" s="42" t="n">
        <v>0</v>
      </c>
      <c r="Y123" s="42"/>
      <c r="Z123" s="42" t="n">
        <v>0</v>
      </c>
      <c r="AA123" s="42"/>
      <c r="AB123" s="42" t="n">
        <v>0</v>
      </c>
      <c r="AC123" s="42"/>
      <c r="AD123" s="42" t="n">
        <f aca="false">SUM(X123:AB123)</f>
        <v>0</v>
      </c>
      <c r="AE123" s="71"/>
      <c r="AF123" s="39"/>
    </row>
    <row r="124" customFormat="false" ht="12.75" hidden="false" customHeight="false" outlineLevel="0" collapsed="false">
      <c r="A124" s="135"/>
      <c r="B124" s="158"/>
      <c r="C124" s="38"/>
      <c r="D124" s="4"/>
      <c r="E124" s="4"/>
      <c r="F124" s="68"/>
      <c r="G124" s="140"/>
      <c r="H124" s="141"/>
      <c r="I124" s="42"/>
      <c r="J124" s="141"/>
      <c r="K124" s="42"/>
      <c r="L124" s="141"/>
      <c r="M124" s="42"/>
      <c r="N124" s="141"/>
      <c r="O124" s="42"/>
      <c r="P124" s="141"/>
      <c r="Q124" s="42"/>
      <c r="R124" s="141"/>
      <c r="S124" s="42"/>
      <c r="T124" s="141"/>
      <c r="U124" s="42"/>
      <c r="V124" s="141"/>
      <c r="W124" s="42"/>
      <c r="X124" s="141"/>
      <c r="Y124" s="42"/>
      <c r="Z124" s="141"/>
      <c r="AA124" s="42"/>
      <c r="AB124" s="141"/>
      <c r="AC124" s="42"/>
      <c r="AD124" s="141"/>
      <c r="AE124" s="71"/>
      <c r="AF124" s="39"/>
    </row>
    <row r="125" customFormat="false" ht="12.75" hidden="false" customHeight="false" outlineLevel="0" collapsed="false">
      <c r="A125" s="135"/>
      <c r="B125" s="158"/>
      <c r="C125" s="38"/>
      <c r="D125" s="4"/>
      <c r="E125" s="4"/>
      <c r="F125" s="68"/>
      <c r="G125" s="140"/>
      <c r="H125" s="149" t="e">
        <f aca="false">SUM(H120:H124)</f>
        <v>#REF!</v>
      </c>
      <c r="I125" s="42"/>
      <c r="J125" s="149" t="e">
        <f aca="false">SUM(J120:J124)</f>
        <v>#REF!</v>
      </c>
      <c r="K125" s="42"/>
      <c r="L125" s="149" t="e">
        <f aca="false">SUM(L120:L124)</f>
        <v>#REF!</v>
      </c>
      <c r="M125" s="42"/>
      <c r="N125" s="149" t="e">
        <f aca="false">SUM(N120:N124)</f>
        <v>#REF!</v>
      </c>
      <c r="O125" s="42"/>
      <c r="P125" s="149" t="n">
        <f aca="false">SUM(P120:P124)</f>
        <v>6108</v>
      </c>
      <c r="Q125" s="42"/>
      <c r="R125" s="149" t="n">
        <f aca="false">SUM(R120:R124)</f>
        <v>-1437</v>
      </c>
      <c r="S125" s="42"/>
      <c r="T125" s="149" t="n">
        <f aca="false">SUM(T120:T124)</f>
        <v>-1466</v>
      </c>
      <c r="U125" s="42"/>
      <c r="V125" s="149" t="n">
        <f aca="false">SUM(V120:V124)</f>
        <v>3205</v>
      </c>
      <c r="W125" s="42"/>
      <c r="X125" s="149" t="n">
        <f aca="false">SUM(X120:X124)</f>
        <v>4677</v>
      </c>
      <c r="Y125" s="42"/>
      <c r="Z125" s="149" t="n">
        <f aca="false">SUM(Z120:Z124)</f>
        <v>-1437</v>
      </c>
      <c r="AA125" s="42"/>
      <c r="AB125" s="149" t="n">
        <f aca="false">SUM(AB120:AB124)</f>
        <v>-1466</v>
      </c>
      <c r="AC125" s="42"/>
      <c r="AD125" s="149" t="n">
        <f aca="false">SUM(AD120:AD124)</f>
        <v>1774</v>
      </c>
      <c r="AE125" s="71"/>
      <c r="AF125" s="39"/>
    </row>
    <row r="126" customFormat="false" ht="12.75" hidden="false" customHeight="false" outlineLevel="0" collapsed="false">
      <c r="A126" s="135"/>
      <c r="B126" s="158"/>
      <c r="C126" s="38"/>
      <c r="D126" s="4"/>
      <c r="E126" s="4"/>
      <c r="F126" s="68"/>
      <c r="G126" s="140"/>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71"/>
      <c r="AF126" s="39"/>
    </row>
    <row r="127" customFormat="false" ht="12.75" hidden="false" customHeight="false" outlineLevel="0" collapsed="false">
      <c r="A127" s="135" t="s">
        <v>449</v>
      </c>
      <c r="B127" s="136"/>
      <c r="C127" s="139" t="e">
        <f aca="false">+#REF!</f>
        <v>#REF!</v>
      </c>
      <c r="D127" s="139" t="e">
        <f aca="false">+#REF!</f>
        <v>#REF!</v>
      </c>
      <c r="E127" s="68"/>
      <c r="F127" s="68" t="e">
        <f aca="false">+#REF!</f>
        <v>#REF!</v>
      </c>
      <c r="G127" s="129"/>
      <c r="H127" s="42" t="e">
        <f aca="false">ROUND(#REF!/1000,0)</f>
        <v>#REF!</v>
      </c>
      <c r="I127" s="42"/>
      <c r="J127" s="42" t="e">
        <f aca="false">ROUND(#REF!/1000,0)</f>
        <v>#REF!</v>
      </c>
      <c r="K127" s="42"/>
      <c r="L127" s="42" t="e">
        <f aca="false">-ROUND((#REF!-#REF!)/1000,0)</f>
        <v>#REF!</v>
      </c>
      <c r="M127" s="42"/>
      <c r="N127" s="42" t="e">
        <f aca="false">SUM(H127:L127)</f>
        <v>#REF!</v>
      </c>
      <c r="O127" s="42"/>
      <c r="P127" s="42" t="n">
        <v>1450</v>
      </c>
      <c r="Q127" s="42"/>
      <c r="R127" s="42" t="n">
        <v>-1450</v>
      </c>
      <c r="S127" s="42"/>
      <c r="T127" s="42" t="n">
        <v>0</v>
      </c>
      <c r="U127" s="42"/>
      <c r="V127" s="42" t="n">
        <f aca="false">SUM(P127:T127)</f>
        <v>0</v>
      </c>
      <c r="W127" s="42"/>
      <c r="X127" s="42" t="n">
        <f aca="false">1366+58</f>
        <v>1424</v>
      </c>
      <c r="Y127" s="42"/>
      <c r="Z127" s="42" t="n">
        <v>-1424</v>
      </c>
      <c r="AA127" s="42"/>
      <c r="AB127" s="42" t="n">
        <v>0</v>
      </c>
      <c r="AC127" s="42"/>
      <c r="AD127" s="42" t="n">
        <f aca="false">SUM(X127:AB127)</f>
        <v>0</v>
      </c>
      <c r="AE127" s="71"/>
      <c r="AF127" s="39" t="s">
        <v>476</v>
      </c>
    </row>
    <row r="128" customFormat="false" ht="12.75" hidden="false" customHeight="false" outlineLevel="0" collapsed="false">
      <c r="A128" s="135" t="n">
        <v>11</v>
      </c>
      <c r="B128" s="136"/>
      <c r="C128" s="139" t="e">
        <f aca="false">+#REF!</f>
        <v>#REF!</v>
      </c>
      <c r="D128" s="139" t="e">
        <f aca="false">+#REF!</f>
        <v>#REF!</v>
      </c>
      <c r="E128" s="68"/>
      <c r="F128" s="68" t="e">
        <f aca="false">+#REF!</f>
        <v>#REF!</v>
      </c>
      <c r="G128" s="129"/>
      <c r="H128" s="42" t="e">
        <f aca="false">ROUND(#REF!/1000,0)</f>
        <v>#REF!</v>
      </c>
      <c r="I128" s="42"/>
      <c r="J128" s="42" t="e">
        <f aca="false">ROUND(#REF!/1000,0)</f>
        <v>#REF!</v>
      </c>
      <c r="K128" s="42"/>
      <c r="L128" s="42" t="e">
        <f aca="false">-ROUND((#REF!-#REF!)/1000,0)</f>
        <v>#REF!</v>
      </c>
      <c r="M128" s="42"/>
      <c r="N128" s="42" t="e">
        <f aca="false">SUM(H128:L128)</f>
        <v>#REF!</v>
      </c>
      <c r="O128" s="42"/>
      <c r="P128" s="42" t="n">
        <v>1430</v>
      </c>
      <c r="Q128" s="42"/>
      <c r="R128" s="42" t="n">
        <v>0</v>
      </c>
      <c r="S128" s="42"/>
      <c r="T128" s="42" t="n">
        <v>0</v>
      </c>
      <c r="U128" s="42"/>
      <c r="V128" s="42" t="n">
        <f aca="false">SUM(P128:T128)</f>
        <v>1430</v>
      </c>
      <c r="W128" s="42"/>
      <c r="X128" s="42" t="n">
        <v>1830</v>
      </c>
      <c r="Y128" s="42"/>
      <c r="Z128" s="42" t="n">
        <v>0</v>
      </c>
      <c r="AA128" s="42"/>
      <c r="AB128" s="42" t="n">
        <v>0</v>
      </c>
      <c r="AC128" s="42"/>
      <c r="AD128" s="42" t="n">
        <f aca="false">SUM(X128:AB128)</f>
        <v>1830</v>
      </c>
      <c r="AE128" s="71"/>
      <c r="AF128" s="39" t="s">
        <v>477</v>
      </c>
    </row>
    <row r="129" customFormat="false" ht="12.75" hidden="false" customHeight="false" outlineLevel="0" collapsed="false">
      <c r="A129" s="135" t="s">
        <v>449</v>
      </c>
      <c r="B129" s="136"/>
      <c r="C129" s="139" t="e">
        <f aca="false">+#REF!</f>
        <v>#REF!</v>
      </c>
      <c r="D129" s="139" t="e">
        <f aca="false">+#REF!</f>
        <v>#REF!</v>
      </c>
      <c r="E129" s="68"/>
      <c r="F129" s="68" t="e">
        <f aca="false">+#REF!</f>
        <v>#REF!</v>
      </c>
      <c r="G129" s="140"/>
      <c r="H129" s="42" t="e">
        <f aca="false">ROUND(#REF!/1000,0)</f>
        <v>#REF!</v>
      </c>
      <c r="I129" s="42"/>
      <c r="J129" s="42" t="e">
        <f aca="false">ROUND(#REF!/1000,0)</f>
        <v>#REF!</v>
      </c>
      <c r="K129" s="42"/>
      <c r="L129" s="42" t="e">
        <f aca="false">-ROUND((#REF!-#REF!)/1000,0)</f>
        <v>#REF!</v>
      </c>
      <c r="M129" s="42"/>
      <c r="N129" s="42" t="e">
        <f aca="false">SUM(H129:L129)</f>
        <v>#REF!</v>
      </c>
      <c r="O129" s="42"/>
      <c r="P129" s="42" t="n">
        <v>455</v>
      </c>
      <c r="Q129" s="42"/>
      <c r="R129" s="42" t="n">
        <v>-455</v>
      </c>
      <c r="S129" s="42"/>
      <c r="T129" s="42" t="n">
        <v>0</v>
      </c>
      <c r="U129" s="42"/>
      <c r="V129" s="42" t="n">
        <f aca="false">SUM(P129:T129)</f>
        <v>0</v>
      </c>
      <c r="W129" s="42"/>
      <c r="X129" s="42" t="n">
        <v>0</v>
      </c>
      <c r="Y129" s="42"/>
      <c r="Z129" s="42" t="n">
        <v>0</v>
      </c>
      <c r="AA129" s="42"/>
      <c r="AB129" s="42" t="n">
        <v>0</v>
      </c>
      <c r="AC129" s="42"/>
      <c r="AD129" s="42" t="n">
        <f aca="false">SUM(X129:AB129)</f>
        <v>0</v>
      </c>
      <c r="AE129" s="71"/>
      <c r="AF129" s="39" t="s">
        <v>153</v>
      </c>
    </row>
    <row r="130" customFormat="false" ht="12.75" hidden="false" customHeight="false" outlineLevel="0" collapsed="false">
      <c r="A130" s="135" t="s">
        <v>449</v>
      </c>
      <c r="B130" s="136"/>
      <c r="C130" s="139" t="e">
        <f aca="false">+#REF!</f>
        <v>#REF!</v>
      </c>
      <c r="D130" s="139" t="e">
        <f aca="false">+#REF!</f>
        <v>#REF!</v>
      </c>
      <c r="E130" s="68"/>
      <c r="F130" s="68" t="e">
        <f aca="false">+#REF!</f>
        <v>#REF!</v>
      </c>
      <c r="G130" s="140"/>
      <c r="H130" s="42" t="e">
        <f aca="false">ROUND(#REF!/1000,0)</f>
        <v>#REF!</v>
      </c>
      <c r="I130" s="42"/>
      <c r="J130" s="42" t="e">
        <f aca="false">ROUND(#REF!/1000,0)</f>
        <v>#REF!</v>
      </c>
      <c r="K130" s="42"/>
      <c r="L130" s="42" t="e">
        <f aca="false">-ROUND((#REF!-#REF!)/1000,0)</f>
        <v>#REF!</v>
      </c>
      <c r="M130" s="42"/>
      <c r="N130" s="42" t="e">
        <f aca="false">SUM(H130:L130)</f>
        <v>#REF!</v>
      </c>
      <c r="O130" s="42"/>
      <c r="P130" s="42" t="n">
        <v>1329</v>
      </c>
      <c r="Q130" s="42"/>
      <c r="R130" s="42" t="n">
        <v>-1329</v>
      </c>
      <c r="S130" s="42"/>
      <c r="T130" s="42" t="n">
        <v>0</v>
      </c>
      <c r="U130" s="42"/>
      <c r="V130" s="42" t="n">
        <f aca="false">SUM(P130:T130)</f>
        <v>0</v>
      </c>
      <c r="W130" s="42"/>
      <c r="X130" s="42" t="n">
        <f aca="false">1116+302</f>
        <v>1418</v>
      </c>
      <c r="Y130" s="42"/>
      <c r="Z130" s="42" t="n">
        <v>-1418</v>
      </c>
      <c r="AA130" s="42"/>
      <c r="AB130" s="42" t="n">
        <v>0</v>
      </c>
      <c r="AC130" s="42"/>
      <c r="AD130" s="42" t="n">
        <f aca="false">SUM(X130:AB130)</f>
        <v>0</v>
      </c>
      <c r="AE130" s="71"/>
      <c r="AF130" s="39" t="s">
        <v>478</v>
      </c>
    </row>
    <row r="131" customFormat="false" ht="12.75" hidden="false" customHeight="false" outlineLevel="0" collapsed="false">
      <c r="A131" s="135" t="s">
        <v>449</v>
      </c>
      <c r="B131" s="136"/>
      <c r="C131" s="139" t="e">
        <f aca="false">+#REF!</f>
        <v>#REF!</v>
      </c>
      <c r="D131" s="139" t="e">
        <f aca="false">+#REF!</f>
        <v>#REF!</v>
      </c>
      <c r="E131" s="68"/>
      <c r="F131" s="68" t="e">
        <f aca="false">+#REF!</f>
        <v>#REF!</v>
      </c>
      <c r="G131" s="140"/>
      <c r="H131" s="42" t="e">
        <f aca="false">ROUND(#REF!/1000,0)</f>
        <v>#REF!</v>
      </c>
      <c r="I131" s="42"/>
      <c r="J131" s="42" t="e">
        <f aca="false">ROUND(#REF!/1000,0)</f>
        <v>#REF!</v>
      </c>
      <c r="K131" s="42"/>
      <c r="L131" s="42" t="e">
        <f aca="false">-ROUND((#REF!-#REF!)/1000,0)</f>
        <v>#REF!</v>
      </c>
      <c r="M131" s="42"/>
      <c r="N131" s="42" t="e">
        <f aca="false">SUM(H131:L131)</f>
        <v>#REF!</v>
      </c>
      <c r="O131" s="42"/>
      <c r="P131" s="42" t="n">
        <v>1382</v>
      </c>
      <c r="Q131" s="42"/>
      <c r="R131" s="42" t="n">
        <v>-1382</v>
      </c>
      <c r="S131" s="42"/>
      <c r="T131" s="42" t="n">
        <v>0</v>
      </c>
      <c r="U131" s="42"/>
      <c r="V131" s="42" t="n">
        <f aca="false">SUM(P131:T131)</f>
        <v>0</v>
      </c>
      <c r="W131" s="42"/>
      <c r="X131" s="42" t="n">
        <f aca="false">1399+135</f>
        <v>1534</v>
      </c>
      <c r="Y131" s="42"/>
      <c r="Z131" s="42" t="n">
        <v>-1534</v>
      </c>
      <c r="AA131" s="42"/>
      <c r="AB131" s="42" t="n">
        <v>0</v>
      </c>
      <c r="AC131" s="42"/>
      <c r="AD131" s="42" t="n">
        <f aca="false">SUM(X131:AB131)</f>
        <v>0</v>
      </c>
      <c r="AE131" s="71"/>
      <c r="AF131" s="39" t="s">
        <v>478</v>
      </c>
    </row>
    <row r="132" customFormat="false" ht="12.75" hidden="false" customHeight="false" outlineLevel="0" collapsed="false">
      <c r="A132" s="135" t="s">
        <v>449</v>
      </c>
      <c r="B132" s="136"/>
      <c r="C132" s="139" t="e">
        <f aca="false">+#REF!</f>
        <v>#REF!</v>
      </c>
      <c r="D132" s="139" t="e">
        <f aca="false">+#REF!</f>
        <v>#REF!</v>
      </c>
      <c r="E132" s="68"/>
      <c r="F132" s="68" t="e">
        <f aca="false">+#REF!</f>
        <v>#REF!</v>
      </c>
      <c r="G132" s="140"/>
      <c r="H132" s="42" t="e">
        <f aca="false">ROUND(#REF!/1000,0)</f>
        <v>#REF!</v>
      </c>
      <c r="I132" s="42"/>
      <c r="J132" s="42" t="e">
        <f aca="false">ROUND(#REF!/1000,0)</f>
        <v>#REF!</v>
      </c>
      <c r="K132" s="42"/>
      <c r="L132" s="42" t="e">
        <f aca="false">-ROUND((#REF!-#REF!)/1000,0)</f>
        <v>#REF!</v>
      </c>
      <c r="M132" s="42"/>
      <c r="N132" s="42" t="e">
        <f aca="false">SUM(H132:L132)</f>
        <v>#REF!</v>
      </c>
      <c r="O132" s="42"/>
      <c r="P132" s="42" t="n">
        <v>532</v>
      </c>
      <c r="Q132" s="42"/>
      <c r="R132" s="42" t="n">
        <v>-532</v>
      </c>
      <c r="S132" s="42"/>
      <c r="T132" s="42" t="n">
        <v>0</v>
      </c>
      <c r="U132" s="42"/>
      <c r="V132" s="42" t="n">
        <f aca="false">SUM(P132:T132)</f>
        <v>0</v>
      </c>
      <c r="W132" s="42"/>
      <c r="X132" s="42" t="n">
        <v>0</v>
      </c>
      <c r="Y132" s="42"/>
      <c r="Z132" s="42" t="n">
        <v>0</v>
      </c>
      <c r="AA132" s="42"/>
      <c r="AB132" s="42" t="n">
        <v>0</v>
      </c>
      <c r="AC132" s="42"/>
      <c r="AD132" s="42" t="n">
        <f aca="false">SUM(X132:AB132)</f>
        <v>0</v>
      </c>
      <c r="AE132" s="71"/>
      <c r="AF132" s="39" t="s">
        <v>478</v>
      </c>
    </row>
    <row r="133" customFormat="false" ht="12.75" hidden="false" customHeight="false" outlineLevel="0" collapsed="false">
      <c r="A133" s="135" t="s">
        <v>449</v>
      </c>
      <c r="B133" s="136"/>
      <c r="C133" s="139" t="e">
        <f aca="false">+#REF!</f>
        <v>#REF!</v>
      </c>
      <c r="D133" s="139" t="e">
        <f aca="false">+#REF!</f>
        <v>#REF!</v>
      </c>
      <c r="E133" s="68"/>
      <c r="F133" s="68" t="e">
        <f aca="false">+#REF!</f>
        <v>#REF!</v>
      </c>
      <c r="G133" s="140"/>
      <c r="H133" s="42" t="e">
        <f aca="false">ROUND(#REF!/1000,0)</f>
        <v>#REF!</v>
      </c>
      <c r="I133" s="42"/>
      <c r="J133" s="42" t="e">
        <f aca="false">ROUND(#REF!/1000,0)</f>
        <v>#REF!</v>
      </c>
      <c r="K133" s="42"/>
      <c r="L133" s="42" t="e">
        <f aca="false">-ROUND((#REF!-#REF!)/1000,0)</f>
        <v>#REF!</v>
      </c>
      <c r="M133" s="42"/>
      <c r="N133" s="42" t="e">
        <f aca="false">SUM(H133:L133)</f>
        <v>#REF!</v>
      </c>
      <c r="O133" s="42"/>
      <c r="P133" s="42" t="n">
        <v>834</v>
      </c>
      <c r="Q133" s="42"/>
      <c r="R133" s="42" t="n">
        <v>-834</v>
      </c>
      <c r="S133" s="42"/>
      <c r="T133" s="42" t="n">
        <v>0</v>
      </c>
      <c r="U133" s="42"/>
      <c r="V133" s="42" t="n">
        <f aca="false">SUM(P133:T133)</f>
        <v>0</v>
      </c>
      <c r="W133" s="42"/>
      <c r="X133" s="42" t="n">
        <f aca="false">132+704</f>
        <v>836</v>
      </c>
      <c r="Y133" s="42"/>
      <c r="Z133" s="42" t="n">
        <v>-836</v>
      </c>
      <c r="AA133" s="42"/>
      <c r="AB133" s="42" t="n">
        <v>0</v>
      </c>
      <c r="AC133" s="42"/>
      <c r="AD133" s="42" t="n">
        <f aca="false">SUM(X133:AB133)</f>
        <v>0</v>
      </c>
      <c r="AE133" s="71"/>
      <c r="AF133" s="39" t="s">
        <v>478</v>
      </c>
    </row>
    <row r="134" customFormat="false" ht="12.75" hidden="false" customHeight="false" outlineLevel="0" collapsed="false">
      <c r="A134" s="135" t="s">
        <v>449</v>
      </c>
      <c r="B134" s="136"/>
      <c r="C134" s="139" t="e">
        <f aca="false">+#REF!</f>
        <v>#REF!</v>
      </c>
      <c r="D134" s="139" t="e">
        <f aca="false">+#REF!</f>
        <v>#REF!</v>
      </c>
      <c r="E134" s="68"/>
      <c r="F134" s="68" t="e">
        <f aca="false">+#REF!</f>
        <v>#REF!</v>
      </c>
      <c r="G134" s="140"/>
      <c r="H134" s="42" t="e">
        <f aca="false">ROUND(#REF!/1000,0)</f>
        <v>#REF!</v>
      </c>
      <c r="I134" s="42"/>
      <c r="J134" s="42" t="e">
        <f aca="false">ROUND(#REF!/1000,0)</f>
        <v>#REF!</v>
      </c>
      <c r="K134" s="42"/>
      <c r="L134" s="42" t="e">
        <f aca="false">-ROUND((#REF!-#REF!)/1000,0)</f>
        <v>#REF!</v>
      </c>
      <c r="M134" s="42"/>
      <c r="N134" s="42" t="e">
        <f aca="false">SUM(H134:L134)</f>
        <v>#REF!</v>
      </c>
      <c r="O134" s="42"/>
      <c r="P134" s="42" t="n">
        <v>527</v>
      </c>
      <c r="Q134" s="42"/>
      <c r="R134" s="42" t="n">
        <v>-527</v>
      </c>
      <c r="S134" s="42"/>
      <c r="T134" s="42" t="n">
        <v>0</v>
      </c>
      <c r="U134" s="42"/>
      <c r="V134" s="42" t="n">
        <f aca="false">SUM(P134:T134)</f>
        <v>0</v>
      </c>
      <c r="W134" s="42"/>
      <c r="X134" s="42" t="n">
        <f aca="false">133+305</f>
        <v>438</v>
      </c>
      <c r="Y134" s="42"/>
      <c r="Z134" s="42" t="n">
        <v>-438</v>
      </c>
      <c r="AA134" s="42"/>
      <c r="AB134" s="42" t="n">
        <v>0</v>
      </c>
      <c r="AC134" s="42"/>
      <c r="AD134" s="42" t="n">
        <f aca="false">SUM(X134:AB134)</f>
        <v>0</v>
      </c>
      <c r="AE134" s="71"/>
      <c r="AF134" s="39" t="s">
        <v>478</v>
      </c>
    </row>
    <row r="135" customFormat="false" ht="12.75" hidden="false" customHeight="false" outlineLevel="0" collapsed="false">
      <c r="A135" s="135" t="s">
        <v>449</v>
      </c>
      <c r="B135" s="136"/>
      <c r="C135" s="139" t="e">
        <f aca="false">+#REF!</f>
        <v>#REF!</v>
      </c>
      <c r="D135" s="139" t="e">
        <f aca="false">+#REF!</f>
        <v>#REF!</v>
      </c>
      <c r="E135" s="68"/>
      <c r="F135" s="68" t="e">
        <f aca="false">+#REF!</f>
        <v>#REF!</v>
      </c>
      <c r="G135" s="140"/>
      <c r="H135" s="42" t="e">
        <f aca="false">ROUND(#REF!/1000,0)</f>
        <v>#REF!</v>
      </c>
      <c r="I135" s="42"/>
      <c r="J135" s="42" t="e">
        <f aca="false">ROUND(#REF!/1000,0)</f>
        <v>#REF!</v>
      </c>
      <c r="K135" s="42"/>
      <c r="L135" s="42" t="e">
        <f aca="false">-ROUND((#REF!-#REF!)/1000,0)</f>
        <v>#REF!</v>
      </c>
      <c r="M135" s="42"/>
      <c r="N135" s="42" t="e">
        <f aca="false">SUM(H135:L135)</f>
        <v>#REF!</v>
      </c>
      <c r="O135" s="42"/>
      <c r="P135" s="42" t="n">
        <v>969</v>
      </c>
      <c r="Q135" s="42"/>
      <c r="R135" s="42" t="n">
        <v>-969</v>
      </c>
      <c r="S135" s="42"/>
      <c r="T135" s="42" t="n">
        <v>0</v>
      </c>
      <c r="U135" s="42"/>
      <c r="V135" s="42" t="n">
        <f aca="false">SUM(P135:T135)</f>
        <v>0</v>
      </c>
      <c r="W135" s="42"/>
      <c r="X135" s="42" t="n">
        <f aca="false">33+863</f>
        <v>896</v>
      </c>
      <c r="Y135" s="42"/>
      <c r="Z135" s="42" t="n">
        <v>-896</v>
      </c>
      <c r="AA135" s="42"/>
      <c r="AB135" s="42" t="n">
        <v>0</v>
      </c>
      <c r="AC135" s="42"/>
      <c r="AD135" s="42" t="n">
        <f aca="false">SUM(X135:AB135)</f>
        <v>0</v>
      </c>
      <c r="AE135" s="71"/>
      <c r="AF135" s="39" t="s">
        <v>478</v>
      </c>
    </row>
    <row r="136" customFormat="false" ht="12.75" hidden="false" customHeight="false" outlineLevel="0" collapsed="false">
      <c r="A136" s="135" t="s">
        <v>449</v>
      </c>
      <c r="B136" s="136"/>
      <c r="C136" s="139" t="e">
        <f aca="false">+#REF!</f>
        <v>#REF!</v>
      </c>
      <c r="D136" s="139" t="e">
        <f aca="false">+#REF!</f>
        <v>#REF!</v>
      </c>
      <c r="E136" s="68"/>
      <c r="F136" s="68" t="e">
        <f aca="false">+#REF!</f>
        <v>#REF!</v>
      </c>
      <c r="G136" s="140"/>
      <c r="H136" s="42" t="e">
        <f aca="false">ROUND(#REF!/1000,0)</f>
        <v>#REF!</v>
      </c>
      <c r="I136" s="42"/>
      <c r="J136" s="42" t="e">
        <f aca="false">ROUND(#REF!/1000,0)</f>
        <v>#REF!</v>
      </c>
      <c r="K136" s="42"/>
      <c r="L136" s="42" t="e">
        <f aca="false">-ROUND((#REF!-#REF!)/1000,0)</f>
        <v>#REF!</v>
      </c>
      <c r="M136" s="42"/>
      <c r="N136" s="42" t="e">
        <f aca="false">SUM(H136:L136)</f>
        <v>#REF!</v>
      </c>
      <c r="O136" s="42"/>
      <c r="P136" s="42" t="n">
        <v>0</v>
      </c>
      <c r="Q136" s="42"/>
      <c r="R136" s="42" t="n">
        <v>0</v>
      </c>
      <c r="S136" s="42"/>
      <c r="T136" s="42" t="n">
        <v>0</v>
      </c>
      <c r="U136" s="42"/>
      <c r="V136" s="42" t="n">
        <f aca="false">SUM(P136:T136)</f>
        <v>0</v>
      </c>
      <c r="W136" s="42"/>
      <c r="X136" s="42" t="n">
        <v>0</v>
      </c>
      <c r="Y136" s="42"/>
      <c r="Z136" s="42" t="n">
        <v>0</v>
      </c>
      <c r="AA136" s="42"/>
      <c r="AB136" s="42" t="n">
        <v>0</v>
      </c>
      <c r="AC136" s="42"/>
      <c r="AD136" s="42" t="n">
        <f aca="false">SUM(X136:AB136)</f>
        <v>0</v>
      </c>
      <c r="AE136" s="71"/>
      <c r="AF136" s="39" t="s">
        <v>478</v>
      </c>
    </row>
    <row r="137" customFormat="false" ht="12.75" hidden="false" customHeight="false" outlineLevel="0" collapsed="false">
      <c r="A137" s="135" t="s">
        <v>449</v>
      </c>
      <c r="B137" s="136"/>
      <c r="C137" s="139" t="e">
        <f aca="false">+#REF!</f>
        <v>#REF!</v>
      </c>
      <c r="D137" s="139" t="e">
        <f aca="false">+#REF!</f>
        <v>#REF!</v>
      </c>
      <c r="E137" s="68"/>
      <c r="F137" s="68" t="e">
        <f aca="false">+#REF!</f>
        <v>#REF!</v>
      </c>
      <c r="G137" s="140"/>
      <c r="H137" s="42" t="e">
        <f aca="false">ROUND(#REF!/1000,0)</f>
        <v>#REF!</v>
      </c>
      <c r="I137" s="42"/>
      <c r="J137" s="42" t="e">
        <f aca="false">ROUND(#REF!/1000,0)</f>
        <v>#REF!</v>
      </c>
      <c r="K137" s="42"/>
      <c r="L137" s="42" t="e">
        <f aca="false">-ROUND((#REF!-#REF!)/1000,0)</f>
        <v>#REF!</v>
      </c>
      <c r="M137" s="42"/>
      <c r="N137" s="42" t="e">
        <f aca="false">SUM(H137:L137)</f>
        <v>#REF!</v>
      </c>
      <c r="O137" s="42"/>
      <c r="P137" s="42" t="n">
        <v>13240</v>
      </c>
      <c r="Q137" s="42"/>
      <c r="R137" s="42" t="n">
        <v>-13240</v>
      </c>
      <c r="S137" s="42"/>
      <c r="T137" s="42" t="n">
        <v>0</v>
      </c>
      <c r="U137" s="42"/>
      <c r="V137" s="42" t="n">
        <f aca="false">SUM(P137:T137)</f>
        <v>0</v>
      </c>
      <c r="W137" s="42"/>
      <c r="X137" s="42" t="n">
        <f aca="false">9499+249</f>
        <v>9748</v>
      </c>
      <c r="Y137" s="42"/>
      <c r="Z137" s="42" t="n">
        <v>-9748</v>
      </c>
      <c r="AA137" s="42"/>
      <c r="AB137" s="42" t="n">
        <v>0</v>
      </c>
      <c r="AC137" s="42"/>
      <c r="AD137" s="42" t="n">
        <f aca="false">SUM(X137:AB137)</f>
        <v>0</v>
      </c>
      <c r="AE137" s="71"/>
      <c r="AF137" s="39" t="s">
        <v>478</v>
      </c>
    </row>
    <row r="138" customFormat="false" ht="12.75" hidden="false" customHeight="false" outlineLevel="0" collapsed="false">
      <c r="A138" s="135" t="s">
        <v>449</v>
      </c>
      <c r="B138" s="136"/>
      <c r="C138" s="139" t="e">
        <f aca="false">+#REF!</f>
        <v>#REF!</v>
      </c>
      <c r="D138" s="139" t="e">
        <f aca="false">+#REF!</f>
        <v>#REF!</v>
      </c>
      <c r="E138" s="68"/>
      <c r="F138" s="68" t="e">
        <f aca="false">+#REF!</f>
        <v>#REF!</v>
      </c>
      <c r="G138" s="140"/>
      <c r="H138" s="42" t="e">
        <f aca="false">ROUND(#REF!/1000,0)</f>
        <v>#REF!</v>
      </c>
      <c r="I138" s="42"/>
      <c r="J138" s="42" t="e">
        <f aca="false">ROUND(#REF!/1000,0)</f>
        <v>#REF!</v>
      </c>
      <c r="K138" s="42"/>
      <c r="L138" s="42" t="e">
        <f aca="false">-ROUND((#REF!-#REF!)/1000,0)</f>
        <v>#REF!</v>
      </c>
      <c r="M138" s="42"/>
      <c r="N138" s="42" t="e">
        <f aca="false">SUM(H138:L138)</f>
        <v>#REF!</v>
      </c>
      <c r="O138" s="42"/>
      <c r="P138" s="42" t="n">
        <v>3350</v>
      </c>
      <c r="Q138" s="42"/>
      <c r="R138" s="42" t="n">
        <v>-3350</v>
      </c>
      <c r="S138" s="42"/>
      <c r="T138" s="42" t="n">
        <v>0</v>
      </c>
      <c r="U138" s="42"/>
      <c r="V138" s="42" t="n">
        <f aca="false">SUM(P138:T138)</f>
        <v>0</v>
      </c>
      <c r="W138" s="42"/>
      <c r="X138" s="42" t="n">
        <f aca="false">1424+5</f>
        <v>1429</v>
      </c>
      <c r="Y138" s="42"/>
      <c r="Z138" s="42" t="n">
        <v>-1429</v>
      </c>
      <c r="AA138" s="42"/>
      <c r="AB138" s="42" t="n">
        <v>0</v>
      </c>
      <c r="AC138" s="42"/>
      <c r="AD138" s="42" t="n">
        <f aca="false">SUM(X138:AB138)</f>
        <v>0</v>
      </c>
      <c r="AE138" s="71"/>
      <c r="AF138" s="39" t="s">
        <v>479</v>
      </c>
    </row>
    <row r="139" customFormat="false" ht="12.75" hidden="false" customHeight="false" outlineLevel="0" collapsed="false">
      <c r="A139" s="135" t="s">
        <v>449</v>
      </c>
      <c r="B139" s="136"/>
      <c r="C139" s="139" t="e">
        <f aca="false">+#REF!</f>
        <v>#REF!</v>
      </c>
      <c r="D139" s="139" t="e">
        <f aca="false">+#REF!</f>
        <v>#REF!</v>
      </c>
      <c r="E139" s="68"/>
      <c r="F139" s="68" t="e">
        <f aca="false">+#REF!</f>
        <v>#REF!</v>
      </c>
      <c r="G139" s="140"/>
      <c r="H139" s="42" t="e">
        <f aca="false">ROUND(#REF!/1000,0)</f>
        <v>#REF!</v>
      </c>
      <c r="I139" s="42"/>
      <c r="J139" s="42" t="e">
        <f aca="false">ROUND(#REF!/1000,0)</f>
        <v>#REF!</v>
      </c>
      <c r="K139" s="42"/>
      <c r="L139" s="42" t="e">
        <f aca="false">-ROUND((#REF!-#REF!)/1000,0)</f>
        <v>#REF!</v>
      </c>
      <c r="M139" s="42"/>
      <c r="N139" s="42" t="e">
        <f aca="false">SUM(H139:L139)</f>
        <v>#REF!</v>
      </c>
      <c r="O139" s="42"/>
      <c r="P139" s="42" t="n">
        <v>7565</v>
      </c>
      <c r="Q139" s="42"/>
      <c r="R139" s="42" t="n">
        <v>-7565</v>
      </c>
      <c r="S139" s="42"/>
      <c r="T139" s="42" t="n">
        <v>0</v>
      </c>
      <c r="U139" s="42"/>
      <c r="V139" s="42" t="n">
        <f aca="false">SUM(P139:T139)</f>
        <v>0</v>
      </c>
      <c r="W139" s="42"/>
      <c r="X139" s="42" t="n">
        <f aca="false">8017+60</f>
        <v>8077</v>
      </c>
      <c r="Y139" s="42"/>
      <c r="Z139" s="42" t="n">
        <v>-8077</v>
      </c>
      <c r="AA139" s="42"/>
      <c r="AB139" s="42" t="n">
        <v>0</v>
      </c>
      <c r="AC139" s="42"/>
      <c r="AD139" s="42" t="n">
        <f aca="false">SUM(X139:AB139)</f>
        <v>0</v>
      </c>
      <c r="AE139" s="71"/>
      <c r="AF139" s="39" t="s">
        <v>480</v>
      </c>
    </row>
    <row r="140" customFormat="false" ht="12.75" hidden="false" customHeight="false" outlineLevel="0" collapsed="false">
      <c r="A140" s="135"/>
      <c r="B140" s="136"/>
      <c r="C140" s="129" t="s">
        <v>481</v>
      </c>
      <c r="D140" s="4"/>
      <c r="E140" s="4"/>
      <c r="F140" s="68"/>
      <c r="G140" s="140"/>
      <c r="H140" s="42" t="n">
        <f aca="false">-2477-102</f>
        <v>-2579</v>
      </c>
      <c r="I140" s="42"/>
      <c r="J140" s="42" t="n">
        <v>0</v>
      </c>
      <c r="K140" s="42"/>
      <c r="L140" s="42" t="n">
        <v>0</v>
      </c>
      <c r="M140" s="42"/>
      <c r="N140" s="42" t="n">
        <f aca="false">SUM(H140:L140)</f>
        <v>-2579</v>
      </c>
      <c r="O140" s="42"/>
      <c r="P140" s="42"/>
      <c r="Q140" s="42"/>
      <c r="R140" s="42"/>
      <c r="S140" s="42"/>
      <c r="T140" s="42"/>
      <c r="U140" s="42"/>
      <c r="V140" s="42"/>
      <c r="W140" s="42"/>
      <c r="X140" s="42" t="n">
        <v>0</v>
      </c>
      <c r="Y140" s="42"/>
      <c r="Z140" s="42" t="n">
        <v>0</v>
      </c>
      <c r="AA140" s="42"/>
      <c r="AB140" s="42" t="n">
        <v>0</v>
      </c>
      <c r="AC140" s="42"/>
      <c r="AD140" s="42" t="n">
        <f aca="false">SUM(X140:AB140)</f>
        <v>0</v>
      </c>
      <c r="AE140" s="71"/>
      <c r="AF140" s="39"/>
    </row>
    <row r="141" customFormat="false" ht="12.75" hidden="false" customHeight="false" outlineLevel="0" collapsed="false">
      <c r="A141" s="135"/>
      <c r="B141" s="158"/>
      <c r="C141" s="38"/>
      <c r="D141" s="4"/>
      <c r="E141" s="4"/>
      <c r="F141" s="68"/>
      <c r="G141" s="140"/>
      <c r="H141" s="141"/>
      <c r="I141" s="42"/>
      <c r="J141" s="141"/>
      <c r="K141" s="42"/>
      <c r="L141" s="141"/>
      <c r="M141" s="42"/>
      <c r="N141" s="141"/>
      <c r="O141" s="42"/>
      <c r="P141" s="141"/>
      <c r="Q141" s="42"/>
      <c r="R141" s="141"/>
      <c r="S141" s="42"/>
      <c r="T141" s="141"/>
      <c r="U141" s="42"/>
      <c r="V141" s="141"/>
      <c r="W141" s="42"/>
      <c r="X141" s="141"/>
      <c r="Y141" s="42"/>
      <c r="Z141" s="141"/>
      <c r="AA141" s="42"/>
      <c r="AB141" s="141"/>
      <c r="AC141" s="42"/>
      <c r="AD141" s="141"/>
      <c r="AE141" s="71"/>
      <c r="AF141" s="39"/>
    </row>
    <row r="142" customFormat="false" ht="12.75" hidden="false" customHeight="false" outlineLevel="0" collapsed="false">
      <c r="A142" s="135"/>
      <c r="B142" s="158"/>
      <c r="C142" s="38"/>
      <c r="D142" s="4"/>
      <c r="E142" s="4"/>
      <c r="F142" s="68"/>
      <c r="G142" s="140"/>
      <c r="H142" s="149" t="e">
        <f aca="false">SUM(H127:H141)</f>
        <v>#REF!</v>
      </c>
      <c r="I142" s="42"/>
      <c r="J142" s="149" t="e">
        <f aca="false">SUM(J127:J141)</f>
        <v>#REF!</v>
      </c>
      <c r="K142" s="42"/>
      <c r="L142" s="149" t="e">
        <f aca="false">SUM(L127:L141)</f>
        <v>#REF!</v>
      </c>
      <c r="M142" s="42"/>
      <c r="N142" s="149" t="e">
        <f aca="false">SUM(N127:N141)</f>
        <v>#REF!</v>
      </c>
      <c r="O142" s="42"/>
      <c r="P142" s="149" t="n">
        <f aca="false">SUM(P127:P141)</f>
        <v>33063</v>
      </c>
      <c r="Q142" s="42"/>
      <c r="R142" s="149" t="n">
        <f aca="false">SUM(R127:R141)</f>
        <v>-31633</v>
      </c>
      <c r="S142" s="42"/>
      <c r="T142" s="149" t="n">
        <f aca="false">SUM(T127:T141)</f>
        <v>0</v>
      </c>
      <c r="U142" s="42"/>
      <c r="V142" s="149" t="n">
        <f aca="false">SUM(V127:V141)</f>
        <v>1430</v>
      </c>
      <c r="W142" s="42"/>
      <c r="X142" s="149" t="n">
        <f aca="false">SUM(X127:X141)</f>
        <v>27630</v>
      </c>
      <c r="Y142" s="42"/>
      <c r="Z142" s="149" t="n">
        <f aca="false">SUM(Z127:Z141)</f>
        <v>-25800</v>
      </c>
      <c r="AA142" s="42"/>
      <c r="AB142" s="149" t="n">
        <f aca="false">SUM(AB127:AB141)</f>
        <v>0</v>
      </c>
      <c r="AC142" s="42"/>
      <c r="AD142" s="149" t="n">
        <f aca="false">SUM(AD127:AD141)</f>
        <v>1830</v>
      </c>
      <c r="AE142" s="71"/>
      <c r="AF142" s="39"/>
    </row>
    <row r="143" customFormat="false" ht="12.75" hidden="false" customHeight="false" outlineLevel="0" collapsed="false">
      <c r="A143" s="135"/>
      <c r="B143" s="158"/>
      <c r="C143" s="38"/>
      <c r="D143" s="4"/>
      <c r="E143" s="4"/>
      <c r="F143" s="68"/>
      <c r="G143" s="140"/>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71"/>
      <c r="AF143" s="39"/>
    </row>
    <row r="144" customFormat="false" ht="12.75" hidden="false" customHeight="false" outlineLevel="0" collapsed="false">
      <c r="A144" s="135" t="n">
        <v>1</v>
      </c>
      <c r="B144" s="136"/>
      <c r="C144" s="139" t="e">
        <f aca="false">+#REF!</f>
        <v>#REF!</v>
      </c>
      <c r="D144" s="139" t="e">
        <f aca="false">+#REF!</f>
        <v>#REF!</v>
      </c>
      <c r="E144" s="68"/>
      <c r="F144" s="68" t="e">
        <f aca="false">+#REF!</f>
        <v>#REF!</v>
      </c>
      <c r="G144" s="129"/>
      <c r="H144" s="42" t="e">
        <f aca="false">ROUND(#REF!/1000,0)</f>
        <v>#REF!</v>
      </c>
      <c r="I144" s="42"/>
      <c r="J144" s="42" t="e">
        <f aca="false">ROUND(#REF!/1000,0)</f>
        <v>#REF!</v>
      </c>
      <c r="K144" s="42"/>
      <c r="L144" s="42" t="e">
        <f aca="false">-ROUND((#REF!-#REF!)/1000,0)</f>
        <v>#REF!</v>
      </c>
      <c r="M144" s="42"/>
      <c r="N144" s="42" t="e">
        <f aca="false">SUM(H144:L144)</f>
        <v>#REF!</v>
      </c>
      <c r="O144" s="42"/>
      <c r="P144" s="42" t="n">
        <f aca="false">3080-2538</f>
        <v>542</v>
      </c>
      <c r="Q144" s="42"/>
      <c r="R144" s="42" t="n">
        <v>-542</v>
      </c>
      <c r="S144" s="42"/>
      <c r="T144" s="42" t="n">
        <v>0</v>
      </c>
      <c r="U144" s="42"/>
      <c r="V144" s="42" t="n">
        <f aca="false">SUM(P144:T144)</f>
        <v>0</v>
      </c>
      <c r="W144" s="42"/>
      <c r="X144" s="42" t="n">
        <v>740</v>
      </c>
      <c r="Y144" s="42"/>
      <c r="Z144" s="42" t="n">
        <v>-740</v>
      </c>
      <c r="AA144" s="42"/>
      <c r="AB144" s="42" t="n">
        <v>0</v>
      </c>
      <c r="AC144" s="42"/>
      <c r="AD144" s="42" t="n">
        <f aca="false">SUM(X144:AB144)</f>
        <v>0</v>
      </c>
      <c r="AE144" s="71"/>
      <c r="AF144" s="39" t="s">
        <v>454</v>
      </c>
    </row>
    <row r="145" customFormat="false" ht="12.75" hidden="false" customHeight="false" outlineLevel="0" collapsed="false">
      <c r="A145" s="135" t="s">
        <v>449</v>
      </c>
      <c r="B145" s="136"/>
      <c r="C145" s="139" t="e">
        <f aca="false">+#REF!</f>
        <v>#REF!</v>
      </c>
      <c r="D145" s="139" t="e">
        <f aca="false">+#REF!</f>
        <v>#REF!</v>
      </c>
      <c r="E145" s="68"/>
      <c r="F145" s="68" t="e">
        <f aca="false">+#REF!</f>
        <v>#REF!</v>
      </c>
      <c r="G145" s="129"/>
      <c r="H145" s="42" t="e">
        <f aca="false">ROUND(#REF!/1000,0)</f>
        <v>#REF!</v>
      </c>
      <c r="I145" s="42"/>
      <c r="J145" s="42" t="e">
        <f aca="false">ROUND(#REF!/1000,0)</f>
        <v>#REF!</v>
      </c>
      <c r="K145" s="42"/>
      <c r="L145" s="42" t="e">
        <f aca="false">-ROUND((#REF!-#REF!)/1000,0)</f>
        <v>#REF!</v>
      </c>
      <c r="M145" s="42"/>
      <c r="N145" s="42" t="e">
        <f aca="false">SUM(H145:L145)</f>
        <v>#REF!</v>
      </c>
      <c r="O145" s="42"/>
      <c r="P145" s="42" t="n">
        <f aca="false">1400+3898</f>
        <v>5298</v>
      </c>
      <c r="Q145" s="42"/>
      <c r="R145" s="42" t="n">
        <v>-5298</v>
      </c>
      <c r="S145" s="42"/>
      <c r="T145" s="42" t="n">
        <v>0</v>
      </c>
      <c r="U145" s="42"/>
      <c r="V145" s="42" t="n">
        <f aca="false">SUM(P145:T145)</f>
        <v>0</v>
      </c>
      <c r="W145" s="42"/>
      <c r="X145" s="42" t="n">
        <v>3436</v>
      </c>
      <c r="Y145" s="42"/>
      <c r="Z145" s="42" t="n">
        <v>-3386</v>
      </c>
      <c r="AA145" s="42"/>
      <c r="AB145" s="42" t="n">
        <v>0</v>
      </c>
      <c r="AC145" s="42"/>
      <c r="AD145" s="42" t="n">
        <f aca="false">SUM(X145:AB145)</f>
        <v>50</v>
      </c>
      <c r="AE145" s="71"/>
      <c r="AF145" s="39" t="s">
        <v>454</v>
      </c>
    </row>
    <row r="146" customFormat="false" ht="12.75" hidden="false" customHeight="false" outlineLevel="0" collapsed="false">
      <c r="A146" s="135" t="n">
        <v>11</v>
      </c>
      <c r="B146" s="136"/>
      <c r="C146" s="137" t="e">
        <f aca="false">+#REF!</f>
        <v>#REF!</v>
      </c>
      <c r="D146" s="137" t="e">
        <f aca="false">+#REF!</f>
        <v>#REF!</v>
      </c>
      <c r="E146" s="37"/>
      <c r="F146" s="37" t="e">
        <f aca="false">+#REF!</f>
        <v>#REF!</v>
      </c>
      <c r="G146" s="129"/>
      <c r="H146" s="42" t="e">
        <f aca="false">ROUND(#REF!/1000,0)</f>
        <v>#REF!</v>
      </c>
      <c r="I146" s="42"/>
      <c r="J146" s="42" t="e">
        <f aca="false">ROUND(#REF!/1000,0)</f>
        <v>#REF!</v>
      </c>
      <c r="K146" s="42"/>
      <c r="L146" s="42" t="e">
        <f aca="false">-ROUND((#REF!-#REF!)/1000,0)</f>
        <v>#REF!</v>
      </c>
      <c r="M146" s="42"/>
      <c r="N146" s="42" t="e">
        <f aca="false">SUM(H146:L146)</f>
        <v>#REF!</v>
      </c>
      <c r="O146" s="42"/>
      <c r="P146" s="42" t="n">
        <v>511</v>
      </c>
      <c r="Q146" s="42"/>
      <c r="R146" s="42" t="n">
        <v>-495</v>
      </c>
      <c r="S146" s="42"/>
      <c r="T146" s="42"/>
      <c r="U146" s="42"/>
      <c r="V146" s="42" t="n">
        <f aca="false">SUM(P146:T146)</f>
        <v>16</v>
      </c>
      <c r="W146" s="42"/>
      <c r="X146" s="42" t="n">
        <v>512</v>
      </c>
      <c r="Y146" s="42"/>
      <c r="Z146" s="42" t="n">
        <v>-495</v>
      </c>
      <c r="AA146" s="42"/>
      <c r="AB146" s="42"/>
      <c r="AC146" s="42"/>
      <c r="AD146" s="42" t="n">
        <f aca="false">SUM(X146:AB146)</f>
        <v>17</v>
      </c>
      <c r="AE146" s="71"/>
      <c r="AF146" s="39" t="s">
        <v>108</v>
      </c>
    </row>
    <row r="147" customFormat="false" ht="12.75" hidden="false" customHeight="false" outlineLevel="0" collapsed="false">
      <c r="A147" s="135" t="s">
        <v>449</v>
      </c>
      <c r="B147" s="136"/>
      <c r="C147" s="139" t="e">
        <f aca="false">+#REF!</f>
        <v>#REF!</v>
      </c>
      <c r="D147" s="139" t="e">
        <f aca="false">+#REF!</f>
        <v>#REF!</v>
      </c>
      <c r="E147" s="68"/>
      <c r="F147" s="68" t="e">
        <f aca="false">+#REF!</f>
        <v>#REF!</v>
      </c>
      <c r="G147" s="140"/>
      <c r="H147" s="42" t="e">
        <f aca="false">ROUND(#REF!/1000,0)</f>
        <v>#REF!</v>
      </c>
      <c r="I147" s="42"/>
      <c r="J147" s="42" t="e">
        <f aca="false">ROUND(#REF!/1000,0)</f>
        <v>#REF!</v>
      </c>
      <c r="K147" s="42"/>
      <c r="L147" s="42" t="e">
        <f aca="false">-ROUND((#REF!-#REF!)/1000,0)</f>
        <v>#REF!</v>
      </c>
      <c r="M147" s="42"/>
      <c r="N147" s="42" t="e">
        <f aca="false">SUM(H147:L147)</f>
        <v>#REF!</v>
      </c>
      <c r="O147" s="42"/>
      <c r="P147" s="42" t="n">
        <v>0</v>
      </c>
      <c r="Q147" s="42"/>
      <c r="R147" s="42" t="n">
        <v>0</v>
      </c>
      <c r="S147" s="42"/>
      <c r="T147" s="42" t="n">
        <v>0</v>
      </c>
      <c r="U147" s="42"/>
      <c r="V147" s="42" t="n">
        <f aca="false">SUM(P147:T147)</f>
        <v>0</v>
      </c>
      <c r="W147" s="42"/>
      <c r="X147" s="42" t="n">
        <v>0</v>
      </c>
      <c r="Y147" s="42"/>
      <c r="Z147" s="42" t="n">
        <v>0</v>
      </c>
      <c r="AA147" s="42"/>
      <c r="AB147" s="42" t="n">
        <v>0</v>
      </c>
      <c r="AC147" s="42"/>
      <c r="AD147" s="42" t="n">
        <f aca="false">SUM(X147:AB147)</f>
        <v>0</v>
      </c>
      <c r="AE147" s="71"/>
      <c r="AF147" s="39" t="s">
        <v>100</v>
      </c>
    </row>
    <row r="148" customFormat="false" ht="12.75" hidden="false" customHeight="false" outlineLevel="0" collapsed="false">
      <c r="A148" s="135" t="s">
        <v>449</v>
      </c>
      <c r="B148" s="136"/>
      <c r="C148" s="139" t="e">
        <f aca="false">+#REF!</f>
        <v>#REF!</v>
      </c>
      <c r="D148" s="139" t="e">
        <f aca="false">+#REF!</f>
        <v>#REF!</v>
      </c>
      <c r="E148" s="68"/>
      <c r="F148" s="68" t="e">
        <f aca="false">+#REF!</f>
        <v>#REF!</v>
      </c>
      <c r="G148" s="129"/>
      <c r="H148" s="42" t="e">
        <f aca="false">ROUND(#REF!/1000,0)</f>
        <v>#REF!</v>
      </c>
      <c r="I148" s="42"/>
      <c r="J148" s="42" t="e">
        <f aca="false">ROUND(#REF!/1000,0)</f>
        <v>#REF!</v>
      </c>
      <c r="K148" s="42"/>
      <c r="L148" s="42" t="e">
        <f aca="false">-ROUND((#REF!-#REF!)/1000,0)</f>
        <v>#REF!</v>
      </c>
      <c r="M148" s="42"/>
      <c r="N148" s="42" t="e">
        <f aca="false">SUM(H148:L148)</f>
        <v>#REF!</v>
      </c>
      <c r="O148" s="42"/>
      <c r="P148" s="42" t="n">
        <v>648</v>
      </c>
      <c r="Q148" s="42"/>
      <c r="R148" s="42" t="n">
        <v>-647</v>
      </c>
      <c r="S148" s="42"/>
      <c r="T148" s="42" t="n">
        <v>0</v>
      </c>
      <c r="U148" s="42"/>
      <c r="V148" s="42" t="n">
        <f aca="false">SUM(P148:T148)</f>
        <v>1</v>
      </c>
      <c r="W148" s="42"/>
      <c r="X148" s="42" t="n">
        <v>648</v>
      </c>
      <c r="Y148" s="42"/>
      <c r="Z148" s="42" t="n">
        <v>-648</v>
      </c>
      <c r="AA148" s="42"/>
      <c r="AB148" s="42" t="n">
        <v>0</v>
      </c>
      <c r="AC148" s="42"/>
      <c r="AD148" s="42" t="n">
        <f aca="false">SUM(X148:AB148)</f>
        <v>0</v>
      </c>
      <c r="AE148" s="71"/>
      <c r="AF148" s="39" t="s">
        <v>147</v>
      </c>
    </row>
    <row r="149" customFormat="false" ht="12.75" hidden="false" customHeight="false" outlineLevel="0" collapsed="false">
      <c r="A149" s="135" t="n">
        <v>1</v>
      </c>
      <c r="B149" s="136"/>
      <c r="C149" s="139" t="e">
        <f aca="false">+#REF!</f>
        <v>#REF!</v>
      </c>
      <c r="D149" s="139" t="e">
        <f aca="false">+#REF!</f>
        <v>#REF!</v>
      </c>
      <c r="E149" s="68"/>
      <c r="F149" s="68" t="e">
        <f aca="false">+#REF!</f>
        <v>#REF!</v>
      </c>
      <c r="G149" s="129"/>
      <c r="H149" s="42" t="e">
        <f aca="false">ROUND(#REF!/1000,0)</f>
        <v>#REF!</v>
      </c>
      <c r="I149" s="42"/>
      <c r="J149" s="42" t="e">
        <f aca="false">ROUND(#REF!/1000,0)</f>
        <v>#REF!</v>
      </c>
      <c r="K149" s="42"/>
      <c r="L149" s="42" t="e">
        <f aca="false">-ROUND((#REF!-#REF!)/1000,0)</f>
        <v>#REF!</v>
      </c>
      <c r="M149" s="42"/>
      <c r="N149" s="42" t="e">
        <f aca="false">SUM(H149:L149)</f>
        <v>#REF!</v>
      </c>
      <c r="O149" s="42"/>
      <c r="P149" s="42" t="n">
        <v>2538</v>
      </c>
      <c r="Q149" s="42"/>
      <c r="R149" s="42" t="n">
        <v>-2538</v>
      </c>
      <c r="S149" s="42"/>
      <c r="T149" s="42" t="n">
        <v>0</v>
      </c>
      <c r="U149" s="42"/>
      <c r="V149" s="42" t="n">
        <f aca="false">SUM(P149:T149)</f>
        <v>0</v>
      </c>
      <c r="W149" s="42"/>
      <c r="X149" s="42" t="n">
        <v>3411</v>
      </c>
      <c r="Y149" s="42"/>
      <c r="Z149" s="42" t="n">
        <v>-3361</v>
      </c>
      <c r="AA149" s="42"/>
      <c r="AB149" s="42" t="n">
        <v>0</v>
      </c>
      <c r="AC149" s="42"/>
      <c r="AD149" s="42" t="n">
        <f aca="false">SUM(X149:AB149)</f>
        <v>50</v>
      </c>
      <c r="AE149" s="71"/>
      <c r="AF149" s="39" t="s">
        <v>454</v>
      </c>
    </row>
    <row r="150" customFormat="false" ht="12.75" hidden="false" customHeight="false" outlineLevel="0" collapsed="false">
      <c r="A150" s="135" t="s">
        <v>449</v>
      </c>
      <c r="B150" s="136"/>
      <c r="C150" s="139" t="e">
        <f aca="false">+#REF!</f>
        <v>#REF!</v>
      </c>
      <c r="D150" s="139" t="e">
        <f aca="false">+#REF!</f>
        <v>#REF!</v>
      </c>
      <c r="E150" s="68"/>
      <c r="F150" s="68" t="e">
        <f aca="false">+#REF!</f>
        <v>#REF!</v>
      </c>
      <c r="G150" s="140"/>
      <c r="H150" s="42" t="e">
        <f aca="false">ROUND(#REF!/1000,0)</f>
        <v>#REF!</v>
      </c>
      <c r="I150" s="42"/>
      <c r="J150" s="42" t="e">
        <f aca="false">ROUND(#REF!/1000,0)</f>
        <v>#REF!</v>
      </c>
      <c r="K150" s="42"/>
      <c r="L150" s="42" t="e">
        <f aca="false">-ROUND((#REF!-#REF!)/1000,0)</f>
        <v>#REF!</v>
      </c>
      <c r="M150" s="42"/>
      <c r="N150" s="42" t="e">
        <f aca="false">SUM(H150:L150)</f>
        <v>#REF!</v>
      </c>
      <c r="O150" s="42"/>
      <c r="P150" s="42" t="n">
        <v>0</v>
      </c>
      <c r="Q150" s="42"/>
      <c r="R150" s="42"/>
      <c r="S150" s="42"/>
      <c r="T150" s="42"/>
      <c r="U150" s="42"/>
      <c r="V150" s="42" t="n">
        <f aca="false">SUM(P150:T150)</f>
        <v>0</v>
      </c>
      <c r="W150" s="42"/>
      <c r="X150" s="42" t="n">
        <v>0</v>
      </c>
      <c r="Y150" s="42"/>
      <c r="Z150" s="42" t="n">
        <v>0</v>
      </c>
      <c r="AA150" s="42"/>
      <c r="AB150" s="42" t="n">
        <v>0</v>
      </c>
      <c r="AC150" s="42"/>
      <c r="AD150" s="42" t="n">
        <f aca="false">SUM(X150:AB150)</f>
        <v>0</v>
      </c>
      <c r="AE150" s="71"/>
      <c r="AF150" s="39" t="s">
        <v>100</v>
      </c>
    </row>
    <row r="151" customFormat="false" ht="12.75" hidden="false" customHeight="false" outlineLevel="0" collapsed="false">
      <c r="A151" s="135" t="s">
        <v>449</v>
      </c>
      <c r="B151" s="136"/>
      <c r="C151" s="139" t="e">
        <f aca="false">+#REF!</f>
        <v>#REF!</v>
      </c>
      <c r="D151" s="139" t="e">
        <f aca="false">+#REF!</f>
        <v>#REF!</v>
      </c>
      <c r="E151" s="68"/>
      <c r="F151" s="68" t="e">
        <f aca="false">+#REF!</f>
        <v>#REF!</v>
      </c>
      <c r="G151" s="140"/>
      <c r="H151" s="42" t="e">
        <f aca="false">ROUND(#REF!/1000,0)</f>
        <v>#REF!</v>
      </c>
      <c r="I151" s="42"/>
      <c r="J151" s="42" t="e">
        <f aca="false">ROUND(#REF!/1000,0)</f>
        <v>#REF!</v>
      </c>
      <c r="K151" s="42"/>
      <c r="L151" s="42" t="e">
        <f aca="false">-ROUND((#REF!-#REF!)/1000,0)</f>
        <v>#REF!</v>
      </c>
      <c r="M151" s="42"/>
      <c r="N151" s="42" t="e">
        <f aca="false">SUM(H151:L151)</f>
        <v>#REF!</v>
      </c>
      <c r="O151" s="42"/>
      <c r="P151" s="42" t="n">
        <v>1400</v>
      </c>
      <c r="Q151" s="42"/>
      <c r="R151" s="42" t="n">
        <v>-1400</v>
      </c>
      <c r="S151" s="42"/>
      <c r="T151" s="42" t="n">
        <v>0</v>
      </c>
      <c r="U151" s="42"/>
      <c r="V151" s="42" t="n">
        <f aca="false">SUM(P151:T151)</f>
        <v>0</v>
      </c>
      <c r="W151" s="42"/>
      <c r="X151" s="42" t="n">
        <v>1400</v>
      </c>
      <c r="Y151" s="42"/>
      <c r="Z151" s="42" t="n">
        <v>-1400</v>
      </c>
      <c r="AA151" s="42"/>
      <c r="AB151" s="42" t="n">
        <v>0</v>
      </c>
      <c r="AC151" s="42"/>
      <c r="AD151" s="42" t="n">
        <f aca="false">SUM(X151:AB151)</f>
        <v>0</v>
      </c>
      <c r="AE151" s="71"/>
      <c r="AF151" s="39" t="s">
        <v>454</v>
      </c>
    </row>
    <row r="152" customFormat="false" ht="12.75" hidden="false" customHeight="false" outlineLevel="0" collapsed="false">
      <c r="A152" s="135" t="s">
        <v>449</v>
      </c>
      <c r="B152" s="136"/>
      <c r="C152" s="139" t="e">
        <f aca="false">+#REF!</f>
        <v>#REF!</v>
      </c>
      <c r="D152" s="139" t="e">
        <f aca="false">+#REF!</f>
        <v>#REF!</v>
      </c>
      <c r="E152" s="68"/>
      <c r="F152" s="68" t="e">
        <f aca="false">+#REF!</f>
        <v>#REF!</v>
      </c>
      <c r="G152" s="140"/>
      <c r="H152" s="42" t="e">
        <f aca="false">ROUND(#REF!/1000,0)</f>
        <v>#REF!</v>
      </c>
      <c r="I152" s="42"/>
      <c r="J152" s="42" t="e">
        <f aca="false">ROUND(#REF!/1000,0)</f>
        <v>#REF!</v>
      </c>
      <c r="K152" s="42"/>
      <c r="L152" s="42" t="e">
        <f aca="false">-ROUND((#REF!-#REF!)/1000,0)</f>
        <v>#REF!</v>
      </c>
      <c r="M152" s="42"/>
      <c r="N152" s="42" t="e">
        <f aca="false">SUM(H152:L152)</f>
        <v>#REF!</v>
      </c>
      <c r="O152" s="42"/>
      <c r="P152" s="42" t="n">
        <v>3889</v>
      </c>
      <c r="Q152" s="42"/>
      <c r="R152" s="42" t="n">
        <v>-3889</v>
      </c>
      <c r="S152" s="42"/>
      <c r="T152" s="42" t="n">
        <v>0</v>
      </c>
      <c r="U152" s="42"/>
      <c r="V152" s="42" t="n">
        <f aca="false">SUM(P152:T152)</f>
        <v>0</v>
      </c>
      <c r="W152" s="42"/>
      <c r="X152" s="42" t="n">
        <v>3889</v>
      </c>
      <c r="Y152" s="42"/>
      <c r="Z152" s="42" t="n">
        <v>-3889</v>
      </c>
      <c r="AA152" s="42"/>
      <c r="AB152" s="42" t="n">
        <v>0</v>
      </c>
      <c r="AC152" s="42"/>
      <c r="AD152" s="42" t="n">
        <f aca="false">SUM(X152:AB152)</f>
        <v>0</v>
      </c>
      <c r="AE152" s="71"/>
      <c r="AF152" s="39" t="s">
        <v>454</v>
      </c>
    </row>
    <row r="153" customFormat="false" ht="12.75" hidden="false" customHeight="false" outlineLevel="0" collapsed="false">
      <c r="A153" s="135" t="n">
        <v>1</v>
      </c>
      <c r="B153" s="136"/>
      <c r="C153" s="139" t="e">
        <f aca="false">+#REF!</f>
        <v>#REF!</v>
      </c>
      <c r="D153" s="139" t="e">
        <f aca="false">+#REF!</f>
        <v>#REF!</v>
      </c>
      <c r="E153" s="68"/>
      <c r="F153" s="68" t="e">
        <f aca="false">+#REF!</f>
        <v>#REF!</v>
      </c>
      <c r="G153" s="129"/>
      <c r="H153" s="42" t="e">
        <f aca="false">ROUND(#REF!/1000,0)</f>
        <v>#REF!</v>
      </c>
      <c r="I153" s="42"/>
      <c r="J153" s="42" t="e">
        <f aca="false">ROUND(#REF!/1000,0)</f>
        <v>#REF!</v>
      </c>
      <c r="K153" s="42"/>
      <c r="L153" s="42" t="e">
        <f aca="false">-ROUND((#REF!-#REF!)/1000,0)</f>
        <v>#REF!</v>
      </c>
      <c r="M153" s="42"/>
      <c r="N153" s="42" t="e">
        <f aca="false">SUM(H153:L153)</f>
        <v>#REF!</v>
      </c>
      <c r="O153" s="42"/>
      <c r="P153" s="42" t="n">
        <v>211</v>
      </c>
      <c r="Q153" s="42"/>
      <c r="R153" s="42" t="n">
        <v>0</v>
      </c>
      <c r="S153" s="42"/>
      <c r="T153" s="42" t="n">
        <v>0</v>
      </c>
      <c r="U153" s="42"/>
      <c r="V153" s="42" t="n">
        <f aca="false">SUM(P153:T153)</f>
        <v>211</v>
      </c>
      <c r="W153" s="42"/>
      <c r="X153" s="42" t="n">
        <v>0</v>
      </c>
      <c r="Y153" s="42"/>
      <c r="Z153" s="42" t="n">
        <v>0</v>
      </c>
      <c r="AA153" s="42"/>
      <c r="AB153" s="42" t="n">
        <v>0</v>
      </c>
      <c r="AC153" s="42"/>
      <c r="AD153" s="42" t="n">
        <f aca="false">SUM(X153:AB153)</f>
        <v>0</v>
      </c>
      <c r="AE153" s="71"/>
      <c r="AF153" s="39" t="s">
        <v>108</v>
      </c>
    </row>
    <row r="154" customFormat="false" ht="12.75" hidden="false" customHeight="false" outlineLevel="0" collapsed="false">
      <c r="A154" s="135" t="s">
        <v>449</v>
      </c>
      <c r="B154" s="136"/>
      <c r="C154" s="139" t="e">
        <f aca="false">+#REF!</f>
        <v>#REF!</v>
      </c>
      <c r="D154" s="139" t="e">
        <f aca="false">+#REF!</f>
        <v>#REF!</v>
      </c>
      <c r="E154" s="68"/>
      <c r="F154" s="68" t="e">
        <f aca="false">+#REF!</f>
        <v>#REF!</v>
      </c>
      <c r="G154" s="129"/>
      <c r="H154" s="42" t="e">
        <f aca="false">ROUND(#REF!/1000,0)</f>
        <v>#REF!</v>
      </c>
      <c r="I154" s="42"/>
      <c r="J154" s="42" t="e">
        <f aca="false">ROUND(#REF!/1000,0)</f>
        <v>#REF!</v>
      </c>
      <c r="K154" s="42"/>
      <c r="L154" s="42" t="e">
        <f aca="false">-ROUND((#REF!-#REF!)/1000,0)</f>
        <v>#REF!</v>
      </c>
      <c r="M154" s="42"/>
      <c r="N154" s="42" t="e">
        <f aca="false">SUM(H154:L154)</f>
        <v>#REF!</v>
      </c>
      <c r="O154" s="42"/>
      <c r="P154" s="42" t="n">
        <v>0</v>
      </c>
      <c r="Q154" s="42"/>
      <c r="R154" s="42" t="n">
        <v>0</v>
      </c>
      <c r="S154" s="42"/>
      <c r="T154" s="42" t="n">
        <v>0</v>
      </c>
      <c r="U154" s="42"/>
      <c r="V154" s="42" t="n">
        <f aca="false">SUM(P154:T154)</f>
        <v>0</v>
      </c>
      <c r="W154" s="42"/>
      <c r="X154" s="42" t="n">
        <v>0</v>
      </c>
      <c r="Y154" s="42"/>
      <c r="Z154" s="42" t="n">
        <v>0</v>
      </c>
      <c r="AA154" s="42"/>
      <c r="AB154" s="42" t="n">
        <v>0</v>
      </c>
      <c r="AC154" s="42"/>
      <c r="AD154" s="42" t="n">
        <f aca="false">SUM(X154:AB154)</f>
        <v>0</v>
      </c>
      <c r="AE154" s="71"/>
      <c r="AF154" s="39" t="s">
        <v>100</v>
      </c>
    </row>
    <row r="155" customFormat="false" ht="12.75" hidden="false" customHeight="false" outlineLevel="0" collapsed="false">
      <c r="A155" s="135" t="n">
        <v>11</v>
      </c>
      <c r="B155" s="136"/>
      <c r="C155" s="137" t="e">
        <f aca="false">+#REF!</f>
        <v>#REF!</v>
      </c>
      <c r="D155" s="137" t="e">
        <f aca="false">+#REF!</f>
        <v>#REF!</v>
      </c>
      <c r="E155" s="37"/>
      <c r="F155" s="37" t="e">
        <f aca="false">+#REF!</f>
        <v>#REF!</v>
      </c>
      <c r="G155" s="129"/>
      <c r="H155" s="42" t="e">
        <f aca="false">ROUND(#REF!/1000,0)</f>
        <v>#REF!</v>
      </c>
      <c r="I155" s="42"/>
      <c r="J155" s="42" t="e">
        <f aca="false">ROUND(#REF!/1000,0)</f>
        <v>#REF!</v>
      </c>
      <c r="K155" s="42"/>
      <c r="L155" s="42" t="e">
        <f aca="false">-ROUND((#REF!-#REF!)/1000,0)</f>
        <v>#REF!</v>
      </c>
      <c r="M155" s="42"/>
      <c r="N155" s="42" t="e">
        <f aca="false">SUM(H155:L155)</f>
        <v>#REF!</v>
      </c>
      <c r="O155" s="42"/>
      <c r="P155" s="42" t="n">
        <v>166</v>
      </c>
      <c r="Q155" s="42"/>
      <c r="R155" s="42" t="n">
        <v>-166</v>
      </c>
      <c r="S155" s="42"/>
      <c r="T155" s="42"/>
      <c r="U155" s="42"/>
      <c r="V155" s="42" t="n">
        <f aca="false">SUM(P155:T155)</f>
        <v>0</v>
      </c>
      <c r="W155" s="42"/>
      <c r="X155" s="42" t="n">
        <v>166</v>
      </c>
      <c r="Y155" s="42"/>
      <c r="Z155" s="42" t="n">
        <v>-166</v>
      </c>
      <c r="AA155" s="42"/>
      <c r="AB155" s="42"/>
      <c r="AC155" s="42"/>
      <c r="AD155" s="42" t="n">
        <f aca="false">SUM(X155:AB155)</f>
        <v>0</v>
      </c>
      <c r="AE155" s="71"/>
      <c r="AF155" s="39" t="s">
        <v>452</v>
      </c>
    </row>
    <row r="156" customFormat="false" ht="12.75" hidden="false" customHeight="false" outlineLevel="0" collapsed="false">
      <c r="A156" s="135" t="n">
        <v>11</v>
      </c>
      <c r="B156" s="136"/>
      <c r="C156" s="137" t="e">
        <f aca="false">+#REF!</f>
        <v>#REF!</v>
      </c>
      <c r="D156" s="137" t="e">
        <f aca="false">+#REF!</f>
        <v>#REF!</v>
      </c>
      <c r="E156" s="37"/>
      <c r="F156" s="37" t="e">
        <f aca="false">+#REF!</f>
        <v>#REF!</v>
      </c>
      <c r="G156" s="129"/>
      <c r="H156" s="42" t="e">
        <f aca="false">ROUND(#REF!/1000,0)</f>
        <v>#REF!</v>
      </c>
      <c r="I156" s="42"/>
      <c r="J156" s="42" t="e">
        <f aca="false">ROUND(#REF!/1000,0)</f>
        <v>#REF!</v>
      </c>
      <c r="K156" s="42"/>
      <c r="L156" s="42" t="e">
        <f aca="false">-ROUND((#REF!-#REF!)/1000,0)</f>
        <v>#REF!</v>
      </c>
      <c r="M156" s="42"/>
      <c r="N156" s="42" t="e">
        <f aca="false">SUM(H156:L156)</f>
        <v>#REF!</v>
      </c>
      <c r="O156" s="42"/>
      <c r="P156" s="42" t="n">
        <v>0</v>
      </c>
      <c r="Q156" s="42"/>
      <c r="R156" s="42" t="n">
        <v>0</v>
      </c>
      <c r="S156" s="42"/>
      <c r="T156" s="42" t="n">
        <v>0</v>
      </c>
      <c r="U156" s="42"/>
      <c r="V156" s="42" t="n">
        <f aca="false">SUM(P156:T156)</f>
        <v>0</v>
      </c>
      <c r="W156" s="42"/>
      <c r="X156" s="42" t="n">
        <v>0</v>
      </c>
      <c r="Y156" s="42"/>
      <c r="Z156" s="42" t="n">
        <v>0</v>
      </c>
      <c r="AA156" s="42"/>
      <c r="AB156" s="42" t="n">
        <v>0</v>
      </c>
      <c r="AC156" s="42"/>
      <c r="AD156" s="42" t="n">
        <f aca="false">SUM(X156:AB156)</f>
        <v>0</v>
      </c>
      <c r="AE156" s="71"/>
      <c r="AF156" s="39" t="s">
        <v>452</v>
      </c>
    </row>
    <row r="157" customFormat="false" ht="12.75" hidden="false" customHeight="false" outlineLevel="0" collapsed="false">
      <c r="A157" s="135" t="s">
        <v>449</v>
      </c>
      <c r="B157" s="136"/>
      <c r="C157" s="137" t="e">
        <f aca="false">+#REF!</f>
        <v>#REF!</v>
      </c>
      <c r="D157" s="137" t="e">
        <f aca="false">+#REF!</f>
        <v>#REF!</v>
      </c>
      <c r="E157" s="37"/>
      <c r="F157" s="37" t="e">
        <f aca="false">+#REF!</f>
        <v>#REF!</v>
      </c>
      <c r="G157" s="140"/>
      <c r="H157" s="42" t="e">
        <f aca="false">ROUND(#REF!/1000,0)</f>
        <v>#REF!</v>
      </c>
      <c r="I157" s="42"/>
      <c r="J157" s="42" t="e">
        <f aca="false">ROUND(#REF!/1000,0)</f>
        <v>#REF!</v>
      </c>
      <c r="K157" s="42"/>
      <c r="L157" s="42" t="e">
        <f aca="false">-ROUND((#REF!-#REF!)/1000,0)</f>
        <v>#REF!</v>
      </c>
      <c r="M157" s="42"/>
      <c r="N157" s="42" t="e">
        <f aca="false">SUM(H157:L157)</f>
        <v>#REF!</v>
      </c>
      <c r="O157" s="42"/>
      <c r="P157" s="42" t="n">
        <v>27081</v>
      </c>
      <c r="Q157" s="42"/>
      <c r="R157" s="42" t="n">
        <v>-27081</v>
      </c>
      <c r="S157" s="42"/>
      <c r="T157" s="42" t="n">
        <v>0</v>
      </c>
      <c r="U157" s="42"/>
      <c r="V157" s="42" t="n">
        <f aca="false">SUM(P157:T157)</f>
        <v>0</v>
      </c>
      <c r="W157" s="42"/>
      <c r="X157" s="42" t="n">
        <v>21170</v>
      </c>
      <c r="Y157" s="42"/>
      <c r="Z157" s="42" t="n">
        <v>-21170</v>
      </c>
      <c r="AA157" s="42"/>
      <c r="AB157" s="42" t="n">
        <v>0</v>
      </c>
      <c r="AC157" s="42"/>
      <c r="AD157" s="42" t="n">
        <f aca="false">SUM(X157:AB157)</f>
        <v>0</v>
      </c>
      <c r="AE157" s="71"/>
      <c r="AF157" s="39" t="s">
        <v>219</v>
      </c>
    </row>
    <row r="158" customFormat="false" ht="12.75" hidden="false" customHeight="false" outlineLevel="0" collapsed="false">
      <c r="A158" s="135"/>
      <c r="B158" s="136"/>
      <c r="C158" s="170" t="s">
        <v>482</v>
      </c>
      <c r="D158" s="171"/>
      <c r="E158" s="4"/>
      <c r="F158" s="68"/>
      <c r="G158" s="140"/>
      <c r="H158" s="42" t="n">
        <v>0</v>
      </c>
      <c r="I158" s="42"/>
      <c r="J158" s="42" t="n">
        <v>-28340</v>
      </c>
      <c r="K158" s="42"/>
      <c r="L158" s="42" t="n">
        <v>0</v>
      </c>
      <c r="M158" s="42"/>
      <c r="N158" s="42" t="n">
        <f aca="false">SUM(H158:L158)</f>
        <v>-28340</v>
      </c>
      <c r="O158" s="42"/>
      <c r="P158" s="42" t="n">
        <v>0</v>
      </c>
      <c r="Q158" s="42"/>
      <c r="R158" s="42" t="n">
        <v>-24600</v>
      </c>
      <c r="S158" s="42"/>
      <c r="T158" s="42" t="n">
        <v>0</v>
      </c>
      <c r="U158" s="42"/>
      <c r="V158" s="42" t="n">
        <f aca="false">SUM(P158:T158)</f>
        <v>-24600</v>
      </c>
      <c r="W158" s="42"/>
      <c r="X158" s="42" t="n">
        <v>0</v>
      </c>
      <c r="Y158" s="42"/>
      <c r="Z158" s="42" t="n">
        <v>-18700</v>
      </c>
      <c r="AA158" s="42"/>
      <c r="AB158" s="42" t="n">
        <v>0</v>
      </c>
      <c r="AC158" s="42"/>
      <c r="AD158" s="42" t="n">
        <f aca="false">SUM(X158:AB158)</f>
        <v>-18700</v>
      </c>
      <c r="AE158" s="71"/>
      <c r="AF158" s="39"/>
    </row>
    <row r="159" customFormat="false" ht="12.75" hidden="false" customHeight="false" outlineLevel="0" collapsed="false">
      <c r="A159" s="135" t="s">
        <v>449</v>
      </c>
      <c r="B159" s="136"/>
      <c r="C159" s="139" t="e">
        <f aca="false">+#REF!</f>
        <v>#REF!</v>
      </c>
      <c r="D159" s="139" t="e">
        <f aca="false">+#REF!</f>
        <v>#REF!</v>
      </c>
      <c r="E159" s="68"/>
      <c r="F159" s="68" t="e">
        <f aca="false">+#REF!</f>
        <v>#REF!</v>
      </c>
      <c r="G159" s="140"/>
      <c r="H159" s="42" t="e">
        <f aca="false">ROUND(#REF!/1000,0)</f>
        <v>#REF!</v>
      </c>
      <c r="I159" s="42"/>
      <c r="J159" s="42" t="e">
        <f aca="false">ROUND(#REF!/1000,0)</f>
        <v>#REF!</v>
      </c>
      <c r="K159" s="42"/>
      <c r="L159" s="42" t="e">
        <f aca="false">-ROUND((#REF!-#REF!)/1000,0)</f>
        <v>#REF!</v>
      </c>
      <c r="M159" s="42"/>
      <c r="N159" s="42" t="e">
        <f aca="false">SUM(H159:L159)</f>
        <v>#REF!</v>
      </c>
      <c r="O159" s="42"/>
      <c r="P159" s="42" t="n">
        <v>17820</v>
      </c>
      <c r="Q159" s="42"/>
      <c r="R159" s="42" t="n">
        <v>-17820</v>
      </c>
      <c r="S159" s="42"/>
      <c r="T159" s="42" t="n">
        <v>0</v>
      </c>
      <c r="U159" s="42"/>
      <c r="V159" s="42" t="n">
        <f aca="false">SUM(P159:T159)</f>
        <v>0</v>
      </c>
      <c r="W159" s="42"/>
      <c r="X159" s="42" t="n">
        <v>17820</v>
      </c>
      <c r="Y159" s="42"/>
      <c r="Z159" s="42" t="n">
        <v>-17820</v>
      </c>
      <c r="AA159" s="42"/>
      <c r="AB159" s="42" t="n">
        <v>0</v>
      </c>
      <c r="AC159" s="42"/>
      <c r="AD159" s="42" t="n">
        <f aca="false">SUM(X159:AB159)</f>
        <v>0</v>
      </c>
      <c r="AE159" s="71"/>
      <c r="AF159" s="39" t="s">
        <v>483</v>
      </c>
    </row>
    <row r="160" customFormat="false" ht="12.75" hidden="false" customHeight="false" outlineLevel="0" collapsed="false">
      <c r="A160" s="135" t="s">
        <v>449</v>
      </c>
      <c r="B160" s="136"/>
      <c r="C160" s="139" t="e">
        <f aca="false">+#REF!</f>
        <v>#REF!</v>
      </c>
      <c r="D160" s="139" t="e">
        <f aca="false">+#REF!</f>
        <v>#REF!</v>
      </c>
      <c r="E160" s="68"/>
      <c r="F160" s="68" t="e">
        <f aca="false">+#REF!</f>
        <v>#REF!</v>
      </c>
      <c r="G160" s="140"/>
      <c r="H160" s="42" t="e">
        <f aca="false">ROUND(#REF!/1000,0)</f>
        <v>#REF!</v>
      </c>
      <c r="I160" s="42"/>
      <c r="J160" s="42" t="e">
        <f aca="false">ROUND(#REF!/1000,0)</f>
        <v>#REF!</v>
      </c>
      <c r="K160" s="42"/>
      <c r="L160" s="42" t="e">
        <f aca="false">-ROUND((#REF!-#REF!)/1000,0)</f>
        <v>#REF!</v>
      </c>
      <c r="M160" s="42"/>
      <c r="N160" s="42" t="e">
        <f aca="false">SUM(H160:L160)</f>
        <v>#REF!</v>
      </c>
      <c r="O160" s="42"/>
      <c r="P160" s="42" t="n">
        <v>2762</v>
      </c>
      <c r="Q160" s="42"/>
      <c r="R160" s="42" t="n">
        <v>-2762</v>
      </c>
      <c r="S160" s="42"/>
      <c r="T160" s="42" t="n">
        <v>0</v>
      </c>
      <c r="U160" s="42"/>
      <c r="V160" s="42" t="n">
        <f aca="false">SUM(P160:T160)</f>
        <v>0</v>
      </c>
      <c r="W160" s="42"/>
      <c r="X160" s="42" t="n">
        <v>2762</v>
      </c>
      <c r="Y160" s="42"/>
      <c r="Z160" s="42" t="n">
        <v>-2762</v>
      </c>
      <c r="AA160" s="42"/>
      <c r="AB160" s="42" t="n">
        <v>0</v>
      </c>
      <c r="AC160" s="42"/>
      <c r="AD160" s="42" t="n">
        <f aca="false">SUM(X160:AB160)</f>
        <v>0</v>
      </c>
      <c r="AE160" s="71"/>
      <c r="AF160" s="39" t="s">
        <v>454</v>
      </c>
    </row>
    <row r="161" customFormat="false" ht="12.75" hidden="false" customHeight="false" outlineLevel="0" collapsed="false">
      <c r="A161" s="135" t="s">
        <v>449</v>
      </c>
      <c r="B161" s="136"/>
      <c r="C161" s="139" t="e">
        <f aca="false">+#REF!</f>
        <v>#REF!</v>
      </c>
      <c r="D161" s="139" t="e">
        <f aca="false">+#REF!</f>
        <v>#REF!</v>
      </c>
      <c r="E161" s="68"/>
      <c r="F161" s="68" t="e">
        <f aca="false">+#REF!</f>
        <v>#REF!</v>
      </c>
      <c r="G161" s="140"/>
      <c r="H161" s="42" t="e">
        <f aca="false">ROUND(#REF!/1000,0)</f>
        <v>#REF!</v>
      </c>
      <c r="I161" s="42"/>
      <c r="J161" s="42" t="e">
        <f aca="false">ROUND(#REF!/1000,0)</f>
        <v>#REF!</v>
      </c>
      <c r="K161" s="42"/>
      <c r="L161" s="42" t="e">
        <f aca="false">-ROUND((#REF!-#REF!)/1000,0)</f>
        <v>#REF!</v>
      </c>
      <c r="M161" s="42"/>
      <c r="N161" s="42" t="e">
        <f aca="false">SUM(H161:L161)</f>
        <v>#REF!</v>
      </c>
      <c r="O161" s="42"/>
      <c r="P161" s="42" t="n">
        <v>1726</v>
      </c>
      <c r="Q161" s="42"/>
      <c r="R161" s="42" t="n">
        <v>-1726</v>
      </c>
      <c r="S161" s="42"/>
      <c r="T161" s="42" t="n">
        <v>0</v>
      </c>
      <c r="U161" s="42"/>
      <c r="V161" s="42" t="n">
        <f aca="false">SUM(P161:T161)</f>
        <v>0</v>
      </c>
      <c r="W161" s="42"/>
      <c r="X161" s="42" t="n">
        <v>1726</v>
      </c>
      <c r="Y161" s="42"/>
      <c r="Z161" s="42" t="n">
        <v>-1726</v>
      </c>
      <c r="AA161" s="42"/>
      <c r="AB161" s="42" t="n">
        <v>0</v>
      </c>
      <c r="AC161" s="42"/>
      <c r="AD161" s="42" t="n">
        <f aca="false">SUM(X161:AB161)</f>
        <v>0</v>
      </c>
      <c r="AE161" s="71"/>
      <c r="AF161" s="39" t="s">
        <v>454</v>
      </c>
    </row>
    <row r="162" customFormat="false" ht="12.75" hidden="false" customHeight="false" outlineLevel="0" collapsed="false">
      <c r="A162" s="135" t="s">
        <v>449</v>
      </c>
      <c r="B162" s="136"/>
      <c r="C162" s="139" t="e">
        <f aca="false">+#REF!</f>
        <v>#REF!</v>
      </c>
      <c r="D162" s="139" t="e">
        <f aca="false">+#REF!</f>
        <v>#REF!</v>
      </c>
      <c r="E162" s="68"/>
      <c r="F162" s="68" t="e">
        <f aca="false">+#REF!</f>
        <v>#REF!</v>
      </c>
      <c r="G162" s="140"/>
      <c r="H162" s="42" t="e">
        <f aca="false">ROUND(#REF!/1000,0)</f>
        <v>#REF!</v>
      </c>
      <c r="I162" s="42"/>
      <c r="J162" s="42" t="e">
        <f aca="false">ROUND(#REF!/1000,0)</f>
        <v>#REF!</v>
      </c>
      <c r="K162" s="42"/>
      <c r="L162" s="42" t="e">
        <f aca="false">-ROUND((#REF!-#REF!)/1000,0)</f>
        <v>#REF!</v>
      </c>
      <c r="M162" s="42"/>
      <c r="N162" s="42" t="e">
        <f aca="false">SUM(H162:L162)</f>
        <v>#REF!</v>
      </c>
      <c r="O162" s="42"/>
      <c r="P162" s="42" t="n">
        <v>235</v>
      </c>
      <c r="Q162" s="42"/>
      <c r="R162" s="42" t="n">
        <v>-235</v>
      </c>
      <c r="S162" s="42"/>
      <c r="T162" s="42" t="n">
        <v>0</v>
      </c>
      <c r="U162" s="42"/>
      <c r="V162" s="42" t="n">
        <f aca="false">SUM(P162:T162)</f>
        <v>0</v>
      </c>
      <c r="W162" s="42"/>
      <c r="X162" s="42" t="n">
        <v>235</v>
      </c>
      <c r="Y162" s="42"/>
      <c r="Z162" s="42" t="n">
        <v>-235</v>
      </c>
      <c r="AA162" s="42"/>
      <c r="AB162" s="42" t="n">
        <v>0</v>
      </c>
      <c r="AC162" s="42"/>
      <c r="AD162" s="42" t="n">
        <f aca="false">SUM(X162:AB162)</f>
        <v>0</v>
      </c>
      <c r="AE162" s="71"/>
      <c r="AF162" s="39" t="s">
        <v>454</v>
      </c>
    </row>
    <row r="163" customFormat="false" ht="12.75" hidden="false" customHeight="false" outlineLevel="0" collapsed="false">
      <c r="A163" s="135" t="s">
        <v>449</v>
      </c>
      <c r="B163" s="136"/>
      <c r="C163" s="139" t="e">
        <f aca="false">+#REF!</f>
        <v>#REF!</v>
      </c>
      <c r="D163" s="139" t="e">
        <f aca="false">+#REF!</f>
        <v>#REF!</v>
      </c>
      <c r="E163" s="68"/>
      <c r="F163" s="68" t="e">
        <f aca="false">+#REF!</f>
        <v>#REF!</v>
      </c>
      <c r="G163" s="140"/>
      <c r="H163" s="42" t="e">
        <f aca="false">ROUND(#REF!/1000,0)</f>
        <v>#REF!</v>
      </c>
      <c r="I163" s="42"/>
      <c r="J163" s="42" t="e">
        <f aca="false">ROUND(#REF!/1000,0)</f>
        <v>#REF!</v>
      </c>
      <c r="K163" s="42"/>
      <c r="L163" s="42" t="e">
        <f aca="false">-ROUND((#REF!-#REF!)/1000,0)</f>
        <v>#REF!</v>
      </c>
      <c r="M163" s="42"/>
      <c r="N163" s="42" t="e">
        <f aca="false">SUM(H163:L163)</f>
        <v>#REF!</v>
      </c>
      <c r="O163" s="42"/>
      <c r="P163" s="42" t="n">
        <v>18802</v>
      </c>
      <c r="Q163" s="42"/>
      <c r="R163" s="42" t="n">
        <v>-18802</v>
      </c>
      <c r="S163" s="42"/>
      <c r="T163" s="42" t="n">
        <v>0</v>
      </c>
      <c r="U163" s="42"/>
      <c r="V163" s="42" t="n">
        <f aca="false">SUM(P163:T163)</f>
        <v>0</v>
      </c>
      <c r="W163" s="42"/>
      <c r="X163" s="42" t="n">
        <v>18802</v>
      </c>
      <c r="Y163" s="42"/>
      <c r="Z163" s="42" t="n">
        <v>-18802</v>
      </c>
      <c r="AA163" s="42"/>
      <c r="AB163" s="42" t="n">
        <v>0</v>
      </c>
      <c r="AC163" s="42"/>
      <c r="AD163" s="42" t="n">
        <f aca="false">SUM(X163:AB163)</f>
        <v>0</v>
      </c>
      <c r="AE163" s="71"/>
      <c r="AF163" s="39" t="s">
        <v>483</v>
      </c>
    </row>
    <row r="164" customFormat="false" ht="12.75" hidden="false" customHeight="false" outlineLevel="0" collapsed="false">
      <c r="A164" s="135" t="s">
        <v>449</v>
      </c>
      <c r="B164" s="136"/>
      <c r="C164" s="139" t="e">
        <f aca="false">+#REF!</f>
        <v>#REF!</v>
      </c>
      <c r="D164" s="139" t="e">
        <f aca="false">+#REF!</f>
        <v>#REF!</v>
      </c>
      <c r="E164" s="68"/>
      <c r="F164" s="68" t="e">
        <f aca="false">+#REF!</f>
        <v>#REF!</v>
      </c>
      <c r="G164" s="140"/>
      <c r="H164" s="42" t="e">
        <f aca="false">ROUND(#REF!/1000,0)</f>
        <v>#REF!</v>
      </c>
      <c r="I164" s="42"/>
      <c r="J164" s="42" t="e">
        <f aca="false">ROUND(#REF!/1000,0)</f>
        <v>#REF!</v>
      </c>
      <c r="K164" s="42"/>
      <c r="L164" s="42" t="e">
        <f aca="false">-ROUND((#REF!-#REF!)/1000,0)</f>
        <v>#REF!</v>
      </c>
      <c r="M164" s="42"/>
      <c r="N164" s="42" t="e">
        <f aca="false">SUM(H164:L164)</f>
        <v>#REF!</v>
      </c>
      <c r="O164" s="42"/>
      <c r="P164" s="42" t="n">
        <v>30040</v>
      </c>
      <c r="Q164" s="42"/>
      <c r="R164" s="42" t="n">
        <v>-30040</v>
      </c>
      <c r="S164" s="42"/>
      <c r="T164" s="42" t="n">
        <v>0</v>
      </c>
      <c r="U164" s="42"/>
      <c r="V164" s="42" t="n">
        <f aca="false">SUM(P164:T164)</f>
        <v>0</v>
      </c>
      <c r="W164" s="42"/>
      <c r="X164" s="42" t="n">
        <v>30040</v>
      </c>
      <c r="Y164" s="42"/>
      <c r="Z164" s="42" t="n">
        <v>-30040</v>
      </c>
      <c r="AA164" s="42"/>
      <c r="AB164" s="42" t="n">
        <v>0</v>
      </c>
      <c r="AC164" s="42"/>
      <c r="AD164" s="42" t="n">
        <f aca="false">SUM(X164:AB164)</f>
        <v>0</v>
      </c>
      <c r="AE164" s="71"/>
      <c r="AF164" s="39" t="s">
        <v>454</v>
      </c>
    </row>
    <row r="165" customFormat="false" ht="12.75" hidden="false" customHeight="false" outlineLevel="0" collapsed="false">
      <c r="A165" s="135" t="s">
        <v>449</v>
      </c>
      <c r="B165" s="136"/>
      <c r="C165" s="139" t="e">
        <f aca="false">+#REF!</f>
        <v>#REF!</v>
      </c>
      <c r="D165" s="139" t="e">
        <f aca="false">+#REF!</f>
        <v>#REF!</v>
      </c>
      <c r="E165" s="68"/>
      <c r="F165" s="68" t="e">
        <f aca="false">+#REF!</f>
        <v>#REF!</v>
      </c>
      <c r="G165" s="140"/>
      <c r="H165" s="42" t="e">
        <f aca="false">ROUND(#REF!/1000,0)</f>
        <v>#REF!</v>
      </c>
      <c r="I165" s="42"/>
      <c r="J165" s="42" t="e">
        <f aca="false">ROUND(#REF!/1000,0)</f>
        <v>#REF!</v>
      </c>
      <c r="K165" s="42"/>
      <c r="L165" s="42" t="e">
        <f aca="false">-ROUND((#REF!-#REF!)/1000,0)</f>
        <v>#REF!</v>
      </c>
      <c r="M165" s="42"/>
      <c r="N165" s="42" t="e">
        <f aca="false">SUM(H165:L165)</f>
        <v>#REF!</v>
      </c>
      <c r="O165" s="42"/>
      <c r="P165" s="42" t="n">
        <v>758</v>
      </c>
      <c r="Q165" s="42"/>
      <c r="R165" s="42" t="n">
        <v>-758</v>
      </c>
      <c r="S165" s="42"/>
      <c r="T165" s="42" t="n">
        <v>0</v>
      </c>
      <c r="U165" s="42"/>
      <c r="V165" s="42" t="n">
        <f aca="false">SUM(P165:T165)</f>
        <v>0</v>
      </c>
      <c r="W165" s="42"/>
      <c r="X165" s="42" t="n">
        <v>758</v>
      </c>
      <c r="Y165" s="42"/>
      <c r="Z165" s="42" t="n">
        <v>-758</v>
      </c>
      <c r="AA165" s="42"/>
      <c r="AB165" s="42" t="n">
        <v>0</v>
      </c>
      <c r="AC165" s="42"/>
      <c r="AD165" s="42" t="n">
        <f aca="false">SUM(X165:AB165)</f>
        <v>0</v>
      </c>
      <c r="AE165" s="71"/>
      <c r="AF165" s="39" t="s">
        <v>454</v>
      </c>
    </row>
    <row r="166" customFormat="false" ht="12.75" hidden="false" customHeight="false" outlineLevel="0" collapsed="false">
      <c r="A166" s="135" t="s">
        <v>449</v>
      </c>
      <c r="B166" s="136"/>
      <c r="C166" s="139" t="e">
        <f aca="false">+#REF!</f>
        <v>#REF!</v>
      </c>
      <c r="D166" s="139" t="e">
        <f aca="false">+#REF!</f>
        <v>#REF!</v>
      </c>
      <c r="E166" s="68"/>
      <c r="F166" s="68" t="e">
        <f aca="false">+#REF!</f>
        <v>#REF!</v>
      </c>
      <c r="G166" s="140"/>
      <c r="H166" s="42" t="e">
        <f aca="false">ROUND(#REF!/1000,0)</f>
        <v>#REF!</v>
      </c>
      <c r="I166" s="42"/>
      <c r="J166" s="42" t="e">
        <f aca="false">ROUND(#REF!/1000,0)</f>
        <v>#REF!</v>
      </c>
      <c r="K166" s="42"/>
      <c r="L166" s="42" t="e">
        <f aca="false">-ROUND((#REF!-#REF!)/1000,0)</f>
        <v>#REF!</v>
      </c>
      <c r="M166" s="42"/>
      <c r="N166" s="42" t="e">
        <f aca="false">SUM(H166:L166)</f>
        <v>#REF!</v>
      </c>
      <c r="O166" s="42"/>
      <c r="P166" s="42" t="n">
        <v>3754</v>
      </c>
      <c r="Q166" s="42"/>
      <c r="R166" s="42" t="n">
        <v>-3754</v>
      </c>
      <c r="S166" s="42"/>
      <c r="T166" s="42" t="n">
        <v>0</v>
      </c>
      <c r="U166" s="42"/>
      <c r="V166" s="42" t="n">
        <f aca="false">SUM(P166:T166)</f>
        <v>0</v>
      </c>
      <c r="W166" s="42"/>
      <c r="X166" s="42" t="n">
        <v>3754</v>
      </c>
      <c r="Y166" s="42"/>
      <c r="Z166" s="42" t="n">
        <v>-3754</v>
      </c>
      <c r="AA166" s="42"/>
      <c r="AB166" s="42" t="n">
        <v>0</v>
      </c>
      <c r="AC166" s="42"/>
      <c r="AD166" s="42" t="n">
        <f aca="false">SUM(X166:AB166)</f>
        <v>0</v>
      </c>
      <c r="AE166" s="71"/>
      <c r="AF166" s="39" t="s">
        <v>454</v>
      </c>
    </row>
    <row r="167" customFormat="false" ht="12.75" hidden="false" customHeight="false" outlineLevel="0" collapsed="false">
      <c r="A167" s="135" t="s">
        <v>449</v>
      </c>
      <c r="B167" s="136"/>
      <c r="C167" s="139" t="e">
        <f aca="false">+#REF!</f>
        <v>#REF!</v>
      </c>
      <c r="D167" s="139" t="e">
        <f aca="false">+#REF!</f>
        <v>#REF!</v>
      </c>
      <c r="E167" s="68"/>
      <c r="F167" s="68" t="e">
        <f aca="false">+#REF!</f>
        <v>#REF!</v>
      </c>
      <c r="G167" s="129"/>
      <c r="H167" s="42" t="e">
        <f aca="false">ROUND(#REF!/1000,0)</f>
        <v>#REF!</v>
      </c>
      <c r="I167" s="42"/>
      <c r="J167" s="42" t="e">
        <f aca="false">ROUND(#REF!/1000,0)</f>
        <v>#REF!</v>
      </c>
      <c r="K167" s="42"/>
      <c r="L167" s="42" t="e">
        <f aca="false">-ROUND((#REF!-#REF!)/1000,0)</f>
        <v>#REF!</v>
      </c>
      <c r="M167" s="42"/>
      <c r="N167" s="42" t="e">
        <f aca="false">SUM(H167:L167)</f>
        <v>#REF!</v>
      </c>
      <c r="O167" s="42"/>
      <c r="P167" s="42" t="n">
        <v>863</v>
      </c>
      <c r="Q167" s="42"/>
      <c r="R167" s="42" t="n">
        <v>-863</v>
      </c>
      <c r="S167" s="42"/>
      <c r="T167" s="42" t="n">
        <v>0</v>
      </c>
      <c r="U167" s="42"/>
      <c r="V167" s="42" t="n">
        <f aca="false">SUM(P167:T167)</f>
        <v>0</v>
      </c>
      <c r="W167" s="42"/>
      <c r="X167" s="42" t="n">
        <v>863</v>
      </c>
      <c r="Y167" s="42"/>
      <c r="Z167" s="42" t="n">
        <v>-863</v>
      </c>
      <c r="AA167" s="42"/>
      <c r="AB167" s="42" t="n">
        <v>0</v>
      </c>
      <c r="AC167" s="42"/>
      <c r="AD167" s="42" t="n">
        <f aca="false">SUM(X167:AB167)</f>
        <v>0</v>
      </c>
      <c r="AE167" s="71"/>
      <c r="AF167" s="39" t="s">
        <v>147</v>
      </c>
    </row>
    <row r="168" customFormat="false" ht="12.75" hidden="false" customHeight="false" outlineLevel="0" collapsed="false">
      <c r="A168" s="135" t="s">
        <v>449</v>
      </c>
      <c r="B168" s="136"/>
      <c r="C168" s="139" t="e">
        <f aca="false">+#REF!</f>
        <v>#REF!</v>
      </c>
      <c r="D168" s="139" t="e">
        <f aca="false">+#REF!</f>
        <v>#REF!</v>
      </c>
      <c r="E168" s="68"/>
      <c r="F168" s="68" t="e">
        <f aca="false">+#REF!</f>
        <v>#REF!</v>
      </c>
      <c r="G168" s="129"/>
      <c r="H168" s="42" t="e">
        <f aca="false">ROUND(#REF!/1000,0)</f>
        <v>#REF!</v>
      </c>
      <c r="I168" s="42"/>
      <c r="J168" s="42" t="e">
        <f aca="false">ROUND(#REF!/1000,0)</f>
        <v>#REF!</v>
      </c>
      <c r="K168" s="42"/>
      <c r="L168" s="42" t="e">
        <f aca="false">-ROUND((#REF!-#REF!)/1000,0)</f>
        <v>#REF!</v>
      </c>
      <c r="M168" s="42"/>
      <c r="N168" s="42" t="e">
        <f aca="false">SUM(H168:L168)</f>
        <v>#REF!</v>
      </c>
      <c r="O168" s="42"/>
      <c r="P168" s="42" t="n">
        <v>127</v>
      </c>
      <c r="Q168" s="42"/>
      <c r="R168" s="42" t="n">
        <v>-128</v>
      </c>
      <c r="S168" s="42"/>
      <c r="T168" s="42" t="n">
        <v>0</v>
      </c>
      <c r="U168" s="42"/>
      <c r="V168" s="42" t="n">
        <f aca="false">SUM(P168:T168)</f>
        <v>-1</v>
      </c>
      <c r="W168" s="42"/>
      <c r="X168" s="42" t="n">
        <v>127</v>
      </c>
      <c r="Y168" s="42"/>
      <c r="Z168" s="42" t="n">
        <v>-127</v>
      </c>
      <c r="AA168" s="42"/>
      <c r="AB168" s="42" t="n">
        <v>0</v>
      </c>
      <c r="AC168" s="42"/>
      <c r="AD168" s="42" t="n">
        <f aca="false">SUM(X168:AB168)</f>
        <v>0</v>
      </c>
      <c r="AE168" s="71"/>
      <c r="AF168" s="39" t="s">
        <v>147</v>
      </c>
    </row>
    <row r="169" customFormat="false" ht="12.75" hidden="false" customHeight="false" outlineLevel="0" collapsed="false">
      <c r="A169" s="135"/>
      <c r="B169" s="136"/>
      <c r="C169" s="129" t="s">
        <v>484</v>
      </c>
      <c r="D169" s="39"/>
      <c r="E169" s="39"/>
      <c r="F169" s="68"/>
      <c r="G169" s="129"/>
      <c r="H169" s="42" t="n">
        <f aca="false">-902-253-159-1759-2756-1825-173-64-337</f>
        <v>-8228</v>
      </c>
      <c r="I169" s="42"/>
      <c r="J169" s="42" t="n">
        <v>0</v>
      </c>
      <c r="K169" s="42"/>
      <c r="L169" s="42" t="n">
        <v>0</v>
      </c>
      <c r="M169" s="42"/>
      <c r="N169" s="42" t="n">
        <f aca="false">SUM(H169:L169)</f>
        <v>-8228</v>
      </c>
      <c r="O169" s="42"/>
      <c r="P169" s="42"/>
      <c r="Q169" s="42"/>
      <c r="R169" s="42"/>
      <c r="S169" s="42"/>
      <c r="T169" s="42"/>
      <c r="U169" s="42"/>
      <c r="V169" s="42"/>
      <c r="W169" s="42"/>
      <c r="X169" s="42" t="n">
        <v>0</v>
      </c>
      <c r="Y169" s="42"/>
      <c r="Z169" s="42" t="n">
        <v>0</v>
      </c>
      <c r="AA169" s="42"/>
      <c r="AB169" s="42" t="n">
        <v>0</v>
      </c>
      <c r="AC169" s="42"/>
      <c r="AD169" s="42" t="n">
        <f aca="false">SUM(X169:AB169)</f>
        <v>0</v>
      </c>
      <c r="AE169" s="71"/>
      <c r="AF169" s="39"/>
    </row>
    <row r="170" customFormat="false" ht="12.75" hidden="false" customHeight="false" outlineLevel="0" collapsed="false">
      <c r="A170" s="135"/>
      <c r="B170" s="158"/>
      <c r="C170" s="38"/>
      <c r="D170" s="4"/>
      <c r="E170" s="4"/>
      <c r="F170" s="68"/>
      <c r="G170" s="140"/>
      <c r="H170" s="141"/>
      <c r="I170" s="42"/>
      <c r="J170" s="141"/>
      <c r="K170" s="42"/>
      <c r="L170" s="141"/>
      <c r="M170" s="42"/>
      <c r="N170" s="141"/>
      <c r="O170" s="42"/>
      <c r="P170" s="141"/>
      <c r="Q170" s="42"/>
      <c r="R170" s="141"/>
      <c r="S170" s="42"/>
      <c r="T170" s="141"/>
      <c r="U170" s="42"/>
      <c r="V170" s="141"/>
      <c r="W170" s="42"/>
      <c r="X170" s="141"/>
      <c r="Y170" s="42"/>
      <c r="Z170" s="141"/>
      <c r="AA170" s="42"/>
      <c r="AB170" s="141"/>
      <c r="AC170" s="42"/>
      <c r="AD170" s="141"/>
      <c r="AE170" s="71"/>
      <c r="AF170" s="39"/>
    </row>
    <row r="171" customFormat="false" ht="12.75" hidden="false" customHeight="false" outlineLevel="0" collapsed="false">
      <c r="A171" s="135"/>
      <c r="B171" s="158"/>
      <c r="C171" s="38"/>
      <c r="D171" s="4"/>
      <c r="E171" s="4"/>
      <c r="F171" s="68"/>
      <c r="G171" s="140"/>
      <c r="H171" s="149" t="e">
        <f aca="false">SUM(H144:H170)</f>
        <v>#REF!</v>
      </c>
      <c r="I171" s="42"/>
      <c r="J171" s="149" t="e">
        <f aca="false">SUM(J144:J170)</f>
        <v>#REF!</v>
      </c>
      <c r="K171" s="42"/>
      <c r="L171" s="149" t="e">
        <f aca="false">SUM(L144:L170)</f>
        <v>#REF!</v>
      </c>
      <c r="M171" s="42"/>
      <c r="N171" s="149" t="e">
        <f aca="false">SUM(N144:N170)</f>
        <v>#REF!</v>
      </c>
      <c r="O171" s="42"/>
      <c r="P171" s="149" t="n">
        <f aca="false">SUM(P144:P170)</f>
        <v>119171</v>
      </c>
      <c r="Q171" s="42"/>
      <c r="R171" s="149" t="n">
        <f aca="false">SUM(R144:R170)</f>
        <v>-143544</v>
      </c>
      <c r="S171" s="42"/>
      <c r="T171" s="149" t="n">
        <f aca="false">SUM(T144:T170)</f>
        <v>0</v>
      </c>
      <c r="U171" s="42"/>
      <c r="V171" s="149" t="n">
        <f aca="false">SUM(V144:V170)</f>
        <v>-24373</v>
      </c>
      <c r="W171" s="42"/>
      <c r="X171" s="149" t="n">
        <f aca="false">SUM(X144:X170)</f>
        <v>112259</v>
      </c>
      <c r="Y171" s="42"/>
      <c r="Z171" s="149" t="n">
        <f aca="false">SUM(Z144:Z170)</f>
        <v>-130842</v>
      </c>
      <c r="AA171" s="42"/>
      <c r="AB171" s="149" t="n">
        <f aca="false">SUM(AB144:AB170)</f>
        <v>0</v>
      </c>
      <c r="AC171" s="42"/>
      <c r="AD171" s="149" t="n">
        <f aca="false">SUM(AD144:AD170)</f>
        <v>-18583</v>
      </c>
      <c r="AE171" s="71"/>
      <c r="AF171" s="39"/>
    </row>
    <row r="172" customFormat="false" ht="12.75" hidden="false" customHeight="false" outlineLevel="0" collapsed="false">
      <c r="A172" s="135"/>
      <c r="B172" s="158"/>
      <c r="C172" s="38"/>
      <c r="D172" s="4"/>
      <c r="E172" s="4"/>
      <c r="F172" s="68"/>
      <c r="G172" s="140"/>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71"/>
      <c r="AF172" s="39"/>
    </row>
    <row r="173" customFormat="false" ht="12.75" hidden="false" customHeight="false" outlineLevel="0" collapsed="false">
      <c r="A173" s="135"/>
      <c r="B173" s="136"/>
      <c r="C173" s="32" t="s">
        <v>485</v>
      </c>
      <c r="D173" s="39"/>
      <c r="E173" s="39"/>
      <c r="F173" s="37"/>
      <c r="G173" s="129"/>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71"/>
      <c r="AF173" s="39"/>
    </row>
    <row r="174" customFormat="false" ht="12.75" hidden="false" customHeight="false" outlineLevel="0" collapsed="false">
      <c r="A174" s="135" t="s">
        <v>449</v>
      </c>
      <c r="B174" s="136"/>
      <c r="C174" s="139" t="e">
        <f aca="false">+#REF!</f>
        <v>#REF!</v>
      </c>
      <c r="D174" s="139" t="e">
        <f aca="false">+#REF!</f>
        <v>#REF!</v>
      </c>
      <c r="E174" s="68"/>
      <c r="F174" s="68" t="e">
        <f aca="false">+#REF!</f>
        <v>#REF!</v>
      </c>
      <c r="G174" s="129"/>
      <c r="H174" s="42" t="e">
        <f aca="false">ROUND(#REF!/1000,0)</f>
        <v>#REF!</v>
      </c>
      <c r="I174" s="42"/>
      <c r="J174" s="42" t="e">
        <f aca="false">ROUND(#REF!/1000,0)</f>
        <v>#REF!</v>
      </c>
      <c r="K174" s="42"/>
      <c r="L174" s="42" t="e">
        <f aca="false">ROUND((#REF!-#REF!)/1000,0)</f>
        <v>#REF!</v>
      </c>
      <c r="M174" s="42"/>
      <c r="N174" s="42" t="e">
        <f aca="false">SUM(H174:L174)</f>
        <v>#REF!</v>
      </c>
      <c r="O174" s="42"/>
      <c r="P174" s="42" t="n">
        <v>508</v>
      </c>
      <c r="Q174" s="42"/>
      <c r="R174" s="42" t="n">
        <v>-415</v>
      </c>
      <c r="S174" s="42"/>
      <c r="T174" s="42" t="n">
        <v>0</v>
      </c>
      <c r="U174" s="42"/>
      <c r="V174" s="42" t="n">
        <f aca="false">SUM(P174:T174)</f>
        <v>93</v>
      </c>
      <c r="W174" s="42"/>
      <c r="X174" s="42" t="n">
        <v>415</v>
      </c>
      <c r="Y174" s="42"/>
      <c r="Z174" s="42" t="n">
        <v>-415</v>
      </c>
      <c r="AA174" s="42"/>
      <c r="AB174" s="42" t="n">
        <v>0</v>
      </c>
      <c r="AC174" s="42"/>
      <c r="AD174" s="42" t="n">
        <f aca="false">SUM(X174:AB174)</f>
        <v>0</v>
      </c>
      <c r="AE174" s="71"/>
      <c r="AF174" s="39" t="s">
        <v>486</v>
      </c>
    </row>
    <row r="175" customFormat="false" ht="12.75" hidden="false" customHeight="false" outlineLevel="0" collapsed="false">
      <c r="A175" s="135" t="n">
        <v>11</v>
      </c>
      <c r="B175" s="136"/>
      <c r="C175" s="137" t="e">
        <f aca="false">+#REF!</f>
        <v>#REF!</v>
      </c>
      <c r="D175" s="137" t="e">
        <f aca="false">+#REF!</f>
        <v>#REF!</v>
      </c>
      <c r="E175" s="37"/>
      <c r="F175" s="37" t="e">
        <f aca="false">+#REF!</f>
        <v>#REF!</v>
      </c>
      <c r="G175" s="129"/>
      <c r="H175" s="42" t="e">
        <f aca="false">ROUND(#REF!/1000,0)</f>
        <v>#REF!</v>
      </c>
      <c r="I175" s="42"/>
      <c r="J175" s="42" t="e">
        <f aca="false">ROUND(#REF!/1000,0)</f>
        <v>#REF!</v>
      </c>
      <c r="K175" s="42"/>
      <c r="L175" s="42" t="e">
        <f aca="false">-ROUND((#REF!-#REF!)/1000,0)</f>
        <v>#REF!</v>
      </c>
      <c r="M175" s="42"/>
      <c r="N175" s="42" t="e">
        <f aca="false">SUM(H175:L175)</f>
        <v>#REF!</v>
      </c>
      <c r="O175" s="42"/>
      <c r="P175" s="42" t="n">
        <v>1057</v>
      </c>
      <c r="Q175" s="42"/>
      <c r="R175" s="42" t="n">
        <v>-1057</v>
      </c>
      <c r="S175" s="42"/>
      <c r="T175" s="42" t="n">
        <v>0</v>
      </c>
      <c r="U175" s="42"/>
      <c r="V175" s="42" t="n">
        <f aca="false">SUM(P175:T175)</f>
        <v>0</v>
      </c>
      <c r="W175" s="42"/>
      <c r="X175" s="42" t="n">
        <v>1115</v>
      </c>
      <c r="Y175" s="42"/>
      <c r="Z175" s="42" t="n">
        <v>-1007</v>
      </c>
      <c r="AA175" s="42"/>
      <c r="AB175" s="42" t="n">
        <v>0</v>
      </c>
      <c r="AC175" s="42"/>
      <c r="AD175" s="42" t="n">
        <f aca="false">SUM(X175:AB175)</f>
        <v>108</v>
      </c>
      <c r="AE175" s="71"/>
      <c r="AF175" s="39" t="s">
        <v>454</v>
      </c>
    </row>
    <row r="176" customFormat="false" ht="12.75" hidden="false" customHeight="false" outlineLevel="0" collapsed="false">
      <c r="A176" s="135" t="n">
        <v>11</v>
      </c>
      <c r="B176" s="136"/>
      <c r="C176" s="137" t="e">
        <f aca="false">+#REF!</f>
        <v>#REF!</v>
      </c>
      <c r="D176" s="137" t="e">
        <f aca="false">+#REF!</f>
        <v>#REF!</v>
      </c>
      <c r="E176" s="37"/>
      <c r="F176" s="37" t="e">
        <f aca="false">+#REF!</f>
        <v>#REF!</v>
      </c>
      <c r="G176" s="129"/>
      <c r="H176" s="42" t="e">
        <f aca="false">ROUND(#REF!/1000,0)</f>
        <v>#REF!</v>
      </c>
      <c r="I176" s="42"/>
      <c r="J176" s="42" t="e">
        <f aca="false">ROUND(#REF!/1000,0)</f>
        <v>#REF!</v>
      </c>
      <c r="K176" s="42"/>
      <c r="L176" s="42" t="e">
        <f aca="false">-ROUND((#REF!-#REF!)/1000,0)</f>
        <v>#REF!</v>
      </c>
      <c r="M176" s="42"/>
      <c r="N176" s="42" t="e">
        <f aca="false">SUM(H176:L176)</f>
        <v>#REF!</v>
      </c>
      <c r="O176" s="42"/>
      <c r="P176" s="42" t="n">
        <v>551</v>
      </c>
      <c r="Q176" s="42"/>
      <c r="R176" s="42" t="n">
        <v>0</v>
      </c>
      <c r="S176" s="42"/>
      <c r="T176" s="42" t="n">
        <v>-235</v>
      </c>
      <c r="U176" s="42"/>
      <c r="V176" s="42" t="n">
        <f aca="false">SUM(P176:T176)</f>
        <v>316</v>
      </c>
      <c r="W176" s="42"/>
      <c r="X176" s="42" t="n">
        <v>453</v>
      </c>
      <c r="Y176" s="42"/>
      <c r="Z176" s="42" t="n">
        <v>0</v>
      </c>
      <c r="AA176" s="42"/>
      <c r="AB176" s="42" t="n">
        <v>-235</v>
      </c>
      <c r="AC176" s="42"/>
      <c r="AD176" s="42" t="n">
        <f aca="false">SUM(X176:AB176)</f>
        <v>218</v>
      </c>
      <c r="AE176" s="71"/>
      <c r="AF176" s="39" t="s">
        <v>462</v>
      </c>
    </row>
    <row r="177" customFormat="false" ht="12.75" hidden="false" customHeight="false" outlineLevel="0" collapsed="false">
      <c r="A177" s="135" t="n">
        <v>11</v>
      </c>
      <c r="B177" s="136"/>
      <c r="C177" s="137" t="e">
        <f aca="false">+#REF!</f>
        <v>#REF!</v>
      </c>
      <c r="D177" s="137" t="e">
        <f aca="false">+#REF!</f>
        <v>#REF!</v>
      </c>
      <c r="E177" s="37"/>
      <c r="F177" s="37" t="e">
        <f aca="false">+#REF!</f>
        <v>#REF!</v>
      </c>
      <c r="G177" s="129"/>
      <c r="H177" s="42" t="e">
        <f aca="false">ROUND(#REF!/1000,0)</f>
        <v>#REF!</v>
      </c>
      <c r="I177" s="42"/>
      <c r="J177" s="42" t="e">
        <f aca="false">ROUND(#REF!/1000,0)</f>
        <v>#REF!</v>
      </c>
      <c r="K177" s="42"/>
      <c r="L177" s="42" t="e">
        <f aca="false">-ROUND((#REF!-#REF!)/1000,0)</f>
        <v>#REF!</v>
      </c>
      <c r="M177" s="42"/>
      <c r="N177" s="42" t="e">
        <f aca="false">SUM(H177:L177)</f>
        <v>#REF!</v>
      </c>
      <c r="O177" s="42"/>
      <c r="P177" s="42" t="n">
        <v>638</v>
      </c>
      <c r="Q177" s="42"/>
      <c r="R177" s="42" t="n">
        <v>-70</v>
      </c>
      <c r="S177" s="42"/>
      <c r="T177" s="42" t="n">
        <v>-306</v>
      </c>
      <c r="U177" s="42"/>
      <c r="V177" s="42" t="n">
        <f aca="false">SUM(P177:T177)</f>
        <v>262</v>
      </c>
      <c r="W177" s="42"/>
      <c r="X177" s="42" t="n">
        <v>400</v>
      </c>
      <c r="Y177" s="42"/>
      <c r="Z177" s="42" t="n">
        <v>-70</v>
      </c>
      <c r="AA177" s="42"/>
      <c r="AB177" s="42" t="n">
        <v>-306</v>
      </c>
      <c r="AC177" s="42"/>
      <c r="AD177" s="42" t="n">
        <f aca="false">SUM(X177:AB177)</f>
        <v>24</v>
      </c>
      <c r="AE177" s="71"/>
      <c r="AF177" s="39" t="s">
        <v>487</v>
      </c>
    </row>
    <row r="178" customFormat="false" ht="12.75" hidden="false" customHeight="false" outlineLevel="0" collapsed="false">
      <c r="A178" s="135"/>
      <c r="B178" s="136"/>
      <c r="C178" s="137" t="e">
        <f aca="false">+#REF!</f>
        <v>#REF!</v>
      </c>
      <c r="D178" s="137" t="e">
        <f aca="false">+#REF!</f>
        <v>#REF!</v>
      </c>
      <c r="E178" s="37"/>
      <c r="F178" s="37" t="e">
        <f aca="false">+#REF!</f>
        <v>#REF!</v>
      </c>
      <c r="G178" s="129"/>
      <c r="H178" s="42" t="e">
        <f aca="false">ROUND(#REF!/1000,0)</f>
        <v>#REF!</v>
      </c>
      <c r="I178" s="42"/>
      <c r="J178" s="42" t="e">
        <f aca="false">ROUND(#REF!/1000,0)</f>
        <v>#REF!</v>
      </c>
      <c r="K178" s="42"/>
      <c r="L178" s="42" t="e">
        <f aca="false">-ROUND((#REF!-#REF!)/1000,0)</f>
        <v>#REF!</v>
      </c>
      <c r="M178" s="42"/>
      <c r="N178" s="42" t="e">
        <f aca="false">SUM(H178:L178)</f>
        <v>#REF!</v>
      </c>
      <c r="O178" s="42"/>
      <c r="P178" s="42" t="n">
        <v>0</v>
      </c>
      <c r="Q178" s="42"/>
      <c r="R178" s="42" t="n">
        <v>0</v>
      </c>
      <c r="S178" s="42"/>
      <c r="T178" s="42" t="n">
        <v>0</v>
      </c>
      <c r="U178" s="42"/>
      <c r="V178" s="42" t="n">
        <f aca="false">SUM(P178:T178)</f>
        <v>0</v>
      </c>
      <c r="W178" s="42"/>
      <c r="X178" s="42" t="n">
        <v>0</v>
      </c>
      <c r="Y178" s="42"/>
      <c r="Z178" s="42" t="n">
        <v>0</v>
      </c>
      <c r="AA178" s="42"/>
      <c r="AB178" s="42" t="n">
        <v>-295</v>
      </c>
      <c r="AC178" s="42"/>
      <c r="AD178" s="42" t="n">
        <f aca="false">SUM(X178:AB178)</f>
        <v>-295</v>
      </c>
      <c r="AE178" s="71"/>
      <c r="AF178" s="39"/>
    </row>
    <row r="179" customFormat="false" ht="12.75" hidden="false" customHeight="false" outlineLevel="0" collapsed="false">
      <c r="A179" s="135" t="n">
        <v>11</v>
      </c>
      <c r="B179" s="136"/>
      <c r="C179" s="137" t="e">
        <f aca="false">+#REF!</f>
        <v>#REF!</v>
      </c>
      <c r="D179" s="137" t="e">
        <f aca="false">+#REF!</f>
        <v>#REF!</v>
      </c>
      <c r="E179" s="37"/>
      <c r="F179" s="37" t="e">
        <f aca="false">+#REF!</f>
        <v>#REF!</v>
      </c>
      <c r="G179" s="129"/>
      <c r="H179" s="42" t="e">
        <f aca="false">ROUND(#REF!/1000,0)</f>
        <v>#REF!</v>
      </c>
      <c r="I179" s="42"/>
      <c r="J179" s="42" t="e">
        <f aca="false">ROUND(#REF!/1000,0)</f>
        <v>#REF!</v>
      </c>
      <c r="K179" s="42"/>
      <c r="L179" s="42" t="e">
        <f aca="false">-ROUND((#REF!-#REF!)/1000,0)</f>
        <v>#REF!</v>
      </c>
      <c r="M179" s="42"/>
      <c r="N179" s="42" t="e">
        <f aca="false">SUM(H179:L179)</f>
        <v>#REF!</v>
      </c>
      <c r="O179" s="42"/>
      <c r="P179" s="42" t="n">
        <v>241</v>
      </c>
      <c r="Q179" s="42"/>
      <c r="R179" s="42" t="n">
        <v>0</v>
      </c>
      <c r="S179" s="42"/>
      <c r="T179" s="42" t="n">
        <v>0</v>
      </c>
      <c r="U179" s="42"/>
      <c r="V179" s="42" t="n">
        <f aca="false">SUM(P179:T179)</f>
        <v>241</v>
      </c>
      <c r="W179" s="42"/>
      <c r="X179" s="42" t="n">
        <v>240</v>
      </c>
      <c r="Y179" s="42"/>
      <c r="Z179" s="42" t="n">
        <v>0</v>
      </c>
      <c r="AA179" s="42"/>
      <c r="AB179" s="42" t="n">
        <v>0</v>
      </c>
      <c r="AC179" s="42"/>
      <c r="AD179" s="42" t="n">
        <f aca="false">SUM(X179:AB179)</f>
        <v>240</v>
      </c>
      <c r="AE179" s="71"/>
      <c r="AF179" s="39" t="s">
        <v>108</v>
      </c>
    </row>
    <row r="180" customFormat="false" ht="12.75" hidden="false" customHeight="false" outlineLevel="0" collapsed="false">
      <c r="A180" s="135" t="n">
        <v>11</v>
      </c>
      <c r="B180" s="136"/>
      <c r="C180" s="137" t="e">
        <f aca="false">+#REF!</f>
        <v>#REF!</v>
      </c>
      <c r="D180" s="137" t="e">
        <f aca="false">+#REF!</f>
        <v>#REF!</v>
      </c>
      <c r="E180" s="37"/>
      <c r="F180" s="37" t="e">
        <f aca="false">+#REF!</f>
        <v>#REF!</v>
      </c>
      <c r="G180" s="129"/>
      <c r="H180" s="42" t="e">
        <f aca="false">ROUND(#REF!/1000,0)</f>
        <v>#REF!</v>
      </c>
      <c r="I180" s="42"/>
      <c r="J180" s="42" t="e">
        <f aca="false">ROUND(#REF!/1000,0)</f>
        <v>#REF!</v>
      </c>
      <c r="K180" s="42"/>
      <c r="L180" s="42" t="e">
        <f aca="false">-ROUND((#REF!-#REF!)/1000,0)</f>
        <v>#REF!</v>
      </c>
      <c r="M180" s="42"/>
      <c r="N180" s="42" t="e">
        <f aca="false">SUM(H180:L180)</f>
        <v>#REF!</v>
      </c>
      <c r="O180" s="42"/>
      <c r="P180" s="42" t="n">
        <v>209</v>
      </c>
      <c r="Q180" s="42"/>
      <c r="R180" s="42" t="n">
        <v>0</v>
      </c>
      <c r="S180" s="42"/>
      <c r="T180" s="42" t="n">
        <v>0</v>
      </c>
      <c r="U180" s="42"/>
      <c r="V180" s="42" t="n">
        <f aca="false">SUM(P180:T180)</f>
        <v>209</v>
      </c>
      <c r="W180" s="42"/>
      <c r="X180" s="42" t="n">
        <v>65</v>
      </c>
      <c r="Y180" s="42"/>
      <c r="Z180" s="42" t="n">
        <v>0</v>
      </c>
      <c r="AA180" s="42"/>
      <c r="AB180" s="42" t="n">
        <v>0</v>
      </c>
      <c r="AC180" s="42"/>
      <c r="AD180" s="42" t="n">
        <f aca="false">SUM(X180:AB180)</f>
        <v>65</v>
      </c>
      <c r="AE180" s="71"/>
      <c r="AF180" s="39" t="s">
        <v>108</v>
      </c>
    </row>
    <row r="181" customFormat="false" ht="12.75" hidden="false" customHeight="false" outlineLevel="0" collapsed="false">
      <c r="A181" s="135" t="n">
        <v>11</v>
      </c>
      <c r="B181" s="136"/>
      <c r="C181" s="137" t="e">
        <f aca="false">+#REF!</f>
        <v>#REF!</v>
      </c>
      <c r="D181" s="137" t="e">
        <f aca="false">+#REF!</f>
        <v>#REF!</v>
      </c>
      <c r="E181" s="37"/>
      <c r="F181" s="37" t="e">
        <f aca="false">+#REF!</f>
        <v>#REF!</v>
      </c>
      <c r="G181" s="129"/>
      <c r="H181" s="42" t="e">
        <f aca="false">ROUND(#REF!/1000,0)</f>
        <v>#REF!</v>
      </c>
      <c r="I181" s="42"/>
      <c r="J181" s="42" t="e">
        <f aca="false">ROUND(#REF!/1000,0)</f>
        <v>#REF!</v>
      </c>
      <c r="K181" s="42"/>
      <c r="L181" s="42" t="e">
        <f aca="false">-ROUND((#REF!-#REF!)/1000,0)</f>
        <v>#REF!</v>
      </c>
      <c r="M181" s="42"/>
      <c r="N181" s="42" t="e">
        <f aca="false">SUM(H181:L181)</f>
        <v>#REF!</v>
      </c>
      <c r="O181" s="42"/>
      <c r="P181" s="42" t="n">
        <v>234</v>
      </c>
      <c r="Q181" s="42"/>
      <c r="R181" s="42" t="n">
        <v>0</v>
      </c>
      <c r="S181" s="42"/>
      <c r="T181" s="42" t="n">
        <v>0</v>
      </c>
      <c r="U181" s="42"/>
      <c r="V181" s="42" t="n">
        <f aca="false">SUM(P181:T181)</f>
        <v>234</v>
      </c>
      <c r="W181" s="42"/>
      <c r="X181" s="42" t="n">
        <v>161</v>
      </c>
      <c r="Y181" s="42"/>
      <c r="Z181" s="42" t="n">
        <v>0</v>
      </c>
      <c r="AA181" s="42"/>
      <c r="AB181" s="42" t="n">
        <v>0</v>
      </c>
      <c r="AC181" s="42"/>
      <c r="AD181" s="42" t="n">
        <f aca="false">SUM(X181:AB181)</f>
        <v>161</v>
      </c>
      <c r="AE181" s="71"/>
      <c r="AF181" s="39" t="s">
        <v>156</v>
      </c>
    </row>
    <row r="182" customFormat="false" ht="12.75" hidden="false" customHeight="false" outlineLevel="0" collapsed="false">
      <c r="A182" s="135" t="s">
        <v>449</v>
      </c>
      <c r="B182" s="136"/>
      <c r="C182" s="137" t="e">
        <f aca="false">+#REF!</f>
        <v>#REF!</v>
      </c>
      <c r="D182" s="137" t="e">
        <f aca="false">+#REF!</f>
        <v>#REF!</v>
      </c>
      <c r="E182" s="37"/>
      <c r="F182" s="37" t="e">
        <f aca="false">+#REF!</f>
        <v>#REF!</v>
      </c>
      <c r="G182" s="129"/>
      <c r="H182" s="42" t="e">
        <f aca="false">ROUND(#REF!/1000,0)</f>
        <v>#REF!</v>
      </c>
      <c r="I182" s="42"/>
      <c r="J182" s="42" t="e">
        <f aca="false">ROUND(#REF!/1000,0)</f>
        <v>#REF!</v>
      </c>
      <c r="K182" s="42"/>
      <c r="L182" s="42" t="e">
        <f aca="false">-ROUND((#REF!-#REF!)/1000,0)</f>
        <v>#REF!</v>
      </c>
      <c r="M182" s="42"/>
      <c r="N182" s="42" t="e">
        <f aca="false">SUM(H182:L182)</f>
        <v>#REF!</v>
      </c>
      <c r="O182" s="42"/>
      <c r="P182" s="42" t="n">
        <v>0</v>
      </c>
      <c r="Q182" s="42"/>
      <c r="R182" s="42" t="n">
        <v>0</v>
      </c>
      <c r="S182" s="42"/>
      <c r="T182" s="42" t="n">
        <v>0</v>
      </c>
      <c r="U182" s="42"/>
      <c r="V182" s="42" t="n">
        <f aca="false">SUM(P182:T182)</f>
        <v>0</v>
      </c>
      <c r="W182" s="42"/>
      <c r="X182" s="42" t="n">
        <v>0</v>
      </c>
      <c r="Y182" s="42"/>
      <c r="Z182" s="42" t="n">
        <v>0</v>
      </c>
      <c r="AA182" s="42"/>
      <c r="AB182" s="42" t="n">
        <v>0</v>
      </c>
      <c r="AC182" s="42"/>
      <c r="AD182" s="42" t="n">
        <f aca="false">SUM(X182:AB182)</f>
        <v>0</v>
      </c>
      <c r="AE182" s="71"/>
      <c r="AF182" s="39" t="s">
        <v>156</v>
      </c>
    </row>
    <row r="183" customFormat="false" ht="12.75" hidden="false" customHeight="false" outlineLevel="0" collapsed="false">
      <c r="A183" s="135" t="n">
        <v>11</v>
      </c>
      <c r="B183" s="136"/>
      <c r="C183" s="137" t="e">
        <f aca="false">+#REF!</f>
        <v>#REF!</v>
      </c>
      <c r="D183" s="137" t="e">
        <f aca="false">+#REF!</f>
        <v>#REF!</v>
      </c>
      <c r="E183" s="37"/>
      <c r="F183" s="37" t="e">
        <f aca="false">+#REF!</f>
        <v>#REF!</v>
      </c>
      <c r="G183" s="129"/>
      <c r="H183" s="42" t="e">
        <f aca="false">ROUND(#REF!/1000,0)</f>
        <v>#REF!</v>
      </c>
      <c r="I183" s="42"/>
      <c r="J183" s="42" t="e">
        <f aca="false">ROUND(#REF!/1000,0)</f>
        <v>#REF!</v>
      </c>
      <c r="K183" s="42"/>
      <c r="L183" s="42" t="e">
        <f aca="false">-ROUND((#REF!-#REF!)/1000,0)</f>
        <v>#REF!</v>
      </c>
      <c r="M183" s="42"/>
      <c r="N183" s="42" t="e">
        <f aca="false">SUM(H183:L183)</f>
        <v>#REF!</v>
      </c>
      <c r="O183" s="42"/>
      <c r="P183" s="42" t="n">
        <v>200</v>
      </c>
      <c r="Q183" s="42"/>
      <c r="R183" s="42" t="n">
        <v>0</v>
      </c>
      <c r="S183" s="42"/>
      <c r="T183" s="42" t="n">
        <v>0</v>
      </c>
      <c r="U183" s="42"/>
      <c r="V183" s="42" t="n">
        <f aca="false">SUM(P183:T183)</f>
        <v>200</v>
      </c>
      <c r="W183" s="42"/>
      <c r="X183" s="42" t="n">
        <v>188</v>
      </c>
      <c r="Y183" s="42"/>
      <c r="Z183" s="42" t="n">
        <v>0</v>
      </c>
      <c r="AA183" s="42"/>
      <c r="AB183" s="42" t="n">
        <v>0</v>
      </c>
      <c r="AC183" s="42"/>
      <c r="AD183" s="42" t="n">
        <f aca="false">SUM(X183:AB183)</f>
        <v>188</v>
      </c>
      <c r="AE183" s="71"/>
      <c r="AF183" s="39" t="s">
        <v>153</v>
      </c>
    </row>
    <row r="184" customFormat="false" ht="12.75" hidden="false" customHeight="false" outlineLevel="0" collapsed="false">
      <c r="A184" s="135" t="s">
        <v>449</v>
      </c>
      <c r="B184" s="136"/>
      <c r="C184" s="139" t="e">
        <f aca="false">+#REF!</f>
        <v>#REF!</v>
      </c>
      <c r="D184" s="139" t="e">
        <f aca="false">+#REF!</f>
        <v>#REF!</v>
      </c>
      <c r="E184" s="68"/>
      <c r="F184" s="68" t="e">
        <f aca="false">+#REF!</f>
        <v>#REF!</v>
      </c>
      <c r="G184" s="140"/>
      <c r="H184" s="42" t="e">
        <f aca="false">ROUND(#REF!/1000,0)</f>
        <v>#REF!</v>
      </c>
      <c r="I184" s="42"/>
      <c r="J184" s="42" t="e">
        <f aca="false">ROUND(#REF!/1000,0)</f>
        <v>#REF!</v>
      </c>
      <c r="K184" s="42"/>
      <c r="L184" s="42" t="e">
        <f aca="false">-ROUND((#REF!-#REF!)/1000,0)</f>
        <v>#REF!</v>
      </c>
      <c r="M184" s="42"/>
      <c r="N184" s="42" t="e">
        <f aca="false">SUM(H184:L184)</f>
        <v>#REF!</v>
      </c>
      <c r="O184" s="42"/>
      <c r="P184" s="42" t="n">
        <v>528</v>
      </c>
      <c r="Q184" s="42"/>
      <c r="R184" s="42" t="n">
        <v>-448</v>
      </c>
      <c r="S184" s="42"/>
      <c r="T184" s="42" t="n">
        <v>0</v>
      </c>
      <c r="U184" s="42"/>
      <c r="V184" s="42" t="n">
        <f aca="false">SUM(P184:T184)</f>
        <v>80</v>
      </c>
      <c r="W184" s="42"/>
      <c r="X184" s="42" t="n">
        <v>557</v>
      </c>
      <c r="Y184" s="42"/>
      <c r="Z184" s="42" t="n">
        <v>-555</v>
      </c>
      <c r="AA184" s="42"/>
      <c r="AB184" s="42" t="n">
        <v>0</v>
      </c>
      <c r="AC184" s="42"/>
      <c r="AD184" s="42" t="n">
        <f aca="false">SUM(X184:AB184)</f>
        <v>2</v>
      </c>
      <c r="AE184" s="71"/>
      <c r="AF184" s="39" t="s">
        <v>454</v>
      </c>
    </row>
    <row r="185" customFormat="false" ht="12.75" hidden="false" customHeight="false" outlineLevel="0" collapsed="false">
      <c r="A185" s="135"/>
      <c r="B185" s="136"/>
      <c r="C185" s="39"/>
      <c r="D185" s="39"/>
      <c r="E185" s="39"/>
      <c r="F185" s="37"/>
      <c r="G185" s="129"/>
      <c r="H185" s="141"/>
      <c r="I185" s="42"/>
      <c r="J185" s="141"/>
      <c r="K185" s="42"/>
      <c r="L185" s="141"/>
      <c r="M185" s="42"/>
      <c r="N185" s="141"/>
      <c r="O185" s="42"/>
      <c r="P185" s="141"/>
      <c r="Q185" s="42"/>
      <c r="R185" s="141"/>
      <c r="S185" s="42"/>
      <c r="T185" s="141"/>
      <c r="U185" s="42"/>
      <c r="V185" s="141"/>
      <c r="W185" s="42"/>
      <c r="X185" s="141"/>
      <c r="Y185" s="42"/>
      <c r="Z185" s="141"/>
      <c r="AA185" s="42"/>
      <c r="AB185" s="141"/>
      <c r="AC185" s="42"/>
      <c r="AD185" s="141"/>
      <c r="AE185" s="71"/>
      <c r="AF185" s="39"/>
    </row>
    <row r="186" customFormat="false" ht="12.75" hidden="false" customHeight="false" outlineLevel="0" collapsed="false">
      <c r="A186" s="135"/>
      <c r="B186" s="136"/>
      <c r="C186" s="39"/>
      <c r="D186" s="39"/>
      <c r="E186" s="39"/>
      <c r="F186" s="37"/>
      <c r="G186" s="129"/>
      <c r="H186" s="149" t="e">
        <f aca="false">SUM(H174:H185)</f>
        <v>#REF!</v>
      </c>
      <c r="I186" s="42"/>
      <c r="J186" s="149" t="e">
        <f aca="false">SUM(J174:J185)</f>
        <v>#REF!</v>
      </c>
      <c r="K186" s="42"/>
      <c r="L186" s="149" t="e">
        <f aca="false">SUM(L174:L185)</f>
        <v>#REF!</v>
      </c>
      <c r="M186" s="42"/>
      <c r="N186" s="149" t="e">
        <f aca="false">SUM(N174:N185)</f>
        <v>#REF!</v>
      </c>
      <c r="O186" s="42"/>
      <c r="P186" s="149" t="n">
        <f aca="false">SUM(P174:P185)</f>
        <v>4166</v>
      </c>
      <c r="Q186" s="42"/>
      <c r="R186" s="149" t="n">
        <f aca="false">SUM(R174:R185)</f>
        <v>-1990</v>
      </c>
      <c r="S186" s="42"/>
      <c r="T186" s="149" t="n">
        <f aca="false">SUM(T174:T185)</f>
        <v>-541</v>
      </c>
      <c r="U186" s="42"/>
      <c r="V186" s="149" t="n">
        <f aca="false">SUM(V174:V185)</f>
        <v>1635</v>
      </c>
      <c r="W186" s="42"/>
      <c r="X186" s="149" t="n">
        <f aca="false">SUM(X174:X185)</f>
        <v>3594</v>
      </c>
      <c r="Y186" s="42"/>
      <c r="Z186" s="149" t="n">
        <f aca="false">SUM(Z174:Z185)</f>
        <v>-2047</v>
      </c>
      <c r="AA186" s="42"/>
      <c r="AB186" s="149" t="n">
        <f aca="false">SUM(AB174:AB185)</f>
        <v>-836</v>
      </c>
      <c r="AC186" s="42"/>
      <c r="AD186" s="149" t="n">
        <f aca="false">SUM(AD174:AD185)</f>
        <v>711</v>
      </c>
      <c r="AE186" s="71"/>
      <c r="AF186" s="39"/>
    </row>
    <row r="187" customFormat="false" ht="12.75" hidden="false" customHeight="false" outlineLevel="0" collapsed="false">
      <c r="A187" s="135"/>
      <c r="B187" s="158"/>
      <c r="C187" s="38"/>
      <c r="D187" s="4"/>
      <c r="E187" s="4"/>
      <c r="F187" s="68"/>
      <c r="G187" s="140"/>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71"/>
      <c r="AF187" s="39"/>
    </row>
    <row r="188" customFormat="false" ht="11.25" hidden="false" customHeight="false" outlineLevel="0" collapsed="false">
      <c r="A188" s="127" t="n">
        <v>901</v>
      </c>
      <c r="B188" s="136"/>
      <c r="C188" s="129" t="s">
        <v>488</v>
      </c>
      <c r="D188" s="4"/>
      <c r="E188" s="68"/>
      <c r="F188" s="68"/>
      <c r="G188" s="71"/>
      <c r="H188" s="71"/>
      <c r="I188" s="71"/>
      <c r="J188" s="71"/>
      <c r="K188" s="71"/>
      <c r="L188" s="71"/>
      <c r="M188" s="71"/>
      <c r="N188" s="42"/>
      <c r="O188" s="172"/>
      <c r="P188" s="4" t="n">
        <v>70429</v>
      </c>
      <c r="Q188" s="173"/>
      <c r="R188" s="4" t="n">
        <v>-70429</v>
      </c>
      <c r="S188" s="173"/>
      <c r="T188" s="4" t="n">
        <v>0</v>
      </c>
      <c r="U188" s="173"/>
      <c r="V188" s="42" t="n">
        <f aca="false">SUM(P188:T188)</f>
        <v>0</v>
      </c>
      <c r="W188" s="118"/>
      <c r="X188" s="4" t="n">
        <v>68734</v>
      </c>
      <c r="Y188" s="172"/>
      <c r="Z188" s="173" t="n">
        <v>-68734</v>
      </c>
      <c r="AA188" s="174"/>
      <c r="AB188" s="174" t="n">
        <v>0</v>
      </c>
      <c r="AC188" s="174"/>
      <c r="AD188" s="42" t="n">
        <f aca="false">SUM(X188:AB188)</f>
        <v>0</v>
      </c>
      <c r="AE188" s="174"/>
      <c r="AF188" s="174"/>
    </row>
    <row r="189" customFormat="false" ht="11.25" hidden="false" customHeight="false" outlineLevel="0" collapsed="false">
      <c r="A189" s="127" t="n">
        <v>901</v>
      </c>
      <c r="B189" s="136"/>
      <c r="C189" s="139" t="e">
        <f aca="false">+#REF!</f>
        <v>#REF!</v>
      </c>
      <c r="D189" s="139" t="e">
        <f aca="false">+#REF!</f>
        <v>#REF!</v>
      </c>
      <c r="E189" s="68"/>
      <c r="F189" s="68" t="e">
        <f aca="false">+#REF!</f>
        <v>#REF!</v>
      </c>
      <c r="G189" s="71"/>
      <c r="H189" s="71" t="e">
        <f aca="false">ROUND(#REF!/1000,0)</f>
        <v>#REF!</v>
      </c>
      <c r="I189" s="71"/>
      <c r="J189" s="71" t="e">
        <f aca="false">ROUND(#REF!/1000,0)</f>
        <v>#REF!</v>
      </c>
      <c r="K189" s="71"/>
      <c r="L189" s="71" t="e">
        <f aca="false">-ROUND((#REF!-#REF!)/1000,0)</f>
        <v>#REF!</v>
      </c>
      <c r="M189" s="71"/>
      <c r="N189" s="42" t="e">
        <f aca="false">SUM(H189:L189)</f>
        <v>#REF!</v>
      </c>
      <c r="O189" s="172"/>
      <c r="P189" s="4"/>
      <c r="Q189" s="173"/>
      <c r="R189" s="4"/>
      <c r="S189" s="173"/>
      <c r="T189" s="4"/>
      <c r="U189" s="173"/>
      <c r="V189" s="42" t="n">
        <f aca="false">SUM(P189:T189)</f>
        <v>0</v>
      </c>
      <c r="W189" s="118"/>
      <c r="X189" s="4"/>
      <c r="Y189" s="172"/>
      <c r="Z189" s="174"/>
      <c r="AA189" s="174"/>
      <c r="AB189" s="174"/>
      <c r="AC189" s="174"/>
      <c r="AD189" s="42" t="n">
        <f aca="false">SUM(X189:AB189)</f>
        <v>0</v>
      </c>
      <c r="AE189" s="174"/>
      <c r="AF189" s="174"/>
    </row>
    <row r="190" customFormat="false" ht="11.25" hidden="false" customHeight="false" outlineLevel="0" collapsed="false">
      <c r="A190" s="127" t="n">
        <v>901</v>
      </c>
      <c r="B190" s="136"/>
      <c r="C190" s="139" t="e">
        <f aca="false">+#REF!</f>
        <v>#REF!</v>
      </c>
      <c r="D190" s="139" t="e">
        <f aca="false">+#REF!</f>
        <v>#REF!</v>
      </c>
      <c r="E190" s="68"/>
      <c r="F190" s="68" t="e">
        <f aca="false">+#REF!</f>
        <v>#REF!</v>
      </c>
      <c r="G190" s="71"/>
      <c r="H190" s="71" t="e">
        <f aca="false">ROUND(#REF!/1000,0)</f>
        <v>#REF!</v>
      </c>
      <c r="I190" s="71"/>
      <c r="J190" s="71" t="e">
        <f aca="false">ROUND(#REF!/1000,0)</f>
        <v>#REF!</v>
      </c>
      <c r="K190" s="71"/>
      <c r="L190" s="71" t="e">
        <f aca="false">-ROUND((#REF!-#REF!)/1000,0)</f>
        <v>#REF!</v>
      </c>
      <c r="M190" s="71"/>
      <c r="N190" s="42" t="e">
        <f aca="false">SUM(H190:L190)</f>
        <v>#REF!</v>
      </c>
      <c r="O190" s="172"/>
      <c r="P190" s="4"/>
      <c r="Q190" s="173"/>
      <c r="R190" s="4"/>
      <c r="S190" s="173"/>
      <c r="T190" s="4"/>
      <c r="U190" s="173"/>
      <c r="V190" s="42" t="n">
        <f aca="false">SUM(P190:T190)</f>
        <v>0</v>
      </c>
      <c r="W190" s="118"/>
      <c r="X190" s="4"/>
      <c r="Y190" s="172"/>
      <c r="Z190" s="174"/>
      <c r="AA190" s="174"/>
      <c r="AB190" s="174"/>
      <c r="AC190" s="174"/>
      <c r="AD190" s="42" t="n">
        <f aca="false">SUM(X190:AB190)</f>
        <v>0</v>
      </c>
      <c r="AE190" s="174"/>
      <c r="AF190" s="174"/>
    </row>
    <row r="191" customFormat="false" ht="11.25" hidden="false" customHeight="false" outlineLevel="0" collapsed="false">
      <c r="A191" s="127" t="n">
        <v>901</v>
      </c>
      <c r="B191" s="136"/>
      <c r="C191" s="139" t="e">
        <f aca="false">+#REF!</f>
        <v>#REF!</v>
      </c>
      <c r="D191" s="139" t="e">
        <f aca="false">+#REF!</f>
        <v>#REF!</v>
      </c>
      <c r="E191" s="68"/>
      <c r="F191" s="68" t="e">
        <f aca="false">+#REF!</f>
        <v>#REF!</v>
      </c>
      <c r="G191" s="71"/>
      <c r="H191" s="71" t="e">
        <f aca="false">ROUND(#REF!/1000,0)</f>
        <v>#REF!</v>
      </c>
      <c r="I191" s="71"/>
      <c r="J191" s="71" t="e">
        <f aca="false">ROUND(#REF!/1000,0)</f>
        <v>#REF!</v>
      </c>
      <c r="K191" s="71"/>
      <c r="L191" s="71" t="e">
        <f aca="false">-ROUND((#REF!-#REF!)/1000,0)</f>
        <v>#REF!</v>
      </c>
      <c r="M191" s="71"/>
      <c r="N191" s="42" t="e">
        <f aca="false">SUM(H191:L191)</f>
        <v>#REF!</v>
      </c>
      <c r="O191" s="172"/>
      <c r="P191" s="4"/>
      <c r="Q191" s="173"/>
      <c r="R191" s="4"/>
      <c r="S191" s="173"/>
      <c r="T191" s="4"/>
      <c r="U191" s="173"/>
      <c r="V191" s="42" t="n">
        <f aca="false">SUM(P191:T191)</f>
        <v>0</v>
      </c>
      <c r="W191" s="118"/>
      <c r="X191" s="4"/>
      <c r="Y191" s="172"/>
      <c r="Z191" s="174"/>
      <c r="AA191" s="174"/>
      <c r="AB191" s="174"/>
      <c r="AC191" s="174"/>
      <c r="AD191" s="42" t="n">
        <f aca="false">SUM(X191:AB191)</f>
        <v>0</v>
      </c>
      <c r="AE191" s="174"/>
      <c r="AF191" s="174"/>
    </row>
    <row r="192" customFormat="false" ht="11.25" hidden="false" customHeight="false" outlineLevel="0" collapsed="false">
      <c r="A192" s="127" t="n">
        <v>901</v>
      </c>
      <c r="B192" s="136"/>
      <c r="C192" s="139" t="e">
        <f aca="false">+#REF!</f>
        <v>#REF!</v>
      </c>
      <c r="D192" s="139" t="e">
        <f aca="false">+#REF!</f>
        <v>#REF!</v>
      </c>
      <c r="E192" s="68"/>
      <c r="F192" s="68" t="e">
        <f aca="false">+#REF!</f>
        <v>#REF!</v>
      </c>
      <c r="G192" s="71"/>
      <c r="H192" s="71" t="e">
        <f aca="false">ROUND(#REF!/1000,0)</f>
        <v>#REF!</v>
      </c>
      <c r="I192" s="71"/>
      <c r="J192" s="71" t="e">
        <f aca="false">ROUND(#REF!/1000,0)</f>
        <v>#REF!</v>
      </c>
      <c r="K192" s="71"/>
      <c r="L192" s="71" t="e">
        <f aca="false">-ROUND((#REF!-#REF!)/1000,0)</f>
        <v>#REF!</v>
      </c>
      <c r="M192" s="71"/>
      <c r="N192" s="42" t="e">
        <f aca="false">SUM(H192:L192)</f>
        <v>#REF!</v>
      </c>
      <c r="O192" s="172"/>
      <c r="P192" s="4"/>
      <c r="Q192" s="173"/>
      <c r="R192" s="4"/>
      <c r="S192" s="173"/>
      <c r="T192" s="4"/>
      <c r="U192" s="173"/>
      <c r="V192" s="42" t="n">
        <f aca="false">SUM(P192:T192)</f>
        <v>0</v>
      </c>
      <c r="W192" s="118"/>
      <c r="X192" s="4"/>
      <c r="Y192" s="172"/>
      <c r="Z192" s="174"/>
      <c r="AA192" s="174"/>
      <c r="AB192" s="174"/>
      <c r="AC192" s="174"/>
      <c r="AD192" s="42" t="n">
        <f aca="false">SUM(X192:AB192)</f>
        <v>0</v>
      </c>
      <c r="AE192" s="174"/>
      <c r="AF192" s="174"/>
    </row>
    <row r="193" customFormat="false" ht="11.25" hidden="false" customHeight="false" outlineLevel="0" collapsed="false">
      <c r="A193" s="127" t="n">
        <v>901</v>
      </c>
      <c r="B193" s="136"/>
      <c r="C193" s="139" t="s">
        <v>489</v>
      </c>
      <c r="D193" s="139" t="s">
        <v>180</v>
      </c>
      <c r="E193" s="68"/>
      <c r="F193" s="68" t="n">
        <v>92</v>
      </c>
      <c r="G193" s="71"/>
      <c r="H193" s="71" t="n">
        <v>0</v>
      </c>
      <c r="I193" s="71"/>
      <c r="J193" s="71" t="n">
        <v>0</v>
      </c>
      <c r="K193" s="71"/>
      <c r="L193" s="71" t="n">
        <v>0</v>
      </c>
      <c r="M193" s="71"/>
      <c r="N193" s="42" t="n">
        <f aca="false">SUM(H193:L193)</f>
        <v>0</v>
      </c>
      <c r="O193" s="172"/>
      <c r="P193" s="4"/>
      <c r="Q193" s="173"/>
      <c r="R193" s="4"/>
      <c r="S193" s="173"/>
      <c r="T193" s="4"/>
      <c r="U193" s="173"/>
      <c r="V193" s="42" t="n">
        <f aca="false">SUM(P193:T193)</f>
        <v>0</v>
      </c>
      <c r="W193" s="118"/>
      <c r="X193" s="4"/>
      <c r="Y193" s="172"/>
      <c r="Z193" s="174"/>
      <c r="AA193" s="174"/>
      <c r="AB193" s="174"/>
      <c r="AC193" s="174"/>
      <c r="AD193" s="42" t="n">
        <f aca="false">SUM(X193:AB193)</f>
        <v>0</v>
      </c>
      <c r="AE193" s="174"/>
      <c r="AF193" s="174"/>
    </row>
    <row r="194" customFormat="false" ht="11.25" hidden="false" customHeight="false" outlineLevel="0" collapsed="false">
      <c r="A194" s="127" t="n">
        <v>901</v>
      </c>
      <c r="B194" s="136"/>
      <c r="C194" s="139" t="e">
        <f aca="false">+#REF!</f>
        <v>#REF!</v>
      </c>
      <c r="D194" s="139" t="e">
        <f aca="false">+#REF!</f>
        <v>#REF!</v>
      </c>
      <c r="E194" s="68"/>
      <c r="F194" s="68" t="e">
        <f aca="false">+#REF!</f>
        <v>#REF!</v>
      </c>
      <c r="G194" s="71"/>
      <c r="H194" s="71" t="e">
        <f aca="false">ROUND(#REF!/1000,0)</f>
        <v>#REF!</v>
      </c>
      <c r="I194" s="71"/>
      <c r="J194" s="71" t="e">
        <f aca="false">ROUND(#REF!/1000,0)</f>
        <v>#REF!</v>
      </c>
      <c r="K194" s="71"/>
      <c r="L194" s="71" t="e">
        <f aca="false">ROUND((#REF!-#REF!)/1000,0)</f>
        <v>#REF!</v>
      </c>
      <c r="M194" s="71"/>
      <c r="N194" s="42" t="e">
        <f aca="false">SUM(H194:L194)</f>
        <v>#REF!</v>
      </c>
      <c r="O194" s="119"/>
      <c r="P194" s="4"/>
      <c r="Q194" s="4"/>
      <c r="R194" s="4"/>
      <c r="S194" s="4"/>
      <c r="T194" s="4"/>
      <c r="U194" s="4"/>
      <c r="V194" s="42" t="n">
        <f aca="false">SUM(P194:T194)</f>
        <v>0</v>
      </c>
      <c r="W194" s="118"/>
      <c r="X194" s="4"/>
      <c r="Y194" s="119"/>
      <c r="Z194" s="175"/>
      <c r="AA194" s="175"/>
      <c r="AB194" s="175"/>
      <c r="AC194" s="175"/>
      <c r="AD194" s="42" t="n">
        <f aca="false">SUM(X194:AB194)</f>
        <v>0</v>
      </c>
      <c r="AE194" s="175"/>
      <c r="AF194" s="175"/>
    </row>
    <row r="195" customFormat="false" ht="11.25" hidden="false" customHeight="false" outlineLevel="0" collapsed="false">
      <c r="A195" s="127" t="n">
        <v>901</v>
      </c>
      <c r="B195" s="136"/>
      <c r="C195" s="139" t="e">
        <f aca="false">+#REF!</f>
        <v>#REF!</v>
      </c>
      <c r="D195" s="139" t="e">
        <f aca="false">+#REF!</f>
        <v>#REF!</v>
      </c>
      <c r="E195" s="68"/>
      <c r="F195" s="68" t="e">
        <f aca="false">+#REF!</f>
        <v>#REF!</v>
      </c>
      <c r="G195" s="71"/>
      <c r="H195" s="71" t="e">
        <f aca="false">ROUND(#REF!/1000,0)</f>
        <v>#REF!</v>
      </c>
      <c r="I195" s="71"/>
      <c r="J195" s="71" t="e">
        <f aca="false">ROUND(#REF!/1000,0)</f>
        <v>#REF!</v>
      </c>
      <c r="K195" s="71"/>
      <c r="L195" s="71" t="e">
        <f aca="false">-ROUND((#REF!-#REF!)/1000,0)</f>
        <v>#REF!</v>
      </c>
      <c r="M195" s="71"/>
      <c r="N195" s="42" t="e">
        <f aca="false">SUM(H195:L195)</f>
        <v>#REF!</v>
      </c>
      <c r="O195" s="119"/>
      <c r="P195" s="4"/>
      <c r="Q195" s="4"/>
      <c r="R195" s="4"/>
      <c r="S195" s="4"/>
      <c r="T195" s="4"/>
      <c r="U195" s="4"/>
      <c r="V195" s="42" t="n">
        <f aca="false">SUM(P195:T195)</f>
        <v>0</v>
      </c>
      <c r="W195" s="118"/>
      <c r="X195" s="4"/>
      <c r="Y195" s="119"/>
      <c r="Z195" s="175"/>
      <c r="AA195" s="175"/>
      <c r="AB195" s="175"/>
      <c r="AC195" s="175"/>
      <c r="AD195" s="42" t="n">
        <f aca="false">SUM(X195:AB195)</f>
        <v>0</v>
      </c>
      <c r="AE195" s="175"/>
      <c r="AF195" s="175"/>
    </row>
    <row r="196" customFormat="false" ht="11.25" hidden="false" customHeight="false" outlineLevel="0" collapsed="false">
      <c r="A196" s="127" t="n">
        <v>901</v>
      </c>
      <c r="B196" s="136"/>
      <c r="C196" s="139" t="s">
        <v>490</v>
      </c>
      <c r="D196" s="139" t="s">
        <v>180</v>
      </c>
      <c r="E196" s="68"/>
      <c r="F196" s="68" t="n">
        <v>224</v>
      </c>
      <c r="G196" s="71"/>
      <c r="H196" s="71"/>
      <c r="I196" s="71"/>
      <c r="J196" s="71"/>
      <c r="K196" s="71"/>
      <c r="L196" s="71"/>
      <c r="M196" s="71"/>
      <c r="N196" s="42" t="n">
        <f aca="false">SUM(H196:L196)</f>
        <v>0</v>
      </c>
      <c r="O196" s="119"/>
      <c r="P196" s="4"/>
      <c r="Q196" s="4"/>
      <c r="R196" s="4"/>
      <c r="S196" s="4"/>
      <c r="T196" s="4"/>
      <c r="U196" s="4"/>
      <c r="V196" s="42" t="n">
        <f aca="false">SUM(P196:T196)</f>
        <v>0</v>
      </c>
      <c r="W196" s="118"/>
      <c r="X196" s="4"/>
      <c r="Y196" s="119"/>
      <c r="Z196" s="175"/>
      <c r="AA196" s="175"/>
      <c r="AB196" s="175"/>
      <c r="AC196" s="175"/>
      <c r="AD196" s="42" t="n">
        <f aca="false">SUM(X196:AB196)</f>
        <v>0</v>
      </c>
      <c r="AE196" s="175"/>
      <c r="AF196" s="175"/>
    </row>
    <row r="197" customFormat="false" ht="11.25" hidden="false" customHeight="false" outlineLevel="0" collapsed="false">
      <c r="A197" s="127" t="n">
        <v>901</v>
      </c>
      <c r="B197" s="136"/>
      <c r="C197" s="139" t="e">
        <f aca="false">+#REF!</f>
        <v>#REF!</v>
      </c>
      <c r="D197" s="139" t="e">
        <f aca="false">+#REF!</f>
        <v>#REF!</v>
      </c>
      <c r="E197" s="68"/>
      <c r="F197" s="68" t="e">
        <f aca="false">+#REF!</f>
        <v>#REF!</v>
      </c>
      <c r="G197" s="71"/>
      <c r="H197" s="71" t="e">
        <f aca="false">ROUND(#REF!/1000,0)</f>
        <v>#REF!</v>
      </c>
      <c r="I197" s="71"/>
      <c r="J197" s="71" t="e">
        <f aca="false">ROUND(#REF!/1000,0)</f>
        <v>#REF!</v>
      </c>
      <c r="K197" s="71"/>
      <c r="L197" s="71" t="e">
        <f aca="false">-ROUND((#REF!-#REF!)/1000,0)</f>
        <v>#REF!</v>
      </c>
      <c r="M197" s="71"/>
      <c r="N197" s="42" t="e">
        <f aca="false">SUM(H197:L197)</f>
        <v>#REF!</v>
      </c>
      <c r="O197" s="119"/>
      <c r="P197" s="4"/>
      <c r="Q197" s="4"/>
      <c r="R197" s="4"/>
      <c r="S197" s="4"/>
      <c r="T197" s="4"/>
      <c r="U197" s="4"/>
      <c r="V197" s="42" t="n">
        <f aca="false">SUM(P197:T197)</f>
        <v>0</v>
      </c>
      <c r="W197" s="118"/>
      <c r="X197" s="4"/>
      <c r="Y197" s="119"/>
      <c r="Z197" s="175"/>
      <c r="AA197" s="175"/>
      <c r="AB197" s="175"/>
      <c r="AC197" s="175"/>
      <c r="AD197" s="42" t="n">
        <f aca="false">SUM(X197:AB197)</f>
        <v>0</v>
      </c>
      <c r="AE197" s="175"/>
      <c r="AF197" s="175"/>
    </row>
    <row r="198" customFormat="false" ht="11.25" hidden="false" customHeight="false" outlineLevel="0" collapsed="false">
      <c r="A198" s="127" t="n">
        <v>901</v>
      </c>
      <c r="B198" s="136"/>
      <c r="C198" s="139" t="s">
        <v>491</v>
      </c>
      <c r="D198" s="139" t="s">
        <v>180</v>
      </c>
      <c r="E198" s="68"/>
      <c r="F198" s="68" t="n">
        <v>339</v>
      </c>
      <c r="G198" s="71"/>
      <c r="H198" s="71"/>
      <c r="I198" s="71"/>
      <c r="J198" s="71"/>
      <c r="K198" s="71"/>
      <c r="L198" s="71"/>
      <c r="M198" s="71"/>
      <c r="N198" s="42" t="n">
        <f aca="false">SUM(H198:L198)</f>
        <v>0</v>
      </c>
      <c r="O198" s="119"/>
      <c r="P198" s="4"/>
      <c r="Q198" s="4"/>
      <c r="R198" s="4"/>
      <c r="S198" s="4"/>
      <c r="T198" s="4"/>
      <c r="U198" s="4"/>
      <c r="V198" s="42" t="n">
        <f aca="false">SUM(P198:T198)</f>
        <v>0</v>
      </c>
      <c r="W198" s="118"/>
      <c r="X198" s="4"/>
      <c r="Y198" s="119"/>
      <c r="Z198" s="175"/>
      <c r="AA198" s="175"/>
      <c r="AB198" s="175"/>
      <c r="AC198" s="175"/>
      <c r="AD198" s="42" t="n">
        <f aca="false">SUM(X198:AB198)</f>
        <v>0</v>
      </c>
      <c r="AE198" s="175"/>
      <c r="AF198" s="175"/>
    </row>
    <row r="199" customFormat="false" ht="11.25" hidden="false" customHeight="false" outlineLevel="0" collapsed="false">
      <c r="A199" s="127" t="n">
        <v>901</v>
      </c>
      <c r="B199" s="136"/>
      <c r="C199" s="139" t="e">
        <f aca="false">+#REF!</f>
        <v>#REF!</v>
      </c>
      <c r="D199" s="139" t="e">
        <f aca="false">+#REF!</f>
        <v>#REF!</v>
      </c>
      <c r="E199" s="68"/>
      <c r="F199" s="68" t="e">
        <f aca="false">+#REF!</f>
        <v>#REF!</v>
      </c>
      <c r="G199" s="71"/>
      <c r="H199" s="71" t="e">
        <f aca="false">ROUND(#REF!/1000,0)</f>
        <v>#REF!</v>
      </c>
      <c r="I199" s="71"/>
      <c r="J199" s="71" t="e">
        <f aca="false">ROUND(#REF!/1000,0)</f>
        <v>#REF!</v>
      </c>
      <c r="K199" s="71"/>
      <c r="L199" s="71" t="e">
        <f aca="false">-ROUND((#REF!-#REF!)/1000,0)</f>
        <v>#REF!</v>
      </c>
      <c r="M199" s="71"/>
      <c r="N199" s="42" t="e">
        <f aca="false">SUM(H199:L199)</f>
        <v>#REF!</v>
      </c>
      <c r="O199" s="119"/>
      <c r="P199" s="4"/>
      <c r="Q199" s="4"/>
      <c r="R199" s="4"/>
      <c r="S199" s="4"/>
      <c r="T199" s="4"/>
      <c r="U199" s="4"/>
      <c r="V199" s="42" t="n">
        <f aca="false">SUM(P199:T199)</f>
        <v>0</v>
      </c>
      <c r="W199" s="118"/>
      <c r="X199" s="4"/>
      <c r="Y199" s="119"/>
      <c r="Z199" s="175"/>
      <c r="AA199" s="175"/>
      <c r="AB199" s="175"/>
      <c r="AC199" s="175"/>
      <c r="AD199" s="42" t="n">
        <f aca="false">SUM(X199:AB199)</f>
        <v>0</v>
      </c>
      <c r="AE199" s="175"/>
      <c r="AF199" s="175"/>
    </row>
    <row r="200" customFormat="false" ht="11.25" hidden="false" customHeight="false" outlineLevel="0" collapsed="false">
      <c r="A200" s="127" t="n">
        <v>901</v>
      </c>
      <c r="B200" s="136"/>
      <c r="C200" s="139" t="e">
        <f aca="false">+#REF!</f>
        <v>#REF!</v>
      </c>
      <c r="D200" s="139" t="e">
        <f aca="false">+#REF!</f>
        <v>#REF!</v>
      </c>
      <c r="E200" s="68"/>
      <c r="F200" s="68" t="e">
        <f aca="false">+#REF!</f>
        <v>#REF!</v>
      </c>
      <c r="G200" s="71"/>
      <c r="H200" s="71" t="e">
        <f aca="false">ROUND(#REF!/1000,0)</f>
        <v>#REF!</v>
      </c>
      <c r="I200" s="71"/>
      <c r="J200" s="71" t="e">
        <f aca="false">ROUND(#REF!/1000,0)</f>
        <v>#REF!</v>
      </c>
      <c r="K200" s="71"/>
      <c r="L200" s="71" t="e">
        <f aca="false">-ROUND((#REF!-#REF!)/1000,0)</f>
        <v>#REF!</v>
      </c>
      <c r="M200" s="71"/>
      <c r="N200" s="42" t="e">
        <f aca="false">SUM(H200:L200)</f>
        <v>#REF!</v>
      </c>
      <c r="O200" s="119"/>
      <c r="P200" s="4"/>
      <c r="Q200" s="4"/>
      <c r="R200" s="4"/>
      <c r="S200" s="4"/>
      <c r="T200" s="4"/>
      <c r="U200" s="4"/>
      <c r="V200" s="42" t="n">
        <f aca="false">SUM(P200:T200)</f>
        <v>0</v>
      </c>
      <c r="W200" s="118"/>
      <c r="X200" s="4"/>
      <c r="Y200" s="119"/>
      <c r="Z200" s="175"/>
      <c r="AA200" s="175"/>
      <c r="AB200" s="175"/>
      <c r="AC200" s="175"/>
      <c r="AD200" s="42" t="n">
        <f aca="false">SUM(X200:AB200)</f>
        <v>0</v>
      </c>
      <c r="AE200" s="175"/>
      <c r="AF200" s="175"/>
    </row>
    <row r="201" customFormat="false" ht="11.25" hidden="false" customHeight="false" outlineLevel="0" collapsed="false">
      <c r="A201" s="127" t="n">
        <v>901</v>
      </c>
      <c r="B201" s="136"/>
      <c r="C201" s="139" t="e">
        <f aca="false">+#REF!</f>
        <v>#REF!</v>
      </c>
      <c r="D201" s="139" t="e">
        <f aca="false">+#REF!</f>
        <v>#REF!</v>
      </c>
      <c r="E201" s="68"/>
      <c r="F201" s="68" t="e">
        <f aca="false">+#REF!</f>
        <v>#REF!</v>
      </c>
      <c r="G201" s="71"/>
      <c r="H201" s="71" t="e">
        <f aca="false">ROUND(#REF!/1000,0)</f>
        <v>#REF!</v>
      </c>
      <c r="I201" s="71"/>
      <c r="J201" s="71" t="e">
        <f aca="false">ROUND(#REF!/1000,0)</f>
        <v>#REF!</v>
      </c>
      <c r="K201" s="71"/>
      <c r="L201" s="71" t="e">
        <f aca="false">-ROUND((#REF!-#REF!)/1000,0)</f>
        <v>#REF!</v>
      </c>
      <c r="M201" s="71"/>
      <c r="N201" s="42" t="e">
        <f aca="false">SUM(H201:L201)</f>
        <v>#REF!</v>
      </c>
      <c r="O201" s="119"/>
      <c r="P201" s="4"/>
      <c r="Q201" s="4"/>
      <c r="R201" s="4"/>
      <c r="S201" s="4"/>
      <c r="T201" s="4"/>
      <c r="U201" s="4"/>
      <c r="V201" s="42" t="n">
        <f aca="false">SUM(P201:T201)</f>
        <v>0</v>
      </c>
      <c r="W201" s="118"/>
      <c r="X201" s="4"/>
      <c r="Y201" s="119"/>
      <c r="Z201" s="175"/>
      <c r="AA201" s="175"/>
      <c r="AB201" s="175"/>
      <c r="AC201" s="175"/>
      <c r="AD201" s="42" t="n">
        <f aca="false">SUM(X201:AB201)</f>
        <v>0</v>
      </c>
      <c r="AE201" s="175"/>
      <c r="AF201" s="175"/>
    </row>
    <row r="202" customFormat="false" ht="11.25" hidden="false" customHeight="false" outlineLevel="0" collapsed="false">
      <c r="A202" s="127" t="n">
        <v>901</v>
      </c>
      <c r="B202" s="136"/>
      <c r="C202" s="139" t="e">
        <f aca="false">+#REF!</f>
        <v>#REF!</v>
      </c>
      <c r="D202" s="139" t="e">
        <f aca="false">+#REF!</f>
        <v>#REF!</v>
      </c>
      <c r="E202" s="68"/>
      <c r="F202" s="68" t="e">
        <f aca="false">+#REF!</f>
        <v>#REF!</v>
      </c>
      <c r="G202" s="71"/>
      <c r="H202" s="71" t="e">
        <f aca="false">ROUND(#REF!/1000,0)</f>
        <v>#REF!</v>
      </c>
      <c r="I202" s="71"/>
      <c r="J202" s="71" t="e">
        <f aca="false">ROUND(#REF!/1000,0)</f>
        <v>#REF!</v>
      </c>
      <c r="K202" s="71"/>
      <c r="L202" s="71" t="e">
        <f aca="false">-ROUND((#REF!-#REF!)/1000,0)</f>
        <v>#REF!</v>
      </c>
      <c r="M202" s="71"/>
      <c r="N202" s="42" t="e">
        <f aca="false">SUM(H202:L202)</f>
        <v>#REF!</v>
      </c>
      <c r="O202" s="119"/>
      <c r="P202" s="4"/>
      <c r="Q202" s="4"/>
      <c r="R202" s="4"/>
      <c r="S202" s="4"/>
      <c r="T202" s="4"/>
      <c r="U202" s="4"/>
      <c r="V202" s="42" t="n">
        <f aca="false">SUM(P202:T202)</f>
        <v>0</v>
      </c>
      <c r="W202" s="118"/>
      <c r="X202" s="4"/>
      <c r="Y202" s="119"/>
      <c r="Z202" s="175"/>
      <c r="AA202" s="175"/>
      <c r="AB202" s="175"/>
      <c r="AC202" s="175"/>
      <c r="AD202" s="42" t="n">
        <f aca="false">SUM(X202:AB202)</f>
        <v>0</v>
      </c>
      <c r="AE202" s="175"/>
      <c r="AF202" s="175"/>
    </row>
    <row r="203" customFormat="false" ht="11.25" hidden="false" customHeight="false" outlineLevel="0" collapsed="false">
      <c r="A203" s="127" t="n">
        <v>901</v>
      </c>
      <c r="B203" s="136"/>
      <c r="C203" s="139" t="e">
        <f aca="false">+#REF!</f>
        <v>#REF!</v>
      </c>
      <c r="D203" s="139" t="e">
        <f aca="false">+#REF!</f>
        <v>#REF!</v>
      </c>
      <c r="E203" s="68"/>
      <c r="F203" s="68" t="e">
        <f aca="false">+#REF!</f>
        <v>#REF!</v>
      </c>
      <c r="G203" s="71"/>
      <c r="H203" s="71" t="e">
        <f aca="false">ROUND(#REF!/1000,0)</f>
        <v>#REF!</v>
      </c>
      <c r="I203" s="71"/>
      <c r="J203" s="71" t="e">
        <f aca="false">ROUND(#REF!/1000,0)</f>
        <v>#REF!</v>
      </c>
      <c r="K203" s="71"/>
      <c r="L203" s="71" t="e">
        <f aca="false">-ROUND((#REF!-#REF!)/1000,0)</f>
        <v>#REF!</v>
      </c>
      <c r="M203" s="71"/>
      <c r="N203" s="42" t="e">
        <f aca="false">SUM(H203:L203)</f>
        <v>#REF!</v>
      </c>
      <c r="O203" s="119"/>
      <c r="P203" s="4"/>
      <c r="Q203" s="4"/>
      <c r="R203" s="4"/>
      <c r="S203" s="4"/>
      <c r="T203" s="4"/>
      <c r="U203" s="4"/>
      <c r="V203" s="42" t="n">
        <f aca="false">SUM(P203:T203)</f>
        <v>0</v>
      </c>
      <c r="W203" s="118"/>
      <c r="X203" s="4"/>
      <c r="Y203" s="119"/>
      <c r="Z203" s="175"/>
      <c r="AA203" s="175"/>
      <c r="AB203" s="175"/>
      <c r="AC203" s="175"/>
      <c r="AD203" s="42" t="n">
        <f aca="false">SUM(X203:AB203)</f>
        <v>0</v>
      </c>
      <c r="AE203" s="175"/>
      <c r="AF203" s="175"/>
    </row>
    <row r="204" customFormat="false" ht="11.25" hidden="false" customHeight="false" outlineLevel="0" collapsed="false">
      <c r="A204" s="127" t="n">
        <v>901</v>
      </c>
      <c r="B204" s="136"/>
      <c r="C204" s="139" t="e">
        <f aca="false">+#REF!</f>
        <v>#REF!</v>
      </c>
      <c r="D204" s="139" t="e">
        <f aca="false">+#REF!</f>
        <v>#REF!</v>
      </c>
      <c r="E204" s="68"/>
      <c r="F204" s="68" t="e">
        <f aca="false">+#REF!</f>
        <v>#REF!</v>
      </c>
      <c r="G204" s="71"/>
      <c r="H204" s="71" t="e">
        <f aca="false">ROUND(#REF!/1000,0)</f>
        <v>#REF!</v>
      </c>
      <c r="I204" s="71"/>
      <c r="J204" s="71" t="e">
        <f aca="false">ROUND(#REF!/1000,0)</f>
        <v>#REF!</v>
      </c>
      <c r="K204" s="71"/>
      <c r="L204" s="71" t="e">
        <f aca="false">-ROUND((#REF!-#REF!)/1000,0)</f>
        <v>#REF!</v>
      </c>
      <c r="M204" s="71"/>
      <c r="N204" s="42" t="e">
        <f aca="false">SUM(H204:L204)</f>
        <v>#REF!</v>
      </c>
      <c r="O204" s="119"/>
      <c r="P204" s="4"/>
      <c r="Q204" s="4"/>
      <c r="R204" s="4"/>
      <c r="S204" s="4"/>
      <c r="T204" s="4"/>
      <c r="U204" s="4"/>
      <c r="V204" s="42" t="n">
        <f aca="false">SUM(P204:T204)</f>
        <v>0</v>
      </c>
      <c r="W204" s="118"/>
      <c r="X204" s="4"/>
      <c r="Y204" s="119"/>
      <c r="Z204" s="175"/>
      <c r="AA204" s="175"/>
      <c r="AB204" s="175"/>
      <c r="AC204" s="175"/>
      <c r="AD204" s="42" t="n">
        <f aca="false">SUM(X204:AB204)</f>
        <v>0</v>
      </c>
      <c r="AE204" s="175"/>
      <c r="AF204" s="175"/>
    </row>
    <row r="205" customFormat="false" ht="11.25" hidden="false" customHeight="false" outlineLevel="0" collapsed="false">
      <c r="A205" s="135" t="n">
        <v>901</v>
      </c>
      <c r="B205" s="136"/>
      <c r="C205" s="139" t="e">
        <f aca="false">+#REF!</f>
        <v>#REF!</v>
      </c>
      <c r="D205" s="139" t="e">
        <f aca="false">+#REF!</f>
        <v>#REF!</v>
      </c>
      <c r="E205" s="68"/>
      <c r="F205" s="68" t="e">
        <f aca="false">+#REF!</f>
        <v>#REF!</v>
      </c>
      <c r="G205" s="71"/>
      <c r="H205" s="71" t="e">
        <f aca="false">ROUND(#REF!/1000,0)</f>
        <v>#REF!</v>
      </c>
      <c r="I205" s="71"/>
      <c r="J205" s="71" t="e">
        <f aca="false">ROUND(#REF!/1000,0)</f>
        <v>#REF!</v>
      </c>
      <c r="K205" s="71"/>
      <c r="L205" s="71" t="e">
        <f aca="false">-ROUND((#REF!-#REF!)/1000,0)</f>
        <v>#REF!</v>
      </c>
      <c r="M205" s="71"/>
      <c r="N205" s="42" t="e">
        <f aca="false">SUM(H205:L205)</f>
        <v>#REF!</v>
      </c>
      <c r="O205" s="119"/>
      <c r="P205" s="4"/>
      <c r="Q205" s="4"/>
      <c r="R205" s="4"/>
      <c r="S205" s="4"/>
      <c r="T205" s="4"/>
      <c r="U205" s="4"/>
      <c r="V205" s="42" t="n">
        <f aca="false">SUM(P205:T205)</f>
        <v>0</v>
      </c>
      <c r="W205" s="118"/>
      <c r="X205" s="4"/>
      <c r="Y205" s="119"/>
      <c r="Z205" s="175"/>
      <c r="AA205" s="175"/>
      <c r="AB205" s="175"/>
      <c r="AC205" s="175"/>
      <c r="AD205" s="42" t="n">
        <f aca="false">SUM(X205:AB205)</f>
        <v>0</v>
      </c>
      <c r="AE205" s="175"/>
      <c r="AF205" s="175"/>
    </row>
    <row r="206" customFormat="false" ht="11.25" hidden="false" customHeight="false" outlineLevel="0" collapsed="false">
      <c r="A206" s="127" t="n">
        <v>901</v>
      </c>
      <c r="B206" s="136"/>
      <c r="C206" s="139" t="e">
        <f aca="false">+#REF!</f>
        <v>#REF!</v>
      </c>
      <c r="D206" s="139" t="e">
        <f aca="false">+#REF!</f>
        <v>#REF!</v>
      </c>
      <c r="E206" s="68"/>
      <c r="F206" s="68" t="e">
        <f aca="false">+#REF!</f>
        <v>#REF!</v>
      </c>
      <c r="G206" s="71"/>
      <c r="H206" s="71" t="e">
        <f aca="false">ROUND(#REF!/1000,0)</f>
        <v>#REF!</v>
      </c>
      <c r="I206" s="71"/>
      <c r="J206" s="71" t="e">
        <f aca="false">ROUND(#REF!/1000,0)</f>
        <v>#REF!</v>
      </c>
      <c r="K206" s="71"/>
      <c r="L206" s="71" t="e">
        <f aca="false">-ROUND((#REF!-#REF!)/1000,0)</f>
        <v>#REF!</v>
      </c>
      <c r="M206" s="71"/>
      <c r="N206" s="42" t="e">
        <f aca="false">SUM(H206:L206)</f>
        <v>#REF!</v>
      </c>
      <c r="O206" s="119"/>
      <c r="P206" s="4"/>
      <c r="Q206" s="4"/>
      <c r="R206" s="4"/>
      <c r="S206" s="4"/>
      <c r="T206" s="4"/>
      <c r="U206" s="4"/>
      <c r="V206" s="42" t="n">
        <f aca="false">SUM(P206:T206)</f>
        <v>0</v>
      </c>
      <c r="W206" s="118"/>
      <c r="X206" s="4"/>
      <c r="Y206" s="119"/>
      <c r="Z206" s="175"/>
      <c r="AA206" s="175"/>
      <c r="AB206" s="175"/>
      <c r="AC206" s="175"/>
      <c r="AD206" s="42" t="n">
        <f aca="false">SUM(X206:AB206)</f>
        <v>0</v>
      </c>
      <c r="AE206" s="175"/>
      <c r="AF206" s="175"/>
    </row>
    <row r="207" customFormat="false" ht="11.25" hidden="false" customHeight="false" outlineLevel="0" collapsed="false">
      <c r="A207" s="127" t="n">
        <v>901</v>
      </c>
      <c r="B207" s="136"/>
      <c r="C207" s="139" t="e">
        <f aca="false">+#REF!</f>
        <v>#REF!</v>
      </c>
      <c r="D207" s="139" t="e">
        <f aca="false">+#REF!</f>
        <v>#REF!</v>
      </c>
      <c r="E207" s="68"/>
      <c r="F207" s="68" t="e">
        <f aca="false">+#REF!</f>
        <v>#REF!</v>
      </c>
      <c r="G207" s="71"/>
      <c r="H207" s="71" t="e">
        <f aca="false">ROUND(#REF!/1000,0)</f>
        <v>#REF!</v>
      </c>
      <c r="I207" s="71"/>
      <c r="J207" s="71" t="e">
        <f aca="false">ROUND(#REF!/1000,0)</f>
        <v>#REF!</v>
      </c>
      <c r="K207" s="71"/>
      <c r="L207" s="71" t="e">
        <f aca="false">-ROUND((#REF!-#REF!)/1000,0)</f>
        <v>#REF!</v>
      </c>
      <c r="M207" s="71"/>
      <c r="N207" s="42" t="e">
        <f aca="false">SUM(H207:L207)</f>
        <v>#REF!</v>
      </c>
      <c r="O207" s="119"/>
      <c r="P207" s="4"/>
      <c r="Q207" s="4"/>
      <c r="R207" s="4"/>
      <c r="S207" s="4"/>
      <c r="T207" s="4"/>
      <c r="U207" s="4"/>
      <c r="V207" s="42" t="n">
        <f aca="false">SUM(P207:T207)</f>
        <v>0</v>
      </c>
      <c r="W207" s="118"/>
      <c r="X207" s="4"/>
      <c r="Y207" s="119"/>
      <c r="Z207" s="175"/>
      <c r="AA207" s="175"/>
      <c r="AB207" s="175"/>
      <c r="AC207" s="175"/>
      <c r="AD207" s="42" t="n">
        <f aca="false">SUM(X207:AB207)</f>
        <v>0</v>
      </c>
      <c r="AE207" s="175"/>
      <c r="AF207" s="175"/>
    </row>
    <row r="208" customFormat="false" ht="11.25" hidden="false" customHeight="false" outlineLevel="0" collapsed="false">
      <c r="A208" s="127" t="n">
        <v>901</v>
      </c>
      <c r="B208" s="136"/>
      <c r="C208" s="139" t="s">
        <v>492</v>
      </c>
      <c r="D208" s="139" t="s">
        <v>180</v>
      </c>
      <c r="E208" s="68"/>
      <c r="F208" s="68" t="n">
        <v>612</v>
      </c>
      <c r="G208" s="71"/>
      <c r="H208" s="71"/>
      <c r="I208" s="71"/>
      <c r="J208" s="71"/>
      <c r="K208" s="71"/>
      <c r="L208" s="71"/>
      <c r="M208" s="71"/>
      <c r="N208" s="42" t="n">
        <f aca="false">SUM(H208:L208)</f>
        <v>0</v>
      </c>
      <c r="O208" s="119"/>
      <c r="P208" s="4"/>
      <c r="Q208" s="4"/>
      <c r="R208" s="4"/>
      <c r="S208" s="4"/>
      <c r="T208" s="4"/>
      <c r="U208" s="4"/>
      <c r="V208" s="42" t="n">
        <f aca="false">SUM(P208:T208)</f>
        <v>0</v>
      </c>
      <c r="W208" s="118"/>
      <c r="X208" s="4"/>
      <c r="Y208" s="119"/>
      <c r="Z208" s="175"/>
      <c r="AA208" s="175"/>
      <c r="AB208" s="175"/>
      <c r="AC208" s="175"/>
      <c r="AD208" s="42" t="n">
        <f aca="false">SUM(X208:AB208)</f>
        <v>0</v>
      </c>
      <c r="AE208" s="175"/>
      <c r="AF208" s="175"/>
    </row>
    <row r="209" customFormat="false" ht="11.25" hidden="false" customHeight="false" outlineLevel="0" collapsed="false">
      <c r="A209" s="127" t="n">
        <v>901</v>
      </c>
      <c r="B209" s="136"/>
      <c r="C209" s="139" t="e">
        <f aca="false">+#REF!</f>
        <v>#REF!</v>
      </c>
      <c r="D209" s="139" t="e">
        <f aca="false">+#REF!</f>
        <v>#REF!</v>
      </c>
      <c r="E209" s="68"/>
      <c r="F209" s="68" t="e">
        <f aca="false">+#REF!</f>
        <v>#REF!</v>
      </c>
      <c r="G209" s="71"/>
      <c r="H209" s="71" t="e">
        <f aca="false">ROUND(#REF!/1000,0)</f>
        <v>#REF!</v>
      </c>
      <c r="I209" s="71"/>
      <c r="J209" s="71" t="e">
        <f aca="false">ROUND(#REF!/1000,0)</f>
        <v>#REF!</v>
      </c>
      <c r="K209" s="71"/>
      <c r="L209" s="71" t="e">
        <f aca="false">-ROUND((#REF!-#REF!)/1000,0)</f>
        <v>#REF!</v>
      </c>
      <c r="M209" s="71"/>
      <c r="N209" s="42" t="e">
        <f aca="false">SUM(H209:L209)</f>
        <v>#REF!</v>
      </c>
      <c r="O209" s="119"/>
      <c r="P209" s="4"/>
      <c r="Q209" s="4"/>
      <c r="R209" s="4"/>
      <c r="S209" s="4"/>
      <c r="T209" s="4"/>
      <c r="U209" s="4"/>
      <c r="V209" s="42" t="n">
        <f aca="false">SUM(P209:T209)</f>
        <v>0</v>
      </c>
      <c r="W209" s="118"/>
      <c r="X209" s="4"/>
      <c r="Y209" s="119"/>
      <c r="Z209" s="175"/>
      <c r="AA209" s="175"/>
      <c r="AB209" s="175"/>
      <c r="AC209" s="175"/>
      <c r="AD209" s="42" t="n">
        <f aca="false">SUM(X209:AB209)</f>
        <v>0</v>
      </c>
      <c r="AE209" s="175"/>
      <c r="AF209" s="175"/>
    </row>
    <row r="210" customFormat="false" ht="11.25" hidden="false" customHeight="false" outlineLevel="0" collapsed="false">
      <c r="A210" s="127" t="n">
        <v>901</v>
      </c>
      <c r="B210" s="136"/>
      <c r="C210" s="139" t="e">
        <f aca="false">+#REF!</f>
        <v>#REF!</v>
      </c>
      <c r="D210" s="139" t="e">
        <f aca="false">+#REF!</f>
        <v>#REF!</v>
      </c>
      <c r="E210" s="68"/>
      <c r="F210" s="68" t="e">
        <f aca="false">+#REF!</f>
        <v>#REF!</v>
      </c>
      <c r="G210" s="71"/>
      <c r="H210" s="71" t="e">
        <f aca="false">ROUND(#REF!/1000,0)</f>
        <v>#REF!</v>
      </c>
      <c r="I210" s="71"/>
      <c r="J210" s="71" t="e">
        <f aca="false">ROUND(#REF!/1000,0)</f>
        <v>#REF!</v>
      </c>
      <c r="K210" s="71"/>
      <c r="L210" s="71" t="e">
        <f aca="false">-ROUND((#REF!-#REF!)/1000,0)</f>
        <v>#REF!</v>
      </c>
      <c r="M210" s="71"/>
      <c r="N210" s="42" t="e">
        <f aca="false">SUM(H210:L210)</f>
        <v>#REF!</v>
      </c>
      <c r="O210" s="119"/>
      <c r="P210" s="4"/>
      <c r="Q210" s="4"/>
      <c r="R210" s="4"/>
      <c r="S210" s="4"/>
      <c r="T210" s="4"/>
      <c r="U210" s="4"/>
      <c r="V210" s="42" t="n">
        <f aca="false">SUM(P210:T210)</f>
        <v>0</v>
      </c>
      <c r="W210" s="118"/>
      <c r="X210" s="4"/>
      <c r="Y210" s="119"/>
      <c r="Z210" s="175"/>
      <c r="AA210" s="175"/>
      <c r="AB210" s="175"/>
      <c r="AC210" s="175"/>
      <c r="AD210" s="42" t="n">
        <f aca="false">SUM(X210:AB210)</f>
        <v>0</v>
      </c>
      <c r="AE210" s="175"/>
      <c r="AF210" s="175"/>
    </row>
    <row r="211" customFormat="false" ht="11.25" hidden="false" customHeight="false" outlineLevel="0" collapsed="false">
      <c r="A211" s="127" t="n">
        <v>901</v>
      </c>
      <c r="B211" s="136"/>
      <c r="C211" s="139" t="e">
        <f aca="false">+#REF!</f>
        <v>#REF!</v>
      </c>
      <c r="D211" s="139" t="e">
        <f aca="false">+#REF!</f>
        <v>#REF!</v>
      </c>
      <c r="E211" s="68"/>
      <c r="F211" s="68" t="e">
        <f aca="false">+#REF!</f>
        <v>#REF!</v>
      </c>
      <c r="G211" s="71"/>
      <c r="H211" s="71" t="e">
        <f aca="false">ROUND(#REF!/1000,0)</f>
        <v>#REF!</v>
      </c>
      <c r="I211" s="71"/>
      <c r="J211" s="71" t="e">
        <f aca="false">ROUND(#REF!/1000,0)</f>
        <v>#REF!</v>
      </c>
      <c r="K211" s="71"/>
      <c r="L211" s="71" t="e">
        <f aca="false">ROUND((#REF!-#REF!)/1000,0)</f>
        <v>#REF!</v>
      </c>
      <c r="M211" s="71"/>
      <c r="N211" s="42" t="e">
        <f aca="false">SUM(H211:L211)</f>
        <v>#REF!</v>
      </c>
      <c r="O211" s="119"/>
      <c r="P211" s="4"/>
      <c r="Q211" s="4"/>
      <c r="R211" s="4"/>
      <c r="S211" s="4"/>
      <c r="T211" s="4"/>
      <c r="U211" s="4"/>
      <c r="V211" s="42" t="n">
        <f aca="false">SUM(P211:T211)</f>
        <v>0</v>
      </c>
      <c r="W211" s="118"/>
      <c r="X211" s="4"/>
      <c r="Y211" s="119"/>
      <c r="Z211" s="175"/>
      <c r="AA211" s="175"/>
      <c r="AB211" s="175"/>
      <c r="AC211" s="175"/>
      <c r="AD211" s="42" t="n">
        <f aca="false">SUM(X211:AB211)</f>
        <v>0</v>
      </c>
      <c r="AE211" s="175"/>
      <c r="AF211" s="175"/>
    </row>
    <row r="212" customFormat="false" ht="11.25" hidden="false" customHeight="false" outlineLevel="0" collapsed="false">
      <c r="A212" s="127" t="n">
        <v>901</v>
      </c>
      <c r="B212" s="136"/>
      <c r="C212" s="139" t="e">
        <f aca="false">+#REF!</f>
        <v>#REF!</v>
      </c>
      <c r="D212" s="139" t="e">
        <f aca="false">+#REF!</f>
        <v>#REF!</v>
      </c>
      <c r="E212" s="68"/>
      <c r="F212" s="68" t="e">
        <f aca="false">+#REF!</f>
        <v>#REF!</v>
      </c>
      <c r="G212" s="71"/>
      <c r="H212" s="71" t="e">
        <f aca="false">ROUND(#REF!/1000,0)</f>
        <v>#REF!</v>
      </c>
      <c r="I212" s="71"/>
      <c r="J212" s="71" t="e">
        <f aca="false">ROUND(#REF!/1000,0)</f>
        <v>#REF!</v>
      </c>
      <c r="K212" s="71"/>
      <c r="L212" s="71" t="e">
        <f aca="false">ROUND((#REF!-#REF!)/1000,0)</f>
        <v>#REF!</v>
      </c>
      <c r="M212" s="71"/>
      <c r="N212" s="42" t="e">
        <f aca="false">SUM(H212:L212)</f>
        <v>#REF!</v>
      </c>
      <c r="O212" s="119"/>
      <c r="P212" s="4"/>
      <c r="Q212" s="4"/>
      <c r="R212" s="4"/>
      <c r="S212" s="4"/>
      <c r="T212" s="4"/>
      <c r="U212" s="4"/>
      <c r="V212" s="42" t="n">
        <f aca="false">SUM(P212:T212)</f>
        <v>0</v>
      </c>
      <c r="W212" s="118"/>
      <c r="X212" s="4"/>
      <c r="Y212" s="119"/>
      <c r="Z212" s="175"/>
      <c r="AA212" s="175"/>
      <c r="AB212" s="175"/>
      <c r="AC212" s="175"/>
      <c r="AD212" s="42" t="n">
        <f aca="false">SUM(X212:AB212)</f>
        <v>0</v>
      </c>
      <c r="AE212" s="175"/>
      <c r="AF212" s="175"/>
    </row>
    <row r="213" customFormat="false" ht="11.25" hidden="false" customHeight="false" outlineLevel="0" collapsed="false">
      <c r="A213" s="127" t="n">
        <v>901</v>
      </c>
      <c r="B213" s="136"/>
      <c r="C213" s="139" t="e">
        <f aca="false">+#REF!</f>
        <v>#REF!</v>
      </c>
      <c r="D213" s="139" t="e">
        <f aca="false">+#REF!</f>
        <v>#REF!</v>
      </c>
      <c r="E213" s="68"/>
      <c r="F213" s="68" t="e">
        <f aca="false">+#REF!</f>
        <v>#REF!</v>
      </c>
      <c r="G213" s="71"/>
      <c r="H213" s="71" t="e">
        <f aca="false">ROUND(#REF!/1000,0)</f>
        <v>#REF!</v>
      </c>
      <c r="I213" s="71"/>
      <c r="J213" s="71" t="e">
        <f aca="false">ROUND(#REF!/1000,0)</f>
        <v>#REF!</v>
      </c>
      <c r="K213" s="71"/>
      <c r="L213" s="71" t="e">
        <f aca="false">ROUND((#REF!-#REF!)/1000,0)</f>
        <v>#REF!</v>
      </c>
      <c r="M213" s="71"/>
      <c r="N213" s="42" t="e">
        <f aca="false">SUM(H213:L213)</f>
        <v>#REF!</v>
      </c>
      <c r="O213" s="119"/>
      <c r="P213" s="4"/>
      <c r="Q213" s="4"/>
      <c r="R213" s="4"/>
      <c r="S213" s="4"/>
      <c r="T213" s="4"/>
      <c r="U213" s="4"/>
      <c r="V213" s="42" t="n">
        <f aca="false">SUM(P213:T213)</f>
        <v>0</v>
      </c>
      <c r="W213" s="118"/>
      <c r="X213" s="4"/>
      <c r="Y213" s="119"/>
      <c r="Z213" s="175"/>
      <c r="AA213" s="175"/>
      <c r="AB213" s="175"/>
      <c r="AC213" s="175"/>
      <c r="AD213" s="42" t="n">
        <f aca="false">SUM(X213:AB213)</f>
        <v>0</v>
      </c>
      <c r="AE213" s="175"/>
      <c r="AF213" s="175"/>
    </row>
    <row r="214" customFormat="false" ht="11.25" hidden="false" customHeight="false" outlineLevel="0" collapsed="false">
      <c r="A214" s="127" t="n">
        <v>901</v>
      </c>
      <c r="B214" s="136"/>
      <c r="C214" s="139" t="e">
        <f aca="false">+#REF!</f>
        <v>#REF!</v>
      </c>
      <c r="D214" s="139" t="e">
        <f aca="false">+#REF!</f>
        <v>#REF!</v>
      </c>
      <c r="E214" s="68"/>
      <c r="F214" s="68" t="e">
        <f aca="false">+#REF!</f>
        <v>#REF!</v>
      </c>
      <c r="G214" s="71"/>
      <c r="H214" s="71" t="e">
        <f aca="false">ROUND(#REF!/1000,0)</f>
        <v>#REF!</v>
      </c>
      <c r="I214" s="71"/>
      <c r="J214" s="71" t="e">
        <f aca="false">ROUND(#REF!/1000,0)</f>
        <v>#REF!</v>
      </c>
      <c r="K214" s="71"/>
      <c r="L214" s="71" t="e">
        <f aca="false">-ROUND((#REF!-#REF!)/1000,0)</f>
        <v>#REF!</v>
      </c>
      <c r="M214" s="71"/>
      <c r="N214" s="42" t="e">
        <f aca="false">SUM(H214:L214)</f>
        <v>#REF!</v>
      </c>
      <c r="O214" s="119"/>
      <c r="P214" s="4"/>
      <c r="Q214" s="4"/>
      <c r="R214" s="4"/>
      <c r="S214" s="4"/>
      <c r="T214" s="4"/>
      <c r="U214" s="4"/>
      <c r="V214" s="42" t="n">
        <f aca="false">SUM(P214:T214)</f>
        <v>0</v>
      </c>
      <c r="W214" s="118"/>
      <c r="X214" s="4"/>
      <c r="Y214" s="119"/>
      <c r="Z214" s="175"/>
      <c r="AA214" s="175"/>
      <c r="AB214" s="175"/>
      <c r="AC214" s="175"/>
      <c r="AD214" s="42" t="n">
        <f aca="false">SUM(X214:AB214)</f>
        <v>0</v>
      </c>
      <c r="AE214" s="175"/>
      <c r="AF214" s="175"/>
    </row>
    <row r="215" customFormat="false" ht="11.25" hidden="false" customHeight="false" outlineLevel="0" collapsed="false">
      <c r="A215" s="127" t="n">
        <v>901</v>
      </c>
      <c r="B215" s="136"/>
      <c r="C215" s="139" t="e">
        <f aca="false">+#REF!</f>
        <v>#REF!</v>
      </c>
      <c r="D215" s="139" t="e">
        <f aca="false">+#REF!</f>
        <v>#REF!</v>
      </c>
      <c r="E215" s="68"/>
      <c r="F215" s="68" t="e">
        <f aca="false">+#REF!</f>
        <v>#REF!</v>
      </c>
      <c r="G215" s="71"/>
      <c r="H215" s="71" t="e">
        <f aca="false">ROUND(#REF!/1000,0)</f>
        <v>#REF!</v>
      </c>
      <c r="I215" s="71"/>
      <c r="J215" s="71" t="e">
        <f aca="false">ROUND(#REF!/1000,0)</f>
        <v>#REF!</v>
      </c>
      <c r="K215" s="71"/>
      <c r="L215" s="71" t="e">
        <f aca="false">-ROUND((#REF!-#REF!)/1000,0)</f>
        <v>#REF!</v>
      </c>
      <c r="M215" s="71"/>
      <c r="N215" s="42" t="e">
        <f aca="false">SUM(H215:L215)</f>
        <v>#REF!</v>
      </c>
      <c r="O215" s="119"/>
      <c r="P215" s="4"/>
      <c r="Q215" s="4"/>
      <c r="R215" s="4"/>
      <c r="S215" s="4"/>
      <c r="T215" s="4"/>
      <c r="U215" s="4"/>
      <c r="V215" s="42" t="n">
        <f aca="false">SUM(P215:T215)</f>
        <v>0</v>
      </c>
      <c r="W215" s="118"/>
      <c r="X215" s="4"/>
      <c r="Y215" s="119"/>
      <c r="Z215" s="175"/>
      <c r="AA215" s="175"/>
      <c r="AB215" s="175"/>
      <c r="AC215" s="175"/>
      <c r="AD215" s="42" t="n">
        <f aca="false">SUM(X215:AB215)</f>
        <v>0</v>
      </c>
      <c r="AE215" s="175"/>
      <c r="AF215" s="175"/>
    </row>
    <row r="216" customFormat="false" ht="11.25" hidden="false" customHeight="false" outlineLevel="0" collapsed="false">
      <c r="A216" s="127" t="n">
        <v>901</v>
      </c>
      <c r="B216" s="136"/>
      <c r="C216" s="139" t="e">
        <f aca="false">+#REF!</f>
        <v>#REF!</v>
      </c>
      <c r="D216" s="139" t="e">
        <f aca="false">+#REF!</f>
        <v>#REF!</v>
      </c>
      <c r="E216" s="68"/>
      <c r="F216" s="68" t="e">
        <f aca="false">+#REF!</f>
        <v>#REF!</v>
      </c>
      <c r="G216" s="71"/>
      <c r="H216" s="71" t="e">
        <f aca="false">ROUND(#REF!/1000,0)</f>
        <v>#REF!</v>
      </c>
      <c r="I216" s="71"/>
      <c r="J216" s="71" t="e">
        <f aca="false">ROUND(#REF!/1000,0)</f>
        <v>#REF!</v>
      </c>
      <c r="K216" s="71"/>
      <c r="L216" s="71" t="e">
        <f aca="false">-ROUND((#REF!-#REF!)/1000,0)</f>
        <v>#REF!</v>
      </c>
      <c r="M216" s="71"/>
      <c r="N216" s="42" t="e">
        <f aca="false">SUM(H216:L216)</f>
        <v>#REF!</v>
      </c>
      <c r="O216" s="119"/>
      <c r="P216" s="4"/>
      <c r="Q216" s="4"/>
      <c r="R216" s="4"/>
      <c r="S216" s="4"/>
      <c r="T216" s="4"/>
      <c r="U216" s="4"/>
      <c r="V216" s="42" t="n">
        <f aca="false">SUM(P216:T216)</f>
        <v>0</v>
      </c>
      <c r="W216" s="118"/>
      <c r="X216" s="4"/>
      <c r="Y216" s="119"/>
      <c r="Z216" s="175"/>
      <c r="AA216" s="175"/>
      <c r="AB216" s="175"/>
      <c r="AC216" s="175"/>
      <c r="AD216" s="42" t="n">
        <f aca="false">SUM(X216:AB216)</f>
        <v>0</v>
      </c>
      <c r="AE216" s="175"/>
      <c r="AF216" s="175"/>
    </row>
    <row r="217" customFormat="false" ht="11.25" hidden="false" customHeight="false" outlineLevel="0" collapsed="false">
      <c r="A217" s="127" t="n">
        <v>901</v>
      </c>
      <c r="B217" s="136"/>
      <c r="C217" s="139" t="e">
        <f aca="false">+#REF!</f>
        <v>#REF!</v>
      </c>
      <c r="D217" s="139" t="e">
        <f aca="false">+#REF!</f>
        <v>#REF!</v>
      </c>
      <c r="E217" s="68"/>
      <c r="F217" s="68" t="e">
        <f aca="false">+#REF!</f>
        <v>#REF!</v>
      </c>
      <c r="G217" s="71"/>
      <c r="H217" s="71" t="e">
        <f aca="false">ROUND(#REF!/1000,0)</f>
        <v>#REF!</v>
      </c>
      <c r="I217" s="71"/>
      <c r="J217" s="71" t="e">
        <f aca="false">ROUND(#REF!/1000,0)</f>
        <v>#REF!</v>
      </c>
      <c r="K217" s="71"/>
      <c r="L217" s="71" t="e">
        <f aca="false">-ROUND((#REF!-#REF!)/1000,0)</f>
        <v>#REF!</v>
      </c>
      <c r="M217" s="71"/>
      <c r="N217" s="42" t="e">
        <f aca="false">SUM(H217:L217)</f>
        <v>#REF!</v>
      </c>
      <c r="O217" s="119"/>
      <c r="P217" s="4"/>
      <c r="Q217" s="4"/>
      <c r="R217" s="4"/>
      <c r="S217" s="4"/>
      <c r="T217" s="4"/>
      <c r="U217" s="4"/>
      <c r="V217" s="42" t="n">
        <f aca="false">SUM(P217:T217)</f>
        <v>0</v>
      </c>
      <c r="W217" s="118"/>
      <c r="X217" s="4"/>
      <c r="Y217" s="119"/>
      <c r="Z217" s="175"/>
      <c r="AA217" s="175"/>
      <c r="AB217" s="175"/>
      <c r="AC217" s="175"/>
      <c r="AD217" s="42" t="n">
        <f aca="false">SUM(X217:AB217)</f>
        <v>0</v>
      </c>
      <c r="AE217" s="175"/>
      <c r="AF217" s="175"/>
    </row>
    <row r="218" customFormat="false" ht="11.25" hidden="false" customHeight="false" outlineLevel="0" collapsed="false">
      <c r="A218" s="127" t="n">
        <v>901</v>
      </c>
      <c r="B218" s="136"/>
      <c r="C218" s="139" t="e">
        <f aca="false">+#REF!</f>
        <v>#REF!</v>
      </c>
      <c r="D218" s="139" t="e">
        <f aca="false">+#REF!</f>
        <v>#REF!</v>
      </c>
      <c r="E218" s="68"/>
      <c r="F218" s="68" t="e">
        <f aca="false">+#REF!</f>
        <v>#REF!</v>
      </c>
      <c r="G218" s="71"/>
      <c r="H218" s="71" t="e">
        <f aca="false">ROUND(#REF!/1000,0)</f>
        <v>#REF!</v>
      </c>
      <c r="I218" s="71"/>
      <c r="J218" s="71" t="e">
        <f aca="false">ROUND(#REF!/1000,0)</f>
        <v>#REF!</v>
      </c>
      <c r="K218" s="71"/>
      <c r="L218" s="71" t="e">
        <f aca="false">-ROUND((#REF!-#REF!)/1000,0)</f>
        <v>#REF!</v>
      </c>
      <c r="M218" s="71"/>
      <c r="N218" s="42" t="e">
        <f aca="false">SUM(H218:L218)</f>
        <v>#REF!</v>
      </c>
      <c r="O218" s="119"/>
      <c r="P218" s="4"/>
      <c r="Q218" s="4"/>
      <c r="R218" s="4"/>
      <c r="S218" s="4"/>
      <c r="T218" s="4"/>
      <c r="U218" s="4"/>
      <c r="V218" s="42" t="n">
        <f aca="false">SUM(P218:T218)</f>
        <v>0</v>
      </c>
      <c r="W218" s="118"/>
      <c r="X218" s="4"/>
      <c r="Y218" s="119"/>
      <c r="Z218" s="175"/>
      <c r="AA218" s="175"/>
      <c r="AB218" s="175"/>
      <c r="AC218" s="175"/>
      <c r="AD218" s="42" t="n">
        <f aca="false">SUM(X218:AB218)</f>
        <v>0</v>
      </c>
      <c r="AE218" s="175"/>
      <c r="AF218" s="175"/>
    </row>
    <row r="219" customFormat="false" ht="11.25" hidden="false" customHeight="false" outlineLevel="0" collapsed="false">
      <c r="A219" s="127" t="n">
        <v>901</v>
      </c>
      <c r="B219" s="136"/>
      <c r="C219" s="139" t="e">
        <f aca="false">+#REF!</f>
        <v>#REF!</v>
      </c>
      <c r="D219" s="139" t="e">
        <f aca="false">+#REF!</f>
        <v>#REF!</v>
      </c>
      <c r="E219" s="68"/>
      <c r="F219" s="68" t="e">
        <f aca="false">+#REF!</f>
        <v>#REF!</v>
      </c>
      <c r="G219" s="71"/>
      <c r="H219" s="71" t="e">
        <f aca="false">ROUND(#REF!/1000,0)</f>
        <v>#REF!</v>
      </c>
      <c r="I219" s="71"/>
      <c r="J219" s="71" t="e">
        <f aca="false">ROUND(#REF!/1000,0)</f>
        <v>#REF!</v>
      </c>
      <c r="K219" s="71"/>
      <c r="L219" s="71" t="e">
        <f aca="false">-ROUND((#REF!-#REF!)/1000,0)</f>
        <v>#REF!</v>
      </c>
      <c r="M219" s="71"/>
      <c r="N219" s="42" t="e">
        <f aca="false">SUM(H219:L219)</f>
        <v>#REF!</v>
      </c>
      <c r="O219" s="119"/>
      <c r="P219" s="4"/>
      <c r="Q219" s="4"/>
      <c r="R219" s="4"/>
      <c r="S219" s="4"/>
      <c r="T219" s="4"/>
      <c r="U219" s="4"/>
      <c r="V219" s="42" t="n">
        <f aca="false">SUM(P219:T219)</f>
        <v>0</v>
      </c>
      <c r="W219" s="118"/>
      <c r="X219" s="4"/>
      <c r="Y219" s="119"/>
      <c r="Z219" s="175"/>
      <c r="AA219" s="175"/>
      <c r="AB219" s="175"/>
      <c r="AC219" s="175"/>
      <c r="AD219" s="42" t="n">
        <f aca="false">SUM(X219:AB219)</f>
        <v>0</v>
      </c>
      <c r="AE219" s="175"/>
      <c r="AF219" s="175"/>
    </row>
    <row r="220" customFormat="false" ht="11.25" hidden="false" customHeight="false" outlineLevel="0" collapsed="false">
      <c r="A220" s="127" t="n">
        <v>901</v>
      </c>
      <c r="B220" s="136"/>
      <c r="C220" s="139" t="e">
        <f aca="false">+#REF!</f>
        <v>#REF!</v>
      </c>
      <c r="D220" s="139" t="e">
        <f aca="false">+#REF!</f>
        <v>#REF!</v>
      </c>
      <c r="E220" s="68"/>
      <c r="F220" s="68" t="e">
        <f aca="false">+#REF!</f>
        <v>#REF!</v>
      </c>
      <c r="G220" s="71"/>
      <c r="H220" s="71" t="e">
        <f aca="false">ROUND(#REF!/1000,0)</f>
        <v>#REF!</v>
      </c>
      <c r="I220" s="71"/>
      <c r="J220" s="71" t="e">
        <f aca="false">ROUND(#REF!/1000,0)</f>
        <v>#REF!</v>
      </c>
      <c r="K220" s="71"/>
      <c r="L220" s="71" t="e">
        <f aca="false">-ROUND((#REF!-#REF!)/1000,0)</f>
        <v>#REF!</v>
      </c>
      <c r="M220" s="71"/>
      <c r="N220" s="42" t="e">
        <f aca="false">SUM(H220:L220)</f>
        <v>#REF!</v>
      </c>
      <c r="O220" s="119"/>
      <c r="P220" s="4"/>
      <c r="Q220" s="4"/>
      <c r="R220" s="4"/>
      <c r="S220" s="4"/>
      <c r="T220" s="4"/>
      <c r="U220" s="4"/>
      <c r="V220" s="42" t="n">
        <f aca="false">SUM(P220:T220)</f>
        <v>0</v>
      </c>
      <c r="W220" s="118"/>
      <c r="X220" s="4"/>
      <c r="Y220" s="119"/>
      <c r="Z220" s="175"/>
      <c r="AA220" s="175"/>
      <c r="AB220" s="175"/>
      <c r="AC220" s="175"/>
      <c r="AD220" s="42" t="n">
        <f aca="false">SUM(X220:AB220)</f>
        <v>0</v>
      </c>
      <c r="AE220" s="175"/>
      <c r="AF220" s="175"/>
    </row>
    <row r="221" customFormat="false" ht="11.25" hidden="false" customHeight="false" outlineLevel="0" collapsed="false">
      <c r="A221" s="127" t="n">
        <v>901</v>
      </c>
      <c r="B221" s="136"/>
      <c r="C221" s="139" t="s">
        <v>493</v>
      </c>
      <c r="D221" s="139" t="s">
        <v>180</v>
      </c>
      <c r="E221" s="68"/>
      <c r="F221" s="68" t="n">
        <v>746</v>
      </c>
      <c r="G221" s="71"/>
      <c r="H221" s="71"/>
      <c r="I221" s="71"/>
      <c r="J221" s="71"/>
      <c r="K221" s="71"/>
      <c r="L221" s="71"/>
      <c r="M221" s="71"/>
      <c r="N221" s="42" t="n">
        <f aca="false">SUM(H221:L221)</f>
        <v>0</v>
      </c>
      <c r="O221" s="119"/>
      <c r="P221" s="4"/>
      <c r="Q221" s="4"/>
      <c r="R221" s="4"/>
      <c r="S221" s="4"/>
      <c r="T221" s="4"/>
      <c r="U221" s="4"/>
      <c r="V221" s="42" t="n">
        <f aca="false">SUM(P221:T221)</f>
        <v>0</v>
      </c>
      <c r="W221" s="118"/>
      <c r="X221" s="4"/>
      <c r="Y221" s="119"/>
      <c r="Z221" s="175"/>
      <c r="AA221" s="175"/>
      <c r="AB221" s="175"/>
      <c r="AC221" s="175"/>
      <c r="AD221" s="42" t="n">
        <f aca="false">SUM(X221:AB221)</f>
        <v>0</v>
      </c>
      <c r="AE221" s="175"/>
      <c r="AF221" s="175"/>
    </row>
    <row r="222" customFormat="false" ht="11.25" hidden="false" customHeight="false" outlineLevel="0" collapsed="false">
      <c r="A222" s="127" t="n">
        <v>901</v>
      </c>
      <c r="B222" s="136"/>
      <c r="C222" s="139" t="e">
        <f aca="false">+#REF!</f>
        <v>#REF!</v>
      </c>
      <c r="D222" s="139" t="e">
        <f aca="false">+#REF!</f>
        <v>#REF!</v>
      </c>
      <c r="E222" s="68"/>
      <c r="F222" s="68" t="e">
        <f aca="false">+#REF!</f>
        <v>#REF!</v>
      </c>
      <c r="G222" s="71"/>
      <c r="H222" s="71" t="e">
        <f aca="false">ROUND(#REF!/1000,0)</f>
        <v>#REF!</v>
      </c>
      <c r="I222" s="71"/>
      <c r="J222" s="71" t="e">
        <f aca="false">ROUND(#REF!/1000,0)</f>
        <v>#REF!</v>
      </c>
      <c r="K222" s="71"/>
      <c r="L222" s="71" t="e">
        <f aca="false">-ROUND((#REF!-#REF!)/1000,0)</f>
        <v>#REF!</v>
      </c>
      <c r="M222" s="71"/>
      <c r="N222" s="42" t="e">
        <f aca="false">SUM(H222:L222)</f>
        <v>#REF!</v>
      </c>
      <c r="O222" s="119"/>
      <c r="P222" s="4"/>
      <c r="Q222" s="4"/>
      <c r="R222" s="4"/>
      <c r="S222" s="4"/>
      <c r="T222" s="4"/>
      <c r="U222" s="4"/>
      <c r="V222" s="42" t="n">
        <f aca="false">SUM(P222:T222)</f>
        <v>0</v>
      </c>
      <c r="W222" s="118"/>
      <c r="X222" s="4"/>
      <c r="Y222" s="119"/>
      <c r="Z222" s="175"/>
      <c r="AA222" s="175"/>
      <c r="AB222" s="175"/>
      <c r="AC222" s="175"/>
      <c r="AD222" s="42" t="n">
        <f aca="false">SUM(X222:AB222)</f>
        <v>0</v>
      </c>
      <c r="AE222" s="175"/>
      <c r="AF222" s="175"/>
    </row>
    <row r="223" customFormat="false" ht="11.25" hidden="false" customHeight="false" outlineLevel="0" collapsed="false">
      <c r="A223" s="127" t="n">
        <v>901</v>
      </c>
      <c r="B223" s="136"/>
      <c r="C223" s="139" t="e">
        <f aca="false">+#REF!</f>
        <v>#REF!</v>
      </c>
      <c r="D223" s="139" t="e">
        <f aca="false">+#REF!</f>
        <v>#REF!</v>
      </c>
      <c r="E223" s="68"/>
      <c r="F223" s="68" t="e">
        <f aca="false">+#REF!</f>
        <v>#REF!</v>
      </c>
      <c r="G223" s="71"/>
      <c r="H223" s="71" t="e">
        <f aca="false">ROUND(#REF!/1000,0)</f>
        <v>#REF!</v>
      </c>
      <c r="I223" s="71"/>
      <c r="J223" s="71" t="e">
        <f aca="false">ROUND(#REF!/1000,0)</f>
        <v>#REF!</v>
      </c>
      <c r="K223" s="71"/>
      <c r="L223" s="71" t="e">
        <f aca="false">-ROUND((#REF!-#REF!)/1000,0)</f>
        <v>#REF!</v>
      </c>
      <c r="M223" s="71"/>
      <c r="N223" s="42" t="e">
        <f aca="false">SUM(H223:L223)</f>
        <v>#REF!</v>
      </c>
      <c r="O223" s="119"/>
      <c r="P223" s="4"/>
      <c r="Q223" s="4"/>
      <c r="R223" s="4"/>
      <c r="S223" s="4"/>
      <c r="T223" s="4"/>
      <c r="U223" s="4"/>
      <c r="V223" s="42" t="n">
        <f aca="false">SUM(P223:T223)</f>
        <v>0</v>
      </c>
      <c r="W223" s="118"/>
      <c r="X223" s="4"/>
      <c r="Y223" s="119"/>
      <c r="Z223" s="175"/>
      <c r="AA223" s="175"/>
      <c r="AB223" s="175"/>
      <c r="AC223" s="175"/>
      <c r="AD223" s="42" t="n">
        <f aca="false">SUM(X223:AB223)</f>
        <v>0</v>
      </c>
      <c r="AE223" s="175"/>
      <c r="AF223" s="175"/>
    </row>
    <row r="224" customFormat="false" ht="11.25" hidden="false" customHeight="false" outlineLevel="0" collapsed="false">
      <c r="A224" s="127" t="n">
        <v>901</v>
      </c>
      <c r="B224" s="136"/>
      <c r="C224" s="139" t="e">
        <f aca="false">+#REF!</f>
        <v>#REF!</v>
      </c>
      <c r="D224" s="139" t="e">
        <f aca="false">+#REF!</f>
        <v>#REF!</v>
      </c>
      <c r="E224" s="68"/>
      <c r="F224" s="68" t="e">
        <f aca="false">+#REF!</f>
        <v>#REF!</v>
      </c>
      <c r="G224" s="71"/>
      <c r="H224" s="71" t="e">
        <f aca="false">ROUND(#REF!/1000,0)</f>
        <v>#REF!</v>
      </c>
      <c r="I224" s="71"/>
      <c r="J224" s="71" t="e">
        <f aca="false">ROUND(#REF!/1000,0)</f>
        <v>#REF!</v>
      </c>
      <c r="K224" s="71"/>
      <c r="L224" s="71" t="e">
        <f aca="false">-ROUND((#REF!-#REF!)/1000,0)</f>
        <v>#REF!</v>
      </c>
      <c r="M224" s="71"/>
      <c r="N224" s="42" t="e">
        <f aca="false">SUM(H224:L224)</f>
        <v>#REF!</v>
      </c>
      <c r="O224" s="119"/>
      <c r="P224" s="4"/>
      <c r="Q224" s="4"/>
      <c r="R224" s="4"/>
      <c r="S224" s="4"/>
      <c r="T224" s="4"/>
      <c r="U224" s="4"/>
      <c r="V224" s="42" t="n">
        <f aca="false">SUM(P224:T224)</f>
        <v>0</v>
      </c>
      <c r="W224" s="118"/>
      <c r="X224" s="4"/>
      <c r="Y224" s="119"/>
      <c r="Z224" s="175"/>
      <c r="AA224" s="175"/>
      <c r="AB224" s="175"/>
      <c r="AC224" s="175"/>
      <c r="AD224" s="42" t="n">
        <f aca="false">SUM(X224:AB224)</f>
        <v>0</v>
      </c>
      <c r="AE224" s="175"/>
      <c r="AF224" s="175"/>
    </row>
    <row r="225" customFormat="false" ht="11.25" hidden="false" customHeight="false" outlineLevel="0" collapsed="false">
      <c r="A225" s="127" t="n">
        <v>901</v>
      </c>
      <c r="B225" s="136"/>
      <c r="C225" s="139" t="e">
        <f aca="false">+#REF!</f>
        <v>#REF!</v>
      </c>
      <c r="D225" s="139" t="e">
        <f aca="false">+#REF!</f>
        <v>#REF!</v>
      </c>
      <c r="E225" s="68"/>
      <c r="F225" s="68" t="e">
        <f aca="false">+#REF!</f>
        <v>#REF!</v>
      </c>
      <c r="G225" s="71"/>
      <c r="H225" s="71" t="e">
        <f aca="false">ROUND(#REF!/1000,0)</f>
        <v>#REF!</v>
      </c>
      <c r="I225" s="71"/>
      <c r="J225" s="71" t="e">
        <f aca="false">ROUND(#REF!/1000,0)</f>
        <v>#REF!</v>
      </c>
      <c r="K225" s="71"/>
      <c r="L225" s="71" t="e">
        <f aca="false">-ROUND((#REF!-#REF!)/1000,0)</f>
        <v>#REF!</v>
      </c>
      <c r="M225" s="71"/>
      <c r="N225" s="42" t="e">
        <f aca="false">SUM(H225:L225)</f>
        <v>#REF!</v>
      </c>
      <c r="O225" s="119"/>
      <c r="P225" s="4"/>
      <c r="Q225" s="4"/>
      <c r="R225" s="4"/>
      <c r="S225" s="4"/>
      <c r="T225" s="4"/>
      <c r="U225" s="4"/>
      <c r="V225" s="42" t="n">
        <f aca="false">SUM(P225:T225)</f>
        <v>0</v>
      </c>
      <c r="W225" s="118"/>
      <c r="X225" s="4"/>
      <c r="Y225" s="119"/>
      <c r="Z225" s="175"/>
      <c r="AA225" s="175"/>
      <c r="AB225" s="175"/>
      <c r="AC225" s="175"/>
      <c r="AD225" s="42" t="n">
        <f aca="false">SUM(X225:AB225)</f>
        <v>0</v>
      </c>
      <c r="AE225" s="175"/>
      <c r="AF225" s="175"/>
    </row>
    <row r="226" customFormat="false" ht="11.25" hidden="false" customHeight="false" outlineLevel="0" collapsed="false">
      <c r="A226" s="135" t="n">
        <v>901</v>
      </c>
      <c r="B226" s="136"/>
      <c r="C226" s="139" t="e">
        <f aca="false">+#REF!</f>
        <v>#REF!</v>
      </c>
      <c r="D226" s="139" t="e">
        <f aca="false">+#REF!</f>
        <v>#REF!</v>
      </c>
      <c r="E226" s="68"/>
      <c r="F226" s="68" t="e">
        <f aca="false">+#REF!</f>
        <v>#REF!</v>
      </c>
      <c r="G226" s="71"/>
      <c r="H226" s="71" t="e">
        <f aca="false">ROUND(#REF!/1000,0)</f>
        <v>#REF!</v>
      </c>
      <c r="I226" s="71"/>
      <c r="J226" s="71" t="e">
        <f aca="false">ROUND(#REF!/1000,0)</f>
        <v>#REF!</v>
      </c>
      <c r="K226" s="71"/>
      <c r="L226" s="71" t="e">
        <f aca="false">-ROUND((#REF!-#REF!)/1000,0)</f>
        <v>#REF!</v>
      </c>
      <c r="M226" s="71"/>
      <c r="N226" s="42" t="e">
        <f aca="false">SUM(H226:L226)</f>
        <v>#REF!</v>
      </c>
      <c r="O226" s="119"/>
      <c r="P226" s="4"/>
      <c r="Q226" s="4"/>
      <c r="R226" s="4"/>
      <c r="S226" s="4"/>
      <c r="T226" s="4"/>
      <c r="U226" s="4"/>
      <c r="V226" s="42" t="n">
        <f aca="false">SUM(P226:T226)</f>
        <v>0</v>
      </c>
      <c r="W226" s="118"/>
      <c r="X226" s="4"/>
      <c r="Y226" s="119"/>
      <c r="Z226" s="175"/>
      <c r="AA226" s="175"/>
      <c r="AB226" s="175"/>
      <c r="AC226" s="175"/>
      <c r="AD226" s="42" t="n">
        <f aca="false">SUM(X226:AB226)</f>
        <v>0</v>
      </c>
      <c r="AE226" s="175"/>
      <c r="AF226" s="175"/>
    </row>
    <row r="227" customFormat="false" ht="11.25" hidden="false" customHeight="false" outlineLevel="0" collapsed="false">
      <c r="A227" s="135" t="n">
        <v>901</v>
      </c>
      <c r="B227" s="136"/>
      <c r="C227" s="139" t="e">
        <f aca="false">+#REF!</f>
        <v>#REF!</v>
      </c>
      <c r="D227" s="139" t="e">
        <f aca="false">+#REF!</f>
        <v>#REF!</v>
      </c>
      <c r="E227" s="68"/>
      <c r="F227" s="68" t="e">
        <f aca="false">+#REF!</f>
        <v>#REF!</v>
      </c>
      <c r="G227" s="71"/>
      <c r="H227" s="71" t="e">
        <f aca="false">ROUND(#REF!/1000,0)</f>
        <v>#REF!</v>
      </c>
      <c r="I227" s="71"/>
      <c r="J227" s="71" t="e">
        <f aca="false">ROUND(#REF!/1000,0)</f>
        <v>#REF!</v>
      </c>
      <c r="K227" s="71"/>
      <c r="L227" s="71" t="e">
        <f aca="false">-ROUND((#REF!-#REF!)/1000,0)</f>
        <v>#REF!</v>
      </c>
      <c r="M227" s="71"/>
      <c r="N227" s="42" t="e">
        <f aca="false">SUM(H227:L227)</f>
        <v>#REF!</v>
      </c>
      <c r="O227" s="119"/>
      <c r="P227" s="4"/>
      <c r="Q227" s="4"/>
      <c r="R227" s="4"/>
      <c r="S227" s="4"/>
      <c r="T227" s="4"/>
      <c r="U227" s="4"/>
      <c r="V227" s="42" t="n">
        <f aca="false">SUM(P227:T227)</f>
        <v>0</v>
      </c>
      <c r="W227" s="118"/>
      <c r="X227" s="4"/>
      <c r="Y227" s="119"/>
      <c r="Z227" s="175"/>
      <c r="AA227" s="175"/>
      <c r="AB227" s="175"/>
      <c r="AC227" s="175"/>
      <c r="AD227" s="42" t="n">
        <f aca="false">SUM(X227:AB227)</f>
        <v>0</v>
      </c>
      <c r="AE227" s="175"/>
      <c r="AF227" s="175"/>
    </row>
    <row r="228" customFormat="false" ht="11.25" hidden="false" customHeight="false" outlineLevel="0" collapsed="false">
      <c r="A228" s="127" t="n">
        <v>901</v>
      </c>
      <c r="B228" s="136"/>
      <c r="C228" s="139" t="e">
        <f aca="false">+#REF!</f>
        <v>#REF!</v>
      </c>
      <c r="D228" s="139" t="e">
        <f aca="false">+#REF!</f>
        <v>#REF!</v>
      </c>
      <c r="E228" s="68"/>
      <c r="F228" s="68" t="e">
        <f aca="false">+#REF!</f>
        <v>#REF!</v>
      </c>
      <c r="G228" s="71"/>
      <c r="H228" s="71" t="e">
        <f aca="false">ROUND(#REF!/1000,0)</f>
        <v>#REF!</v>
      </c>
      <c r="I228" s="71"/>
      <c r="J228" s="71" t="e">
        <f aca="false">ROUND(#REF!/1000,0)</f>
        <v>#REF!</v>
      </c>
      <c r="K228" s="71"/>
      <c r="L228" s="71" t="e">
        <f aca="false">-ROUND((#REF!-#REF!)/1000,0)</f>
        <v>#REF!</v>
      </c>
      <c r="M228" s="71"/>
      <c r="N228" s="42" t="e">
        <f aca="false">SUM(H228:L228)</f>
        <v>#REF!</v>
      </c>
      <c r="O228" s="119"/>
      <c r="P228" s="4"/>
      <c r="Q228" s="4"/>
      <c r="R228" s="4"/>
      <c r="S228" s="4"/>
      <c r="T228" s="4"/>
      <c r="U228" s="4"/>
      <c r="V228" s="42" t="n">
        <f aca="false">SUM(P228:T228)</f>
        <v>0</v>
      </c>
      <c r="W228" s="118"/>
      <c r="X228" s="4"/>
      <c r="Y228" s="119"/>
      <c r="Z228" s="175"/>
      <c r="AA228" s="175"/>
      <c r="AB228" s="175"/>
      <c r="AC228" s="175"/>
      <c r="AD228" s="42" t="n">
        <f aca="false">SUM(X228:AB228)</f>
        <v>0</v>
      </c>
      <c r="AE228" s="175"/>
      <c r="AF228" s="175"/>
    </row>
    <row r="229" customFormat="false" ht="11.25" hidden="false" customHeight="false" outlineLevel="0" collapsed="false">
      <c r="A229" s="127" t="n">
        <v>901</v>
      </c>
      <c r="B229" s="136"/>
      <c r="C229" s="139" t="e">
        <f aca="false">+#REF!</f>
        <v>#REF!</v>
      </c>
      <c r="D229" s="139" t="e">
        <f aca="false">+#REF!</f>
        <v>#REF!</v>
      </c>
      <c r="E229" s="68"/>
      <c r="F229" s="68" t="e">
        <f aca="false">+#REF!</f>
        <v>#REF!</v>
      </c>
      <c r="G229" s="71"/>
      <c r="H229" s="71" t="e">
        <f aca="false">ROUND(#REF!/1000,0)</f>
        <v>#REF!</v>
      </c>
      <c r="I229" s="71"/>
      <c r="J229" s="71" t="e">
        <f aca="false">ROUND(#REF!/1000,0)</f>
        <v>#REF!</v>
      </c>
      <c r="K229" s="71"/>
      <c r="L229" s="71" t="e">
        <f aca="false">-ROUND((#REF!-#REF!)/1000,0)</f>
        <v>#REF!</v>
      </c>
      <c r="M229" s="71"/>
      <c r="N229" s="42" t="e">
        <f aca="false">SUM(H229:L229)</f>
        <v>#REF!</v>
      </c>
      <c r="O229" s="119"/>
      <c r="P229" s="4"/>
      <c r="Q229" s="4"/>
      <c r="R229" s="4"/>
      <c r="S229" s="4"/>
      <c r="T229" s="4"/>
      <c r="U229" s="4"/>
      <c r="V229" s="42" t="n">
        <f aca="false">SUM(P229:T229)</f>
        <v>0</v>
      </c>
      <c r="W229" s="118"/>
      <c r="X229" s="4"/>
      <c r="Y229" s="119"/>
      <c r="Z229" s="175"/>
      <c r="AA229" s="175"/>
      <c r="AB229" s="175"/>
      <c r="AC229" s="175"/>
      <c r="AD229" s="42" t="n">
        <f aca="false">SUM(X229:AB229)</f>
        <v>0</v>
      </c>
      <c r="AE229" s="175"/>
      <c r="AF229" s="175"/>
    </row>
    <row r="230" customFormat="false" ht="11.25" hidden="false" customHeight="false" outlineLevel="0" collapsed="false">
      <c r="A230" s="127" t="n">
        <v>901</v>
      </c>
      <c r="B230" s="136"/>
      <c r="C230" s="139" t="e">
        <f aca="false">+#REF!</f>
        <v>#REF!</v>
      </c>
      <c r="D230" s="139" t="e">
        <f aca="false">+#REF!</f>
        <v>#REF!</v>
      </c>
      <c r="E230" s="68"/>
      <c r="F230" s="68" t="e">
        <f aca="false">+#REF!</f>
        <v>#REF!</v>
      </c>
      <c r="G230" s="71"/>
      <c r="H230" s="71" t="e">
        <f aca="false">ROUND(#REF!/1000,0)</f>
        <v>#REF!</v>
      </c>
      <c r="I230" s="71"/>
      <c r="J230" s="71" t="e">
        <f aca="false">ROUND(#REF!/1000,0)</f>
        <v>#REF!</v>
      </c>
      <c r="K230" s="71"/>
      <c r="L230" s="71" t="e">
        <f aca="false">-ROUND((#REF!-#REF!)/1000,0)</f>
        <v>#REF!</v>
      </c>
      <c r="M230" s="71"/>
      <c r="N230" s="42" t="e">
        <f aca="false">SUM(H230:L230)</f>
        <v>#REF!</v>
      </c>
      <c r="O230" s="119"/>
      <c r="P230" s="4"/>
      <c r="Q230" s="4"/>
      <c r="R230" s="4"/>
      <c r="S230" s="4"/>
      <c r="T230" s="4"/>
      <c r="U230" s="4"/>
      <c r="V230" s="42" t="n">
        <f aca="false">SUM(P230:T230)</f>
        <v>0</v>
      </c>
      <c r="W230" s="118"/>
      <c r="X230" s="4"/>
      <c r="Y230" s="119"/>
      <c r="Z230" s="175"/>
      <c r="AA230" s="175"/>
      <c r="AB230" s="175"/>
      <c r="AC230" s="175"/>
      <c r="AD230" s="42" t="n">
        <f aca="false">SUM(X230:AB230)</f>
        <v>0</v>
      </c>
      <c r="AE230" s="175"/>
      <c r="AF230" s="175"/>
    </row>
    <row r="231" customFormat="false" ht="11.25" hidden="false" customHeight="false" outlineLevel="0" collapsed="false">
      <c r="A231" s="127" t="n">
        <v>901</v>
      </c>
      <c r="B231" s="136"/>
      <c r="C231" s="139" t="e">
        <f aca="false">+#REF!</f>
        <v>#REF!</v>
      </c>
      <c r="D231" s="139" t="e">
        <f aca="false">+#REF!</f>
        <v>#REF!</v>
      </c>
      <c r="E231" s="68"/>
      <c r="F231" s="68" t="e">
        <f aca="false">+#REF!</f>
        <v>#REF!</v>
      </c>
      <c r="G231" s="71"/>
      <c r="H231" s="71" t="e">
        <f aca="false">ROUND(#REF!/1000,0)</f>
        <v>#REF!</v>
      </c>
      <c r="I231" s="71"/>
      <c r="J231" s="71" t="e">
        <f aca="false">ROUND(#REF!/1000,0)</f>
        <v>#REF!</v>
      </c>
      <c r="K231" s="71"/>
      <c r="L231" s="71" t="e">
        <f aca="false">ROUND((#REF!-#REF!)/1000,0)</f>
        <v>#REF!</v>
      </c>
      <c r="M231" s="71"/>
      <c r="N231" s="42" t="e">
        <f aca="false">SUM(H231:L231)</f>
        <v>#REF!</v>
      </c>
      <c r="O231" s="119"/>
      <c r="P231" s="4"/>
      <c r="Q231" s="4"/>
      <c r="R231" s="4"/>
      <c r="S231" s="4"/>
      <c r="T231" s="4"/>
      <c r="U231" s="4"/>
      <c r="V231" s="42" t="n">
        <f aca="false">SUM(P231:T231)</f>
        <v>0</v>
      </c>
      <c r="W231" s="118"/>
      <c r="X231" s="4"/>
      <c r="Y231" s="119"/>
      <c r="Z231" s="175"/>
      <c r="AA231" s="175"/>
      <c r="AB231" s="175"/>
      <c r="AC231" s="175"/>
      <c r="AD231" s="42" t="n">
        <f aca="false">SUM(X231:AB231)</f>
        <v>0</v>
      </c>
      <c r="AE231" s="175"/>
      <c r="AF231" s="175"/>
    </row>
    <row r="232" customFormat="false" ht="11.25" hidden="false" customHeight="false" outlineLevel="0" collapsed="false">
      <c r="A232" s="127" t="n">
        <v>901</v>
      </c>
      <c r="B232" s="136"/>
      <c r="C232" s="139" t="e">
        <f aca="false">+#REF!</f>
        <v>#REF!</v>
      </c>
      <c r="D232" s="139" t="e">
        <f aca="false">+#REF!</f>
        <v>#REF!</v>
      </c>
      <c r="E232" s="68"/>
      <c r="F232" s="68" t="e">
        <f aca="false">+#REF!</f>
        <v>#REF!</v>
      </c>
      <c r="G232" s="71"/>
      <c r="H232" s="71" t="e">
        <f aca="false">ROUND(#REF!/1000,0)</f>
        <v>#REF!</v>
      </c>
      <c r="I232" s="71"/>
      <c r="J232" s="71" t="e">
        <f aca="false">ROUND(#REF!/1000,0)</f>
        <v>#REF!</v>
      </c>
      <c r="K232" s="71"/>
      <c r="L232" s="71" t="e">
        <f aca="false">-ROUND((#REF!-#REF!)/1000,0)</f>
        <v>#REF!</v>
      </c>
      <c r="M232" s="71"/>
      <c r="N232" s="42" t="e">
        <f aca="false">SUM(H232:L232)</f>
        <v>#REF!</v>
      </c>
      <c r="O232" s="119"/>
      <c r="P232" s="4"/>
      <c r="Q232" s="4"/>
      <c r="R232" s="4"/>
      <c r="S232" s="4"/>
      <c r="T232" s="4"/>
      <c r="U232" s="4"/>
      <c r="V232" s="42" t="n">
        <f aca="false">SUM(P232:T232)</f>
        <v>0</v>
      </c>
      <c r="W232" s="118"/>
      <c r="X232" s="4"/>
      <c r="Y232" s="119"/>
      <c r="Z232" s="175"/>
      <c r="AA232" s="175"/>
      <c r="AB232" s="175"/>
      <c r="AC232" s="175"/>
      <c r="AD232" s="42" t="n">
        <f aca="false">SUM(X232:AB232)</f>
        <v>0</v>
      </c>
      <c r="AE232" s="175"/>
      <c r="AF232" s="175"/>
    </row>
    <row r="233" customFormat="false" ht="11.25" hidden="false" customHeight="false" outlineLevel="0" collapsed="false">
      <c r="A233" s="127" t="n">
        <v>901</v>
      </c>
      <c r="B233" s="136"/>
      <c r="C233" s="139" t="s">
        <v>494</v>
      </c>
      <c r="D233" s="139" t="s">
        <v>180</v>
      </c>
      <c r="E233" s="68"/>
      <c r="F233" s="68" t="n">
        <v>2420</v>
      </c>
      <c r="G233" s="71"/>
      <c r="H233" s="71"/>
      <c r="I233" s="71"/>
      <c r="J233" s="71"/>
      <c r="K233" s="71"/>
      <c r="L233" s="71"/>
      <c r="M233" s="71"/>
      <c r="N233" s="42" t="n">
        <f aca="false">SUM(H233:L233)</f>
        <v>0</v>
      </c>
      <c r="O233" s="119"/>
      <c r="P233" s="4"/>
      <c r="Q233" s="4"/>
      <c r="R233" s="4"/>
      <c r="S233" s="4"/>
      <c r="T233" s="4"/>
      <c r="U233" s="4"/>
      <c r="V233" s="42" t="n">
        <f aca="false">SUM(P233:T233)</f>
        <v>0</v>
      </c>
      <c r="W233" s="118"/>
      <c r="X233" s="4"/>
      <c r="Y233" s="119"/>
      <c r="Z233" s="175"/>
      <c r="AA233" s="175"/>
      <c r="AB233" s="175"/>
      <c r="AC233" s="175"/>
      <c r="AD233" s="42" t="n">
        <f aca="false">SUM(X233:AB233)</f>
        <v>0</v>
      </c>
      <c r="AE233" s="175"/>
      <c r="AF233" s="175"/>
    </row>
    <row r="234" customFormat="false" ht="11.25" hidden="false" customHeight="false" outlineLevel="0" collapsed="false">
      <c r="A234" s="127" t="n">
        <v>901</v>
      </c>
      <c r="B234" s="136"/>
      <c r="C234" s="139" t="s">
        <v>495</v>
      </c>
      <c r="D234" s="139" t="s">
        <v>180</v>
      </c>
      <c r="E234" s="68"/>
      <c r="F234" s="68" t="n">
        <v>2434</v>
      </c>
      <c r="G234" s="71"/>
      <c r="H234" s="71"/>
      <c r="I234" s="71"/>
      <c r="J234" s="71"/>
      <c r="K234" s="71"/>
      <c r="L234" s="71"/>
      <c r="M234" s="71"/>
      <c r="N234" s="42" t="n">
        <f aca="false">SUM(H234:L234)</f>
        <v>0</v>
      </c>
      <c r="O234" s="119"/>
      <c r="P234" s="4"/>
      <c r="Q234" s="4"/>
      <c r="R234" s="4"/>
      <c r="S234" s="4"/>
      <c r="T234" s="4"/>
      <c r="U234" s="4"/>
      <c r="V234" s="42" t="n">
        <f aca="false">SUM(P234:T234)</f>
        <v>0</v>
      </c>
      <c r="W234" s="118"/>
      <c r="X234" s="4"/>
      <c r="Y234" s="119"/>
      <c r="Z234" s="175"/>
      <c r="AA234" s="175"/>
      <c r="AB234" s="175"/>
      <c r="AC234" s="175"/>
      <c r="AD234" s="42" t="n">
        <f aca="false">SUM(X234:AB234)</f>
        <v>0</v>
      </c>
      <c r="AE234" s="175"/>
      <c r="AF234" s="175"/>
    </row>
    <row r="235" customFormat="false" ht="11.25" hidden="false" customHeight="false" outlineLevel="0" collapsed="false">
      <c r="A235" s="127" t="n">
        <v>901</v>
      </c>
      <c r="B235" s="136"/>
      <c r="C235" s="139" t="e">
        <f aca="false">+#REF!</f>
        <v>#REF!</v>
      </c>
      <c r="D235" s="139" t="e">
        <f aca="false">+#REF!</f>
        <v>#REF!</v>
      </c>
      <c r="E235" s="68"/>
      <c r="F235" s="68" t="e">
        <f aca="false">+#REF!</f>
        <v>#REF!</v>
      </c>
      <c r="G235" s="71"/>
      <c r="H235" s="71" t="e">
        <f aca="false">ROUND(#REF!/1000,0)</f>
        <v>#REF!</v>
      </c>
      <c r="I235" s="71"/>
      <c r="J235" s="71" t="e">
        <f aca="false">ROUND(#REF!/1000,0)</f>
        <v>#REF!</v>
      </c>
      <c r="K235" s="71"/>
      <c r="L235" s="71" t="e">
        <f aca="false">-ROUND((#REF!-#REF!)/1000,0)</f>
        <v>#REF!</v>
      </c>
      <c r="M235" s="71"/>
      <c r="N235" s="42" t="e">
        <f aca="false">SUM(H235:L235)</f>
        <v>#REF!</v>
      </c>
      <c r="O235" s="119"/>
      <c r="P235" s="4"/>
      <c r="Q235" s="4"/>
      <c r="R235" s="4"/>
      <c r="S235" s="4"/>
      <c r="T235" s="4"/>
      <c r="U235" s="4"/>
      <c r="V235" s="42" t="n">
        <f aca="false">SUM(P235:T235)</f>
        <v>0</v>
      </c>
      <c r="W235" s="118"/>
      <c r="X235" s="4"/>
      <c r="Y235" s="119"/>
      <c r="Z235" s="175"/>
      <c r="AA235" s="175"/>
      <c r="AB235" s="175"/>
      <c r="AC235" s="175"/>
      <c r="AD235" s="42" t="n">
        <f aca="false">SUM(X235:AB235)</f>
        <v>0</v>
      </c>
      <c r="AE235" s="175"/>
      <c r="AF235" s="175"/>
    </row>
    <row r="236" customFormat="false" ht="10.5" hidden="false" customHeight="true" outlineLevel="0" collapsed="false">
      <c r="A236" s="135" t="s">
        <v>449</v>
      </c>
      <c r="B236" s="136"/>
      <c r="C236" s="139" t="e">
        <f aca="false">+#REF!</f>
        <v>#REF!</v>
      </c>
      <c r="D236" s="139" t="e">
        <f aca="false">+#REF!</f>
        <v>#REF!</v>
      </c>
      <c r="E236" s="68"/>
      <c r="F236" s="68" t="e">
        <f aca="false">+#REF!</f>
        <v>#REF!</v>
      </c>
      <c r="G236" s="129"/>
      <c r="H236" s="71" t="e">
        <f aca="false">ROUND(#REF!/1000,0)</f>
        <v>#REF!</v>
      </c>
      <c r="I236" s="71"/>
      <c r="J236" s="71" t="e">
        <f aca="false">ROUND(#REF!/1000,0)</f>
        <v>#REF!</v>
      </c>
      <c r="K236" s="71"/>
      <c r="L236" s="71" t="e">
        <f aca="false">-ROUND((#REF!-#REF!)/1000,0)</f>
        <v>#REF!</v>
      </c>
      <c r="M236" s="42"/>
      <c r="N236" s="42" t="e">
        <f aca="false">SUM(H236:L236)</f>
        <v>#REF!</v>
      </c>
      <c r="O236" s="42"/>
      <c r="P236" s="42"/>
      <c r="Q236" s="42"/>
      <c r="R236" s="42"/>
      <c r="S236" s="42"/>
      <c r="T236" s="42"/>
      <c r="U236" s="42"/>
      <c r="V236" s="42" t="n">
        <f aca="false">SUM(P236:T236)</f>
        <v>0</v>
      </c>
      <c r="W236" s="42"/>
      <c r="X236" s="42"/>
      <c r="Y236" s="42"/>
      <c r="Z236" s="42"/>
      <c r="AA236" s="42"/>
      <c r="AB236" s="42"/>
      <c r="AC236" s="42"/>
      <c r="AD236" s="42" t="n">
        <f aca="false">SUM(X236:AB236)</f>
        <v>0</v>
      </c>
      <c r="AE236" s="71"/>
      <c r="AF236" s="39"/>
    </row>
    <row r="237" customFormat="false" ht="11.25" hidden="false" customHeight="false" outlineLevel="0" collapsed="false">
      <c r="A237" s="127" t="n">
        <v>901</v>
      </c>
      <c r="B237" s="136"/>
      <c r="C237" s="139" t="e">
        <f aca="false">+#REF!</f>
        <v>#REF!</v>
      </c>
      <c r="D237" s="139" t="e">
        <f aca="false">+#REF!</f>
        <v>#REF!</v>
      </c>
      <c r="E237" s="68"/>
      <c r="F237" s="68" t="e">
        <f aca="false">+#REF!</f>
        <v>#REF!</v>
      </c>
      <c r="G237" s="71"/>
      <c r="H237" s="71" t="e">
        <f aca="false">ROUND(#REF!/1000,0)</f>
        <v>#REF!</v>
      </c>
      <c r="I237" s="71"/>
      <c r="J237" s="71" t="e">
        <f aca="false">ROUND(#REF!/1000,0)</f>
        <v>#REF!</v>
      </c>
      <c r="K237" s="71"/>
      <c r="L237" s="71" t="e">
        <f aca="false">-ROUND((#REF!-#REF!)/1000,0)</f>
        <v>#REF!</v>
      </c>
      <c r="M237" s="71"/>
      <c r="N237" s="42" t="e">
        <f aca="false">SUM(H237:L237)</f>
        <v>#REF!</v>
      </c>
      <c r="O237" s="119"/>
      <c r="P237" s="4"/>
      <c r="Q237" s="4"/>
      <c r="R237" s="4"/>
      <c r="S237" s="4"/>
      <c r="T237" s="4"/>
      <c r="U237" s="4"/>
      <c r="V237" s="42" t="n">
        <f aca="false">SUM(P237:T237)</f>
        <v>0</v>
      </c>
      <c r="W237" s="118"/>
      <c r="X237" s="4"/>
      <c r="Y237" s="119"/>
      <c r="Z237" s="175"/>
      <c r="AA237" s="175"/>
      <c r="AB237" s="175"/>
      <c r="AC237" s="175"/>
      <c r="AD237" s="42" t="n">
        <f aca="false">SUM(X237:AB237)</f>
        <v>0</v>
      </c>
      <c r="AE237" s="175"/>
      <c r="AF237" s="175"/>
    </row>
    <row r="238" customFormat="false" ht="11.25" hidden="false" customHeight="false" outlineLevel="0" collapsed="false">
      <c r="A238" s="127" t="n">
        <v>901</v>
      </c>
      <c r="B238" s="136"/>
      <c r="C238" s="139" t="s">
        <v>496</v>
      </c>
      <c r="D238" s="139" t="s">
        <v>180</v>
      </c>
      <c r="E238" s="68"/>
      <c r="F238" s="68" t="n">
        <v>2462</v>
      </c>
      <c r="G238" s="71"/>
      <c r="H238" s="71"/>
      <c r="I238" s="71"/>
      <c r="J238" s="71"/>
      <c r="K238" s="71"/>
      <c r="L238" s="71"/>
      <c r="M238" s="71"/>
      <c r="N238" s="42" t="n">
        <f aca="false">SUM(H238:L238)</f>
        <v>0</v>
      </c>
      <c r="O238" s="119"/>
      <c r="P238" s="4"/>
      <c r="Q238" s="4"/>
      <c r="R238" s="4"/>
      <c r="S238" s="4"/>
      <c r="T238" s="4"/>
      <c r="U238" s="4"/>
      <c r="V238" s="42" t="n">
        <f aca="false">SUM(P238:T238)</f>
        <v>0</v>
      </c>
      <c r="W238" s="118"/>
      <c r="X238" s="4"/>
      <c r="Y238" s="119"/>
      <c r="Z238" s="175"/>
      <c r="AA238" s="175"/>
      <c r="AB238" s="175"/>
      <c r="AC238" s="175"/>
      <c r="AD238" s="42" t="n">
        <f aca="false">SUM(X238:AB238)</f>
        <v>0</v>
      </c>
      <c r="AE238" s="175"/>
      <c r="AF238" s="175"/>
    </row>
    <row r="239" customFormat="false" ht="11.25" hidden="false" customHeight="false" outlineLevel="0" collapsed="false">
      <c r="A239" s="127" t="n">
        <v>901</v>
      </c>
      <c r="B239" s="136"/>
      <c r="C239" s="139" t="e">
        <f aca="false">+#REF!</f>
        <v>#REF!</v>
      </c>
      <c r="D239" s="139" t="e">
        <f aca="false">+#REF!</f>
        <v>#REF!</v>
      </c>
      <c r="E239" s="68"/>
      <c r="F239" s="68" t="e">
        <f aca="false">+#REF!</f>
        <v>#REF!</v>
      </c>
      <c r="G239" s="71"/>
      <c r="H239" s="71" t="e">
        <f aca="false">ROUND(#REF!/1000,0)</f>
        <v>#REF!</v>
      </c>
      <c r="I239" s="71"/>
      <c r="J239" s="71" t="e">
        <f aca="false">ROUND(#REF!/1000,0)</f>
        <v>#REF!</v>
      </c>
      <c r="K239" s="71"/>
      <c r="L239" s="71" t="e">
        <f aca="false">-ROUND((#REF!-#REF!)/1000,0)</f>
        <v>#REF!</v>
      </c>
      <c r="M239" s="71"/>
      <c r="N239" s="42" t="e">
        <f aca="false">SUM(H239:L239)</f>
        <v>#REF!</v>
      </c>
      <c r="O239" s="119"/>
      <c r="P239" s="4"/>
      <c r="Q239" s="4"/>
      <c r="R239" s="4"/>
      <c r="S239" s="4"/>
      <c r="T239" s="4"/>
      <c r="U239" s="4"/>
      <c r="V239" s="42" t="n">
        <f aca="false">SUM(P239:T239)</f>
        <v>0</v>
      </c>
      <c r="W239" s="118"/>
      <c r="X239" s="4"/>
      <c r="Y239" s="119"/>
      <c r="Z239" s="175"/>
      <c r="AA239" s="175"/>
      <c r="AB239" s="175"/>
      <c r="AC239" s="175"/>
      <c r="AD239" s="42" t="n">
        <f aca="false">SUM(X239:AB239)</f>
        <v>0</v>
      </c>
      <c r="AE239" s="175"/>
      <c r="AF239" s="175"/>
    </row>
    <row r="240" customFormat="false" ht="11.25" hidden="false" customHeight="false" outlineLevel="0" collapsed="false">
      <c r="A240" s="127" t="n">
        <v>901</v>
      </c>
      <c r="B240" s="136"/>
      <c r="C240" s="139" t="e">
        <f aca="false">+#REF!</f>
        <v>#REF!</v>
      </c>
      <c r="D240" s="139" t="e">
        <f aca="false">+#REF!</f>
        <v>#REF!</v>
      </c>
      <c r="E240" s="68"/>
      <c r="F240" s="68" t="e">
        <f aca="false">+#REF!</f>
        <v>#REF!</v>
      </c>
      <c r="G240" s="71"/>
      <c r="H240" s="71" t="e">
        <f aca="false">ROUND(#REF!/1000,0)</f>
        <v>#REF!</v>
      </c>
      <c r="I240" s="71"/>
      <c r="J240" s="71" t="e">
        <f aca="false">ROUND(#REF!/1000,0)</f>
        <v>#REF!</v>
      </c>
      <c r="K240" s="71"/>
      <c r="L240" s="71" t="e">
        <f aca="false">-ROUND((#REF!-#REF!)/1000,0)</f>
        <v>#REF!</v>
      </c>
      <c r="M240" s="71"/>
      <c r="N240" s="42" t="e">
        <f aca="false">SUM(H240:L240)</f>
        <v>#REF!</v>
      </c>
      <c r="O240" s="119"/>
      <c r="P240" s="4"/>
      <c r="Q240" s="4"/>
      <c r="R240" s="4"/>
      <c r="S240" s="4"/>
      <c r="T240" s="4"/>
      <c r="U240" s="4"/>
      <c r="V240" s="42" t="n">
        <f aca="false">SUM(P240:T240)</f>
        <v>0</v>
      </c>
      <c r="W240" s="118"/>
      <c r="X240" s="4"/>
      <c r="Y240" s="119"/>
      <c r="Z240" s="175"/>
      <c r="AA240" s="175"/>
      <c r="AB240" s="175"/>
      <c r="AC240" s="175"/>
      <c r="AD240" s="42" t="n">
        <f aca="false">SUM(X240:AB240)</f>
        <v>0</v>
      </c>
      <c r="AE240" s="175"/>
      <c r="AF240" s="175"/>
    </row>
    <row r="241" customFormat="false" ht="11.25" hidden="false" customHeight="false" outlineLevel="0" collapsed="false">
      <c r="A241" s="135"/>
      <c r="B241" s="136"/>
      <c r="C241" s="129" t="s">
        <v>484</v>
      </c>
      <c r="D241" s="39" t="s">
        <v>180</v>
      </c>
      <c r="E241" s="68"/>
      <c r="F241" s="68"/>
      <c r="G241" s="71"/>
      <c r="H241" s="71" t="n">
        <f aca="false">-24193-745-3536-742</f>
        <v>-29216</v>
      </c>
      <c r="I241" s="71"/>
      <c r="J241" s="71" t="n">
        <v>0</v>
      </c>
      <c r="K241" s="71"/>
      <c r="L241" s="71" t="e">
        <f aca="false">-ROUND((#REF!-#REF!)/1000,0)</f>
        <v>#REF!</v>
      </c>
      <c r="M241" s="71"/>
      <c r="N241" s="42" t="e">
        <f aca="false">SUM(H241:L241)</f>
        <v>#REF!</v>
      </c>
      <c r="O241" s="172"/>
      <c r="P241" s="4"/>
      <c r="Q241" s="173"/>
      <c r="R241" s="4"/>
      <c r="S241" s="173"/>
      <c r="T241" s="4"/>
      <c r="U241" s="173"/>
      <c r="V241" s="42" t="n">
        <f aca="false">SUM(P241:T241)</f>
        <v>0</v>
      </c>
      <c r="W241" s="118"/>
      <c r="X241" s="4"/>
      <c r="Y241" s="172"/>
      <c r="Z241" s="174"/>
      <c r="AA241" s="174"/>
      <c r="AB241" s="174"/>
      <c r="AC241" s="174"/>
      <c r="AD241" s="42" t="n">
        <f aca="false">SUM(X241:AB241)</f>
        <v>0</v>
      </c>
      <c r="AE241" s="174"/>
      <c r="AF241" s="174"/>
    </row>
    <row r="242" customFormat="false" ht="12.75" hidden="false" customHeight="false" outlineLevel="0" collapsed="false">
      <c r="A242" s="135"/>
      <c r="B242" s="136"/>
      <c r="C242" s="38" t="s">
        <v>497</v>
      </c>
      <c r="D242" s="39"/>
      <c r="E242" s="39"/>
      <c r="F242" s="68"/>
      <c r="G242" s="129"/>
      <c r="H242" s="176" t="e">
        <f aca="false">SUM(H188:H241)</f>
        <v>#REF!</v>
      </c>
      <c r="I242" s="176" t="n">
        <f aca="false">SUM(I188:I241)</f>
        <v>0</v>
      </c>
      <c r="J242" s="176" t="e">
        <f aca="false">SUM(J188:J241)</f>
        <v>#REF!</v>
      </c>
      <c r="K242" s="176" t="n">
        <f aca="false">SUM(K188:K241)</f>
        <v>0</v>
      </c>
      <c r="L242" s="176" t="e">
        <f aca="false">SUM(L188:L241)</f>
        <v>#REF!</v>
      </c>
      <c r="M242" s="176" t="n">
        <f aca="false">SUM(M188:M241)</f>
        <v>0</v>
      </c>
      <c r="N242" s="176" t="e">
        <f aca="false">SUM(N188:N241)</f>
        <v>#REF!</v>
      </c>
      <c r="O242" s="42"/>
      <c r="P242" s="176" t="n">
        <f aca="false">SUM(P188:P241)</f>
        <v>70429</v>
      </c>
      <c r="Q242" s="42"/>
      <c r="R242" s="176" t="n">
        <f aca="false">SUM(R188:R241)</f>
        <v>-70429</v>
      </c>
      <c r="S242" s="42"/>
      <c r="T242" s="176" t="n">
        <f aca="false">SUM(T188:T241)</f>
        <v>0</v>
      </c>
      <c r="U242" s="42"/>
      <c r="V242" s="176" t="n">
        <f aca="false">SUM(V188:V241)</f>
        <v>0</v>
      </c>
      <c r="W242" s="42"/>
      <c r="X242" s="176" t="n">
        <f aca="false">SUM(X188:X241)</f>
        <v>68734</v>
      </c>
      <c r="Y242" s="42"/>
      <c r="Z242" s="176" t="n">
        <f aca="false">SUM(Z188:Z241)</f>
        <v>-68734</v>
      </c>
      <c r="AA242" s="42"/>
      <c r="AB242" s="176" t="n">
        <f aca="false">SUM(AB188:AB241)</f>
        <v>0</v>
      </c>
      <c r="AC242" s="42"/>
      <c r="AD242" s="176" t="n">
        <f aca="false">SUM(AD188:AD241)</f>
        <v>0</v>
      </c>
      <c r="AE242" s="71"/>
      <c r="AF242" s="39"/>
    </row>
    <row r="243" customFormat="false" ht="12.75" hidden="false" customHeight="false" outlineLevel="0" collapsed="false">
      <c r="A243" s="135"/>
      <c r="B243" s="136"/>
      <c r="C243" s="129"/>
      <c r="D243" s="4"/>
      <c r="E243" s="4"/>
      <c r="F243" s="68"/>
      <c r="G243" s="140"/>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71"/>
      <c r="AF243" s="39"/>
    </row>
    <row r="244" customFormat="false" ht="12.75" hidden="false" customHeight="false" outlineLevel="0" collapsed="false">
      <c r="A244" s="135"/>
      <c r="B244" s="136"/>
      <c r="C244" s="39" t="s">
        <v>498</v>
      </c>
      <c r="D244" s="39"/>
      <c r="E244" s="39"/>
      <c r="F244" s="37"/>
      <c r="G244" s="129"/>
      <c r="H244" s="42"/>
      <c r="I244" s="42"/>
      <c r="J244" s="42"/>
      <c r="K244" s="42"/>
      <c r="L244" s="42"/>
      <c r="M244" s="42"/>
      <c r="N244" s="42"/>
      <c r="O244" s="42"/>
      <c r="P244" s="42" t="n">
        <v>16232</v>
      </c>
      <c r="Q244" s="42"/>
      <c r="R244" s="42" t="n">
        <v>-16232</v>
      </c>
      <c r="S244" s="42"/>
      <c r="T244" s="42" t="n">
        <v>0</v>
      </c>
      <c r="U244" s="42"/>
      <c r="V244" s="42" t="n">
        <f aca="false">SUM(P244:T244)</f>
        <v>0</v>
      </c>
      <c r="W244" s="42"/>
      <c r="X244" s="42" t="n">
        <v>17093</v>
      </c>
      <c r="Y244" s="42"/>
      <c r="Z244" s="42" t="n">
        <v>-17093</v>
      </c>
      <c r="AA244" s="42"/>
      <c r="AB244" s="42" t="n">
        <v>0</v>
      </c>
      <c r="AC244" s="42"/>
      <c r="AD244" s="42" t="n">
        <f aca="false">SUM(X244:AB244)</f>
        <v>0</v>
      </c>
      <c r="AE244" s="71"/>
      <c r="AF244" s="39"/>
    </row>
    <row r="245" customFormat="false" ht="11.25" hidden="false" customHeight="false" outlineLevel="0" collapsed="false">
      <c r="A245" s="135" t="n">
        <v>11</v>
      </c>
      <c r="B245" s="136"/>
      <c r="C245" s="139" t="e">
        <f aca="false">+#REF!</f>
        <v>#REF!</v>
      </c>
      <c r="D245" s="139" t="e">
        <f aca="false">+#REF!</f>
        <v>#REF!</v>
      </c>
      <c r="E245" s="68"/>
      <c r="F245" s="68" t="e">
        <f aca="false">+#REF!</f>
        <v>#REF!</v>
      </c>
      <c r="G245" s="71"/>
      <c r="H245" s="71" t="e">
        <f aca="false">ROUND(#REF!/1000,0)</f>
        <v>#REF!</v>
      </c>
      <c r="I245" s="71"/>
      <c r="J245" s="71" t="e">
        <f aca="false">ROUND(#REF!/1000,0)</f>
        <v>#REF!</v>
      </c>
      <c r="K245" s="71"/>
      <c r="L245" s="71" t="e">
        <f aca="false">-ROUND((#REF!-#REF!)/1000,0)</f>
        <v>#REF!</v>
      </c>
      <c r="M245" s="71"/>
      <c r="N245" s="42" t="e">
        <f aca="false">SUM(H245:L245)</f>
        <v>#REF!</v>
      </c>
      <c r="O245" s="119"/>
      <c r="P245" s="4"/>
      <c r="Q245" s="4"/>
      <c r="R245" s="4"/>
      <c r="S245" s="4"/>
      <c r="T245" s="4"/>
      <c r="U245" s="4"/>
      <c r="V245" s="42" t="n">
        <f aca="false">SUM(P245:T245)</f>
        <v>0</v>
      </c>
      <c r="W245" s="118"/>
      <c r="X245" s="4"/>
      <c r="Y245" s="119"/>
      <c r="Z245" s="175"/>
      <c r="AA245" s="175"/>
      <c r="AB245" s="175"/>
      <c r="AC245" s="175"/>
      <c r="AD245" s="42" t="n">
        <f aca="false">SUM(X245:AB245)</f>
        <v>0</v>
      </c>
      <c r="AE245" s="175"/>
      <c r="AF245" s="175"/>
    </row>
    <row r="246" customFormat="false" ht="11.25" hidden="false" customHeight="false" outlineLevel="0" collapsed="false">
      <c r="A246" s="135" t="n">
        <v>11</v>
      </c>
      <c r="B246" s="136"/>
      <c r="C246" s="139" t="e">
        <f aca="false">+#REF!</f>
        <v>#REF!</v>
      </c>
      <c r="D246" s="139" t="e">
        <f aca="false">+#REF!</f>
        <v>#REF!</v>
      </c>
      <c r="E246" s="68"/>
      <c r="F246" s="68" t="e">
        <f aca="false">+#REF!</f>
        <v>#REF!</v>
      </c>
      <c r="G246" s="71"/>
      <c r="H246" s="71" t="e">
        <f aca="false">ROUND(#REF!/1000,0)</f>
        <v>#REF!</v>
      </c>
      <c r="I246" s="71"/>
      <c r="J246" s="71" t="e">
        <f aca="false">ROUND(#REF!/1000,0)</f>
        <v>#REF!</v>
      </c>
      <c r="K246" s="71"/>
      <c r="L246" s="71" t="e">
        <f aca="false">-ROUND((#REF!-#REF!)/1000,0)</f>
        <v>#REF!</v>
      </c>
      <c r="M246" s="71"/>
      <c r="N246" s="42" t="e">
        <f aca="false">SUM(H246:L246)</f>
        <v>#REF!</v>
      </c>
      <c r="O246" s="119"/>
      <c r="P246" s="4"/>
      <c r="Q246" s="4"/>
      <c r="R246" s="4"/>
      <c r="S246" s="4"/>
      <c r="T246" s="4"/>
      <c r="U246" s="4"/>
      <c r="V246" s="42" t="n">
        <f aca="false">SUM(P246:T246)</f>
        <v>0</v>
      </c>
      <c r="W246" s="118"/>
      <c r="X246" s="4"/>
      <c r="Y246" s="119"/>
      <c r="Z246" s="175"/>
      <c r="AA246" s="175"/>
      <c r="AB246" s="175"/>
      <c r="AC246" s="175"/>
      <c r="AD246" s="42" t="n">
        <f aca="false">SUM(X246:AB246)</f>
        <v>0</v>
      </c>
      <c r="AE246" s="175"/>
      <c r="AF246" s="175"/>
    </row>
    <row r="247" customFormat="false" ht="11.25" hidden="false" customHeight="false" outlineLevel="0" collapsed="false">
      <c r="A247" s="135" t="n">
        <v>11</v>
      </c>
      <c r="B247" s="136"/>
      <c r="C247" s="139" t="e">
        <f aca="false">+#REF!</f>
        <v>#REF!</v>
      </c>
      <c r="D247" s="139" t="e">
        <f aca="false">+#REF!</f>
        <v>#REF!</v>
      </c>
      <c r="E247" s="68"/>
      <c r="F247" s="68" t="e">
        <f aca="false">+#REF!</f>
        <v>#REF!</v>
      </c>
      <c r="G247" s="71"/>
      <c r="H247" s="71" t="e">
        <f aca="false">ROUND(#REF!/1000,0)</f>
        <v>#REF!</v>
      </c>
      <c r="I247" s="71"/>
      <c r="J247" s="71" t="e">
        <f aca="false">ROUND(#REF!/1000,0)</f>
        <v>#REF!</v>
      </c>
      <c r="K247" s="71"/>
      <c r="L247" s="71" t="e">
        <f aca="false">-ROUND((#REF!-#REF!)/1000,0)</f>
        <v>#REF!</v>
      </c>
      <c r="M247" s="71"/>
      <c r="N247" s="42" t="e">
        <f aca="false">SUM(H247:L247)</f>
        <v>#REF!</v>
      </c>
      <c r="O247" s="119"/>
      <c r="P247" s="4"/>
      <c r="Q247" s="4"/>
      <c r="R247" s="4"/>
      <c r="S247" s="4"/>
      <c r="T247" s="4"/>
      <c r="U247" s="4"/>
      <c r="V247" s="42" t="n">
        <f aca="false">SUM(P247:T247)</f>
        <v>0</v>
      </c>
      <c r="W247" s="118"/>
      <c r="X247" s="4"/>
      <c r="Y247" s="119"/>
      <c r="Z247" s="175"/>
      <c r="AA247" s="175"/>
      <c r="AB247" s="175"/>
      <c r="AC247" s="175"/>
      <c r="AD247" s="42" t="n">
        <f aca="false">SUM(X247:AB247)</f>
        <v>0</v>
      </c>
      <c r="AE247" s="175"/>
      <c r="AF247" s="175"/>
    </row>
    <row r="248" customFormat="false" ht="11.25" hidden="false" customHeight="false" outlineLevel="0" collapsed="false">
      <c r="A248" s="135" t="n">
        <v>11</v>
      </c>
      <c r="B248" s="136"/>
      <c r="C248" s="139" t="e">
        <f aca="false">+#REF!</f>
        <v>#REF!</v>
      </c>
      <c r="D248" s="139" t="e">
        <f aca="false">+#REF!</f>
        <v>#REF!</v>
      </c>
      <c r="E248" s="68"/>
      <c r="F248" s="68" t="e">
        <f aca="false">+#REF!</f>
        <v>#REF!</v>
      </c>
      <c r="G248" s="71"/>
      <c r="H248" s="71" t="e">
        <f aca="false">ROUND(#REF!/1000,0)</f>
        <v>#REF!</v>
      </c>
      <c r="I248" s="71"/>
      <c r="J248" s="71" t="e">
        <f aca="false">ROUND(#REF!/1000,0)</f>
        <v>#REF!</v>
      </c>
      <c r="K248" s="71"/>
      <c r="L248" s="71" t="e">
        <f aca="false">-ROUND((#REF!-#REF!)/1000,0)</f>
        <v>#REF!</v>
      </c>
      <c r="M248" s="71"/>
      <c r="N248" s="42" t="e">
        <f aca="false">SUM(H248:L248)</f>
        <v>#REF!</v>
      </c>
      <c r="O248" s="119"/>
      <c r="P248" s="4"/>
      <c r="Q248" s="4"/>
      <c r="R248" s="4"/>
      <c r="S248" s="4"/>
      <c r="T248" s="4"/>
      <c r="U248" s="4"/>
      <c r="V248" s="42" t="n">
        <f aca="false">SUM(P248:T248)</f>
        <v>0</v>
      </c>
      <c r="W248" s="118"/>
      <c r="X248" s="4"/>
      <c r="Y248" s="119"/>
      <c r="Z248" s="175"/>
      <c r="AA248" s="175"/>
      <c r="AB248" s="175"/>
      <c r="AC248" s="175"/>
      <c r="AD248" s="42" t="n">
        <f aca="false">SUM(X248:AB248)</f>
        <v>0</v>
      </c>
      <c r="AE248" s="175"/>
      <c r="AF248" s="175"/>
    </row>
    <row r="249" customFormat="false" ht="11.25" hidden="false" customHeight="false" outlineLevel="0" collapsed="false">
      <c r="A249" s="135" t="n">
        <v>11</v>
      </c>
      <c r="B249" s="136"/>
      <c r="C249" s="139" t="e">
        <f aca="false">+#REF!</f>
        <v>#REF!</v>
      </c>
      <c r="D249" s="139" t="e">
        <f aca="false">+#REF!</f>
        <v>#REF!</v>
      </c>
      <c r="E249" s="68"/>
      <c r="F249" s="68" t="e">
        <f aca="false">+#REF!</f>
        <v>#REF!</v>
      </c>
      <c r="G249" s="71"/>
      <c r="H249" s="71" t="e">
        <f aca="false">ROUND(#REF!/1000,0)</f>
        <v>#REF!</v>
      </c>
      <c r="I249" s="71"/>
      <c r="J249" s="71" t="e">
        <f aca="false">ROUND(#REF!/1000,0)</f>
        <v>#REF!</v>
      </c>
      <c r="K249" s="71"/>
      <c r="L249" s="71" t="e">
        <f aca="false">-ROUND((#REF!-#REF!)/1000,0)</f>
        <v>#REF!</v>
      </c>
      <c r="M249" s="71"/>
      <c r="N249" s="42" t="e">
        <f aca="false">SUM(H249:L249)</f>
        <v>#REF!</v>
      </c>
      <c r="O249" s="119"/>
      <c r="P249" s="4"/>
      <c r="Q249" s="4"/>
      <c r="R249" s="4"/>
      <c r="S249" s="4"/>
      <c r="T249" s="4"/>
      <c r="U249" s="4"/>
      <c r="V249" s="42" t="n">
        <f aca="false">SUM(P249:T249)</f>
        <v>0</v>
      </c>
      <c r="W249" s="118"/>
      <c r="X249" s="4"/>
      <c r="Y249" s="119"/>
      <c r="Z249" s="175"/>
      <c r="AA249" s="175"/>
      <c r="AB249" s="175"/>
      <c r="AC249" s="175"/>
      <c r="AD249" s="42" t="n">
        <f aca="false">SUM(X249:AB249)</f>
        <v>0</v>
      </c>
      <c r="AE249" s="175"/>
      <c r="AF249" s="175"/>
    </row>
    <row r="250" customFormat="false" ht="11.25" hidden="false" customHeight="false" outlineLevel="0" collapsed="false">
      <c r="A250" s="135" t="n">
        <v>11</v>
      </c>
      <c r="B250" s="136"/>
      <c r="C250" s="139" t="e">
        <f aca="false">+#REF!</f>
        <v>#REF!</v>
      </c>
      <c r="D250" s="139" t="e">
        <f aca="false">+#REF!</f>
        <v>#REF!</v>
      </c>
      <c r="E250" s="68"/>
      <c r="F250" s="68" t="e">
        <f aca="false">+#REF!</f>
        <v>#REF!</v>
      </c>
      <c r="G250" s="71"/>
      <c r="H250" s="71" t="e">
        <f aca="false">ROUND(#REF!/1000,0)</f>
        <v>#REF!</v>
      </c>
      <c r="I250" s="71"/>
      <c r="J250" s="71" t="e">
        <f aca="false">ROUND(#REF!/1000,0)</f>
        <v>#REF!</v>
      </c>
      <c r="K250" s="71"/>
      <c r="L250" s="71" t="e">
        <f aca="false">-ROUND((#REF!-#REF!)/1000,0)</f>
        <v>#REF!</v>
      </c>
      <c r="M250" s="71"/>
      <c r="N250" s="42" t="e">
        <f aca="false">SUM(H250:L250)</f>
        <v>#REF!</v>
      </c>
      <c r="O250" s="119"/>
      <c r="P250" s="4"/>
      <c r="Q250" s="4"/>
      <c r="R250" s="4"/>
      <c r="S250" s="4"/>
      <c r="T250" s="4"/>
      <c r="U250" s="4"/>
      <c r="V250" s="42" t="n">
        <f aca="false">SUM(P250:T250)</f>
        <v>0</v>
      </c>
      <c r="W250" s="118"/>
      <c r="X250" s="4"/>
      <c r="Y250" s="119"/>
      <c r="Z250" s="175"/>
      <c r="AA250" s="175"/>
      <c r="AB250" s="175"/>
      <c r="AC250" s="175"/>
      <c r="AD250" s="42" t="n">
        <f aca="false">SUM(X250:AB250)</f>
        <v>0</v>
      </c>
      <c r="AE250" s="175"/>
      <c r="AF250" s="175"/>
    </row>
    <row r="251" customFormat="false" ht="11.25" hidden="false" customHeight="false" outlineLevel="0" collapsed="false">
      <c r="A251" s="135" t="n">
        <v>11</v>
      </c>
      <c r="B251" s="136"/>
      <c r="C251" s="139" t="e">
        <f aca="false">+#REF!</f>
        <v>#REF!</v>
      </c>
      <c r="D251" s="139" t="e">
        <f aca="false">+#REF!</f>
        <v>#REF!</v>
      </c>
      <c r="E251" s="68"/>
      <c r="F251" s="68" t="e">
        <f aca="false">+#REF!</f>
        <v>#REF!</v>
      </c>
      <c r="G251" s="71"/>
      <c r="H251" s="71" t="e">
        <f aca="false">ROUND(#REF!/1000,0)</f>
        <v>#REF!</v>
      </c>
      <c r="I251" s="71"/>
      <c r="J251" s="71" t="e">
        <f aca="false">ROUND(#REF!/1000,0)</f>
        <v>#REF!</v>
      </c>
      <c r="K251" s="71"/>
      <c r="L251" s="71" t="e">
        <f aca="false">-ROUND((#REF!-#REF!)/1000,0)</f>
        <v>#REF!</v>
      </c>
      <c r="M251" s="71"/>
      <c r="N251" s="42" t="e">
        <f aca="false">SUM(H251:L251)</f>
        <v>#REF!</v>
      </c>
      <c r="O251" s="119"/>
      <c r="P251" s="4"/>
      <c r="Q251" s="4"/>
      <c r="R251" s="4"/>
      <c r="S251" s="4"/>
      <c r="T251" s="4"/>
      <c r="U251" s="4"/>
      <c r="V251" s="42" t="n">
        <f aca="false">SUM(P251:T251)</f>
        <v>0</v>
      </c>
      <c r="W251" s="118"/>
      <c r="X251" s="4"/>
      <c r="Y251" s="119"/>
      <c r="Z251" s="175"/>
      <c r="AA251" s="175"/>
      <c r="AB251" s="175"/>
      <c r="AC251" s="175"/>
      <c r="AD251" s="42" t="n">
        <f aca="false">SUM(X251:AB251)</f>
        <v>0</v>
      </c>
      <c r="AE251" s="175"/>
      <c r="AF251" s="175"/>
    </row>
    <row r="252" customFormat="false" ht="11.25" hidden="false" customHeight="false" outlineLevel="0" collapsed="false">
      <c r="A252" s="135" t="n">
        <v>11</v>
      </c>
      <c r="B252" s="136"/>
      <c r="C252" s="139" t="e">
        <f aca="false">+#REF!</f>
        <v>#REF!</v>
      </c>
      <c r="D252" s="139" t="e">
        <f aca="false">+#REF!</f>
        <v>#REF!</v>
      </c>
      <c r="E252" s="68"/>
      <c r="F252" s="68" t="e">
        <f aca="false">+#REF!</f>
        <v>#REF!</v>
      </c>
      <c r="G252" s="71"/>
      <c r="H252" s="71" t="e">
        <f aca="false">ROUND(#REF!/1000,0)</f>
        <v>#REF!</v>
      </c>
      <c r="I252" s="71"/>
      <c r="J252" s="71" t="e">
        <f aca="false">ROUND(#REF!/1000,0)</f>
        <v>#REF!</v>
      </c>
      <c r="K252" s="71"/>
      <c r="L252" s="71" t="e">
        <f aca="false">-ROUND((#REF!-#REF!)/1000,0)</f>
        <v>#REF!</v>
      </c>
      <c r="M252" s="71"/>
      <c r="N252" s="42" t="e">
        <f aca="false">SUM(H252:L252)</f>
        <v>#REF!</v>
      </c>
      <c r="O252" s="172"/>
      <c r="P252" s="4"/>
      <c r="Q252" s="173"/>
      <c r="R252" s="4"/>
      <c r="S252" s="173"/>
      <c r="T252" s="4"/>
      <c r="U252" s="173"/>
      <c r="V252" s="42" t="n">
        <f aca="false">SUM(P252:T252)</f>
        <v>0</v>
      </c>
      <c r="W252" s="118"/>
      <c r="X252" s="4"/>
      <c r="Y252" s="172"/>
      <c r="Z252" s="174"/>
      <c r="AA252" s="174"/>
      <c r="AB252" s="174"/>
      <c r="AC252" s="174"/>
      <c r="AD252" s="42" t="n">
        <f aca="false">SUM(X252:AB252)</f>
        <v>0</v>
      </c>
      <c r="AE252" s="174"/>
      <c r="AF252" s="174"/>
    </row>
    <row r="253" customFormat="false" ht="11.25" hidden="false" customHeight="false" outlineLevel="0" collapsed="false">
      <c r="A253" s="135" t="n">
        <v>11</v>
      </c>
      <c r="B253" s="136"/>
      <c r="C253" s="139" t="e">
        <f aca="false">+#REF!</f>
        <v>#REF!</v>
      </c>
      <c r="D253" s="139" t="e">
        <f aca="false">+#REF!</f>
        <v>#REF!</v>
      </c>
      <c r="E253" s="68"/>
      <c r="F253" s="68" t="e">
        <f aca="false">+#REF!</f>
        <v>#REF!</v>
      </c>
      <c r="G253" s="71"/>
      <c r="H253" s="71" t="e">
        <f aca="false">ROUND(#REF!/1000,0)</f>
        <v>#REF!</v>
      </c>
      <c r="I253" s="71"/>
      <c r="J253" s="71" t="e">
        <f aca="false">ROUND(#REF!/1000,0)</f>
        <v>#REF!</v>
      </c>
      <c r="K253" s="71"/>
      <c r="L253" s="71" t="e">
        <f aca="false">-ROUND((#REF!-#REF!)/1000,0)</f>
        <v>#REF!</v>
      </c>
      <c r="M253" s="71"/>
      <c r="N253" s="42" t="e">
        <f aca="false">SUM(H253:L253)</f>
        <v>#REF!</v>
      </c>
      <c r="O253" s="172"/>
      <c r="P253" s="4"/>
      <c r="Q253" s="173"/>
      <c r="R253" s="4"/>
      <c r="S253" s="173"/>
      <c r="T253" s="4"/>
      <c r="U253" s="173"/>
      <c r="V253" s="42" t="n">
        <f aca="false">SUM(P253:T253)</f>
        <v>0</v>
      </c>
      <c r="W253" s="118"/>
      <c r="X253" s="4"/>
      <c r="Y253" s="172"/>
      <c r="Z253" s="174"/>
      <c r="AA253" s="174"/>
      <c r="AB253" s="174"/>
      <c r="AC253" s="174"/>
      <c r="AD253" s="42" t="n">
        <f aca="false">SUM(X253:AB253)</f>
        <v>0</v>
      </c>
      <c r="AE253" s="174"/>
      <c r="AF253" s="174"/>
    </row>
    <row r="254" customFormat="false" ht="11.25" hidden="false" customHeight="false" outlineLevel="0" collapsed="false">
      <c r="A254" s="135" t="n">
        <v>11</v>
      </c>
      <c r="B254" s="136"/>
      <c r="C254" s="139" t="e">
        <f aca="false">+#REF!</f>
        <v>#REF!</v>
      </c>
      <c r="D254" s="139" t="e">
        <f aca="false">+#REF!</f>
        <v>#REF!</v>
      </c>
      <c r="E254" s="68"/>
      <c r="F254" s="68" t="e">
        <f aca="false">+#REF!</f>
        <v>#REF!</v>
      </c>
      <c r="G254" s="71"/>
      <c r="H254" s="71" t="e">
        <f aca="false">ROUND(#REF!/1000,0)</f>
        <v>#REF!</v>
      </c>
      <c r="I254" s="71"/>
      <c r="J254" s="71" t="e">
        <f aca="false">ROUND(#REF!/1000,0)</f>
        <v>#REF!</v>
      </c>
      <c r="K254" s="71"/>
      <c r="L254" s="71" t="e">
        <f aca="false">-ROUND((#REF!-#REF!)/1000,0)</f>
        <v>#REF!</v>
      </c>
      <c r="M254" s="71"/>
      <c r="N254" s="42" t="e">
        <f aca="false">SUM(H254:L254)</f>
        <v>#REF!</v>
      </c>
      <c r="O254" s="172"/>
      <c r="P254" s="4"/>
      <c r="Q254" s="173"/>
      <c r="R254" s="4"/>
      <c r="S254" s="173"/>
      <c r="T254" s="4"/>
      <c r="U254" s="173"/>
      <c r="V254" s="42" t="n">
        <f aca="false">SUM(P254:T254)</f>
        <v>0</v>
      </c>
      <c r="W254" s="118"/>
      <c r="X254" s="4"/>
      <c r="Y254" s="172"/>
      <c r="Z254" s="174"/>
      <c r="AA254" s="174"/>
      <c r="AB254" s="174"/>
      <c r="AC254" s="174"/>
      <c r="AD254" s="42" t="n">
        <f aca="false">SUM(X254:AB254)</f>
        <v>0</v>
      </c>
      <c r="AE254" s="174"/>
      <c r="AF254" s="174"/>
    </row>
    <row r="255" customFormat="false" ht="11.25" hidden="false" customHeight="false" outlineLevel="0" collapsed="false">
      <c r="A255" s="135" t="n">
        <v>11</v>
      </c>
      <c r="B255" s="136"/>
      <c r="C255" s="139" t="e">
        <f aca="false">+#REF!</f>
        <v>#REF!</v>
      </c>
      <c r="D255" s="139" t="e">
        <f aca="false">+#REF!</f>
        <v>#REF!</v>
      </c>
      <c r="E255" s="68"/>
      <c r="F255" s="68" t="e">
        <f aca="false">+#REF!</f>
        <v>#REF!</v>
      </c>
      <c r="G255" s="71"/>
      <c r="H255" s="71" t="e">
        <f aca="false">ROUND(#REF!/1000,0)</f>
        <v>#REF!</v>
      </c>
      <c r="I255" s="71"/>
      <c r="J255" s="71" t="e">
        <f aca="false">ROUND(#REF!/1000,0)</f>
        <v>#REF!</v>
      </c>
      <c r="K255" s="71"/>
      <c r="L255" s="71" t="e">
        <f aca="false">-ROUND((#REF!-#REF!)/1000,0)</f>
        <v>#REF!</v>
      </c>
      <c r="M255" s="71"/>
      <c r="N255" s="42" t="e">
        <f aca="false">SUM(H255:L255)</f>
        <v>#REF!</v>
      </c>
      <c r="O255" s="172"/>
      <c r="P255" s="4"/>
      <c r="Q255" s="173"/>
      <c r="R255" s="4"/>
      <c r="S255" s="173"/>
      <c r="T255" s="4"/>
      <c r="U255" s="173"/>
      <c r="V255" s="42" t="n">
        <f aca="false">SUM(P255:T255)</f>
        <v>0</v>
      </c>
      <c r="W255" s="118"/>
      <c r="X255" s="4"/>
      <c r="Y255" s="172"/>
      <c r="Z255" s="174"/>
      <c r="AA255" s="174"/>
      <c r="AB255" s="174"/>
      <c r="AC255" s="174"/>
      <c r="AD255" s="42" t="n">
        <f aca="false">SUM(X255:AB255)</f>
        <v>0</v>
      </c>
      <c r="AE255" s="174"/>
      <c r="AF255" s="174"/>
    </row>
    <row r="256" customFormat="false" ht="11.25" hidden="false" customHeight="false" outlineLevel="0" collapsed="false">
      <c r="A256" s="135"/>
      <c r="B256" s="136"/>
      <c r="C256" s="129" t="s">
        <v>499</v>
      </c>
      <c r="D256" s="39" t="s">
        <v>180</v>
      </c>
      <c r="E256" s="68"/>
      <c r="F256" s="68"/>
      <c r="G256" s="71"/>
      <c r="H256" s="71" t="n">
        <f aca="false">-ROUND((4530000+1527600+377500+127300)/1000,0)</f>
        <v>-6562</v>
      </c>
      <c r="I256" s="71"/>
      <c r="J256" s="71" t="n">
        <v>0</v>
      </c>
      <c r="K256" s="71"/>
      <c r="L256" s="71" t="n">
        <v>0</v>
      </c>
      <c r="M256" s="71"/>
      <c r="N256" s="42" t="n">
        <f aca="false">SUM(H256:L256)</f>
        <v>-6562</v>
      </c>
      <c r="O256" s="172"/>
      <c r="P256" s="4"/>
      <c r="Q256" s="173"/>
      <c r="R256" s="4"/>
      <c r="S256" s="173"/>
      <c r="T256" s="4"/>
      <c r="U256" s="173"/>
      <c r="V256" s="42" t="n">
        <f aca="false">SUM(P256:T256)</f>
        <v>0</v>
      </c>
      <c r="W256" s="118"/>
      <c r="X256" s="4"/>
      <c r="Y256" s="172"/>
      <c r="Z256" s="174"/>
      <c r="AA256" s="174"/>
      <c r="AB256" s="174"/>
      <c r="AC256" s="174"/>
      <c r="AD256" s="42" t="n">
        <f aca="false">SUM(X256:AB256)</f>
        <v>0</v>
      </c>
      <c r="AE256" s="174"/>
      <c r="AF256" s="174"/>
    </row>
    <row r="257" customFormat="false" ht="12.75" hidden="false" customHeight="false" outlineLevel="0" collapsed="false">
      <c r="A257" s="135"/>
      <c r="B257" s="136"/>
      <c r="C257" s="39" t="s">
        <v>500</v>
      </c>
      <c r="D257" s="39"/>
      <c r="E257" s="39"/>
      <c r="F257" s="37"/>
      <c r="G257" s="129"/>
      <c r="H257" s="176" t="e">
        <f aca="false">SUM(H245:H256)</f>
        <v>#REF!</v>
      </c>
      <c r="I257" s="42"/>
      <c r="J257" s="176" t="e">
        <f aca="false">SUM(J245:J256)</f>
        <v>#REF!</v>
      </c>
      <c r="K257" s="42"/>
      <c r="L257" s="176" t="e">
        <f aca="false">SUM(L245:L256)</f>
        <v>#REF!</v>
      </c>
      <c r="M257" s="42"/>
      <c r="N257" s="176" t="e">
        <f aca="false">SUM(N245:N256)</f>
        <v>#REF!</v>
      </c>
      <c r="O257" s="42"/>
      <c r="P257" s="176" t="n">
        <f aca="false">SUM(P244:P256)</f>
        <v>16232</v>
      </c>
      <c r="Q257" s="173"/>
      <c r="R257" s="176" t="n">
        <f aca="false">SUM(R244:R256)</f>
        <v>-16232</v>
      </c>
      <c r="S257" s="173"/>
      <c r="T257" s="176" t="n">
        <f aca="false">SUM(T244:T256)</f>
        <v>0</v>
      </c>
      <c r="U257" s="173"/>
      <c r="V257" s="176" t="n">
        <f aca="false">SUM(V245:V256)</f>
        <v>0</v>
      </c>
      <c r="W257" s="42"/>
      <c r="X257" s="176" t="n">
        <f aca="false">SUM(X244:X256)</f>
        <v>17093</v>
      </c>
      <c r="Y257" s="173"/>
      <c r="Z257" s="176" t="n">
        <f aca="false">SUM(Z244:Z256)</f>
        <v>-17093</v>
      </c>
      <c r="AA257" s="173"/>
      <c r="AB257" s="176" t="n">
        <f aca="false">SUM(AB244:AB256)</f>
        <v>0</v>
      </c>
      <c r="AC257" s="173"/>
      <c r="AD257" s="176" t="n">
        <f aca="false">SUM(AD245:AD256)</f>
        <v>0</v>
      </c>
      <c r="AE257" s="71"/>
      <c r="AF257" s="39"/>
    </row>
    <row r="258" customFormat="false" ht="12.75" hidden="false" customHeight="false" outlineLevel="0" collapsed="false">
      <c r="A258" s="127"/>
      <c r="B258" s="128"/>
      <c r="C258" s="39"/>
      <c r="D258" s="39"/>
      <c r="E258" s="39"/>
      <c r="F258" s="37"/>
      <c r="G258" s="129"/>
      <c r="H258" s="141"/>
      <c r="I258" s="42"/>
      <c r="J258" s="141"/>
      <c r="K258" s="42"/>
      <c r="L258" s="141"/>
      <c r="M258" s="42"/>
      <c r="N258" s="141"/>
      <c r="O258" s="42"/>
      <c r="P258" s="141"/>
      <c r="Q258" s="177"/>
      <c r="R258" s="141"/>
      <c r="S258" s="177"/>
      <c r="T258" s="141"/>
      <c r="U258" s="177"/>
      <c r="V258" s="141"/>
      <c r="W258" s="42"/>
      <c r="X258" s="141"/>
      <c r="Y258" s="177"/>
      <c r="Z258" s="141"/>
      <c r="AA258" s="177"/>
      <c r="AB258" s="141"/>
      <c r="AC258" s="177"/>
      <c r="AD258" s="141"/>
      <c r="AE258" s="71"/>
      <c r="AF258" s="39"/>
    </row>
    <row r="259" customFormat="false" ht="12.75" hidden="false" customHeight="false" outlineLevel="0" collapsed="false">
      <c r="A259" s="178"/>
      <c r="B259" s="179"/>
      <c r="C259" s="169" t="s">
        <v>501</v>
      </c>
      <c r="D259" s="169"/>
      <c r="E259" s="169"/>
      <c r="F259" s="180"/>
      <c r="G259" s="181"/>
      <c r="H259" s="167" t="n">
        <v>-5000</v>
      </c>
      <c r="I259" s="167"/>
      <c r="J259" s="167" t="n">
        <v>2500</v>
      </c>
      <c r="K259" s="167"/>
      <c r="L259" s="167" t="n">
        <v>0</v>
      </c>
      <c r="M259" s="167"/>
      <c r="N259" s="167" t="n">
        <f aca="false">SUM(H259:L259)</f>
        <v>-2500</v>
      </c>
      <c r="O259" s="167"/>
      <c r="P259" s="167"/>
      <c r="Q259" s="182"/>
      <c r="R259" s="167"/>
      <c r="S259" s="182"/>
      <c r="T259" s="167"/>
      <c r="U259" s="182"/>
      <c r="V259" s="167" t="n">
        <f aca="false">SUM(P259:T259)</f>
        <v>0</v>
      </c>
      <c r="W259" s="167"/>
      <c r="X259" s="167"/>
      <c r="Y259" s="182"/>
      <c r="Z259" s="167"/>
      <c r="AA259" s="182"/>
      <c r="AB259" s="167"/>
      <c r="AC259" s="182"/>
      <c r="AD259" s="167" t="n">
        <f aca="false">SUM(X259:AB259)</f>
        <v>0</v>
      </c>
      <c r="AE259" s="168"/>
      <c r="AF259" s="169"/>
    </row>
    <row r="260" customFormat="false" ht="12.75" hidden="false" customHeight="false" outlineLevel="0" collapsed="false">
      <c r="A260" s="135"/>
      <c r="B260" s="158"/>
      <c r="C260" s="38"/>
      <c r="D260" s="4"/>
      <c r="E260" s="4"/>
      <c r="F260" s="68"/>
      <c r="G260" s="140"/>
      <c r="H260" s="42"/>
      <c r="I260" s="42"/>
      <c r="J260" s="42"/>
      <c r="K260" s="42"/>
      <c r="L260" s="42"/>
      <c r="M260" s="42"/>
      <c r="N260" s="42"/>
      <c r="O260" s="42"/>
      <c r="P260" s="42"/>
      <c r="Q260" s="173"/>
      <c r="R260" s="42"/>
      <c r="S260" s="173"/>
      <c r="T260" s="42"/>
      <c r="U260" s="173"/>
      <c r="V260" s="42"/>
      <c r="W260" s="42"/>
      <c r="X260" s="42"/>
      <c r="Y260" s="42"/>
      <c r="Z260" s="42"/>
      <c r="AA260" s="42"/>
      <c r="AB260" s="42"/>
      <c r="AC260" s="42"/>
      <c r="AD260" s="42"/>
      <c r="AE260" s="71"/>
      <c r="AF260" s="39"/>
    </row>
    <row r="261" customFormat="false" ht="12.75" hidden="false" customHeight="false" outlineLevel="0" collapsed="false">
      <c r="A261" s="142"/>
      <c r="B261" s="159"/>
      <c r="C261" s="150" t="s">
        <v>502</v>
      </c>
      <c r="D261" s="151"/>
      <c r="E261" s="151"/>
      <c r="F261" s="152"/>
      <c r="G261" s="153"/>
      <c r="H261" s="147" t="e">
        <f aca="false">+H111+H118+H125+H142+H171+H186+H242+H257+H259</f>
        <v>#REF!</v>
      </c>
      <c r="I261" s="55"/>
      <c r="J261" s="147" t="e">
        <f aca="false">+J111+J118+J125+J142+J171+J186+J242+J257+J259</f>
        <v>#REF!</v>
      </c>
      <c r="K261" s="55"/>
      <c r="L261" s="147" t="e">
        <f aca="false">+L111+L118+L125+L142+L171+L186+L242+L257+L259</f>
        <v>#REF!</v>
      </c>
      <c r="M261" s="55"/>
      <c r="N261" s="147" t="e">
        <f aca="false">+N111+N118+N125+N142+N171+N186+N242+N257+N259</f>
        <v>#REF!</v>
      </c>
      <c r="O261" s="55"/>
      <c r="P261" s="147" t="n">
        <f aca="false">+P111+P118+P125+P142+P171+P186+P242+P257+P259</f>
        <v>265698</v>
      </c>
      <c r="Q261" s="55"/>
      <c r="R261" s="147" t="n">
        <f aca="false">+R111+R118+R125+R142+R171+R186+R242+R257+R259</f>
        <v>-273999</v>
      </c>
      <c r="S261" s="55"/>
      <c r="T261" s="147" t="n">
        <f aca="false">+T111+T118+T125+T142+T171+T186+T242+T257+T259</f>
        <v>-4674</v>
      </c>
      <c r="U261" s="55"/>
      <c r="V261" s="147" t="n">
        <f aca="false">+V111+V118+V125+V142+V171+V186+V242+V257+V259</f>
        <v>-12975</v>
      </c>
      <c r="W261" s="55"/>
      <c r="X261" s="147" t="n">
        <f aca="false">+X111+X118+X125+X142+X171+X186+X242+X257+X259</f>
        <v>247148</v>
      </c>
      <c r="Y261" s="55"/>
      <c r="Z261" s="147" t="n">
        <f aca="false">+Z111+Z118+Z125+Z142+Z171+Z186+Z242+Z257+Z259</f>
        <v>-254687</v>
      </c>
      <c r="AA261" s="55"/>
      <c r="AB261" s="147" t="n">
        <f aca="false">+AB111+AB118+AB125+AB142+AB171+AB186+AB242+AB257+AB259</f>
        <v>-4969</v>
      </c>
      <c r="AC261" s="55"/>
      <c r="AD261" s="147" t="n">
        <f aca="false">+AD111+AD118+AD125+AD142+AD171+AD186+AD242+AD257+AD259</f>
        <v>-12508</v>
      </c>
      <c r="AE261" s="148"/>
      <c r="AF261" s="144"/>
    </row>
    <row r="262" customFormat="false" ht="12.75" hidden="false" customHeight="false" outlineLevel="0" collapsed="false">
      <c r="A262" s="135"/>
      <c r="B262" s="158"/>
      <c r="C262" s="38"/>
      <c r="D262" s="4"/>
      <c r="E262" s="4"/>
      <c r="F262" s="68"/>
      <c r="G262" s="140"/>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71"/>
      <c r="AF262" s="39"/>
    </row>
    <row r="263" customFormat="false" ht="12.75" hidden="false" customHeight="false" outlineLevel="0" collapsed="false">
      <c r="A263" s="135"/>
      <c r="B263" s="158"/>
      <c r="C263" s="157" t="s">
        <v>49</v>
      </c>
      <c r="D263" s="4"/>
      <c r="E263" s="4"/>
      <c r="F263" s="68"/>
      <c r="G263" s="140"/>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71"/>
      <c r="AF263" s="39"/>
    </row>
    <row r="264" customFormat="false" ht="12.75" hidden="false" customHeight="false" outlineLevel="0" collapsed="false">
      <c r="A264" s="135" t="s">
        <v>449</v>
      </c>
      <c r="B264" s="136"/>
      <c r="C264" s="138" t="s">
        <v>503</v>
      </c>
      <c r="D264" s="183" t="s">
        <v>504</v>
      </c>
      <c r="E264" s="138"/>
      <c r="F264" s="37" t="n">
        <v>305</v>
      </c>
      <c r="G264" s="129"/>
      <c r="H264" s="42" t="n">
        <v>0</v>
      </c>
      <c r="I264" s="42"/>
      <c r="J264" s="42" t="n">
        <v>0</v>
      </c>
      <c r="K264" s="42"/>
      <c r="L264" s="42" t="n">
        <v>0</v>
      </c>
      <c r="M264" s="42"/>
      <c r="N264" s="42" t="n">
        <f aca="false">SUM(H264:L264)</f>
        <v>0</v>
      </c>
      <c r="O264" s="42"/>
      <c r="P264" s="42" t="n">
        <v>0</v>
      </c>
      <c r="Q264" s="42"/>
      <c r="R264" s="42" t="n">
        <v>0</v>
      </c>
      <c r="S264" s="42"/>
      <c r="T264" s="42" t="n">
        <v>-227</v>
      </c>
      <c r="U264" s="42"/>
      <c r="V264" s="42" t="n">
        <f aca="false">SUM(P264:T264)</f>
        <v>-227</v>
      </c>
      <c r="W264" s="42"/>
      <c r="X264" s="42" t="n">
        <v>333</v>
      </c>
      <c r="Y264" s="42"/>
      <c r="Z264" s="42" t="n">
        <v>0</v>
      </c>
      <c r="AA264" s="42"/>
      <c r="AB264" s="42" t="n">
        <v>-227</v>
      </c>
      <c r="AC264" s="42"/>
      <c r="AD264" s="42" t="n">
        <f aca="false">SUM(X264:AB264)</f>
        <v>106</v>
      </c>
      <c r="AE264" s="71"/>
      <c r="AF264" s="39"/>
    </row>
    <row r="265" customFormat="false" ht="12.75" hidden="false" customHeight="false" outlineLevel="0" collapsed="false">
      <c r="A265" s="135" t="s">
        <v>449</v>
      </c>
      <c r="B265" s="136"/>
      <c r="C265" s="137" t="e">
        <f aca="false">+#REF!</f>
        <v>#REF!</v>
      </c>
      <c r="D265" s="137" t="e">
        <f aca="false">+#REF!</f>
        <v>#REF!</v>
      </c>
      <c r="E265" s="137"/>
      <c r="F265" s="37" t="e">
        <f aca="false">+#REF!</f>
        <v>#REF!</v>
      </c>
      <c r="G265" s="129"/>
      <c r="H265" s="42" t="e">
        <f aca="false">ROUND(#REF!/1000,0)</f>
        <v>#REF!</v>
      </c>
      <c r="I265" s="42"/>
      <c r="J265" s="42" t="e">
        <f aca="false">ROUND(#REF!/1000,0)</f>
        <v>#REF!</v>
      </c>
      <c r="K265" s="42"/>
      <c r="L265" s="42" t="e">
        <f aca="false">-ROUND((#REF!-#REF!)/1000,0)</f>
        <v>#REF!</v>
      </c>
      <c r="M265" s="42"/>
      <c r="N265" s="42" t="e">
        <f aca="false">SUM(H265:L265)</f>
        <v>#REF!</v>
      </c>
      <c r="O265" s="42"/>
      <c r="P265" s="42" t="n">
        <v>0</v>
      </c>
      <c r="Q265" s="42"/>
      <c r="R265" s="42" t="n">
        <v>0</v>
      </c>
      <c r="S265" s="42"/>
      <c r="T265" s="42" t="n">
        <v>0</v>
      </c>
      <c r="U265" s="42"/>
      <c r="V265" s="42" t="n">
        <f aca="false">SUM(P265:T265)</f>
        <v>0</v>
      </c>
      <c r="W265" s="42"/>
      <c r="X265" s="42" t="n">
        <v>0</v>
      </c>
      <c r="Y265" s="42"/>
      <c r="Z265" s="42" t="n">
        <v>0</v>
      </c>
      <c r="AA265" s="42"/>
      <c r="AB265" s="42" t="n">
        <v>0</v>
      </c>
      <c r="AC265" s="42"/>
      <c r="AD265" s="42" t="n">
        <f aca="false">SUM(X265:AB265)</f>
        <v>0</v>
      </c>
      <c r="AE265" s="71"/>
      <c r="AF265" s="39"/>
    </row>
    <row r="266" customFormat="false" ht="12.75" hidden="false" customHeight="false" outlineLevel="0" collapsed="false">
      <c r="A266" s="135" t="n">
        <v>11</v>
      </c>
      <c r="B266" s="136"/>
      <c r="C266" s="137" t="e">
        <f aca="false">+#REF!</f>
        <v>#REF!</v>
      </c>
      <c r="D266" s="183" t="e">
        <f aca="false">+#REF!</f>
        <v>#REF!</v>
      </c>
      <c r="E266" s="137"/>
      <c r="F266" s="37" t="e">
        <f aca="false">+#REF!</f>
        <v>#REF!</v>
      </c>
      <c r="G266" s="129"/>
      <c r="H266" s="42" t="e">
        <f aca="false">ROUND(#REF!/1000,0)</f>
        <v>#REF!</v>
      </c>
      <c r="I266" s="42"/>
      <c r="J266" s="42" t="e">
        <f aca="false">ROUND(#REF!/1000,0)</f>
        <v>#REF!</v>
      </c>
      <c r="K266" s="42"/>
      <c r="L266" s="42" t="e">
        <f aca="false">-ROUND((#REF!-#REF!)/1000,0)</f>
        <v>#REF!</v>
      </c>
      <c r="M266" s="42"/>
      <c r="N266" s="42" t="e">
        <f aca="false">SUM(H266:L266)</f>
        <v>#REF!</v>
      </c>
      <c r="O266" s="42"/>
      <c r="P266" s="42" t="n">
        <v>0</v>
      </c>
      <c r="Q266" s="42"/>
      <c r="R266" s="42" t="n">
        <v>0</v>
      </c>
      <c r="S266" s="42"/>
      <c r="T266" s="42" t="n">
        <v>0</v>
      </c>
      <c r="U266" s="42"/>
      <c r="V266" s="42" t="n">
        <f aca="false">SUM(P266:T266)</f>
        <v>0</v>
      </c>
      <c r="W266" s="42"/>
      <c r="X266" s="42" t="n">
        <v>0</v>
      </c>
      <c r="Y266" s="42"/>
      <c r="Z266" s="42" t="n">
        <v>0</v>
      </c>
      <c r="AA266" s="42"/>
      <c r="AB266" s="42" t="n">
        <v>0</v>
      </c>
      <c r="AC266" s="42"/>
      <c r="AD266" s="42" t="n">
        <f aca="false">SUM(X266:AB266)</f>
        <v>0</v>
      </c>
      <c r="AE266" s="71"/>
      <c r="AF266" s="39" t="s">
        <v>477</v>
      </c>
    </row>
    <row r="267" customFormat="false" ht="12.75" hidden="false" customHeight="false" outlineLevel="0" collapsed="false">
      <c r="A267" s="135" t="n">
        <v>11</v>
      </c>
      <c r="B267" s="136"/>
      <c r="C267" s="137" t="e">
        <f aca="false">+#REF!</f>
        <v>#REF!</v>
      </c>
      <c r="D267" s="137" t="e">
        <f aca="false">+#REF!</f>
        <v>#REF!</v>
      </c>
      <c r="E267" s="137"/>
      <c r="F267" s="37" t="e">
        <f aca="false">+#REF!</f>
        <v>#REF!</v>
      </c>
      <c r="G267" s="129"/>
      <c r="H267" s="42" t="e">
        <f aca="false">ROUND(#REF!/1000,0)</f>
        <v>#REF!</v>
      </c>
      <c r="I267" s="42"/>
      <c r="J267" s="42" t="e">
        <f aca="false">ROUND(#REF!/1000,0)</f>
        <v>#REF!</v>
      </c>
      <c r="K267" s="42"/>
      <c r="L267" s="42" t="e">
        <f aca="false">-ROUND((#REF!-#REF!)/1000,0)</f>
        <v>#REF!</v>
      </c>
      <c r="M267" s="42"/>
      <c r="N267" s="42" t="e">
        <f aca="false">SUM(H267:L267)</f>
        <v>#REF!</v>
      </c>
      <c r="O267" s="42"/>
      <c r="P267" s="42" t="n">
        <v>0</v>
      </c>
      <c r="Q267" s="42"/>
      <c r="R267" s="42" t="n">
        <v>900</v>
      </c>
      <c r="S267" s="42"/>
      <c r="T267" s="42" t="n">
        <v>0</v>
      </c>
      <c r="U267" s="42"/>
      <c r="V267" s="42" t="n">
        <f aca="false">SUM(P267:T267)</f>
        <v>900</v>
      </c>
      <c r="W267" s="42"/>
      <c r="X267" s="42" t="n">
        <v>0</v>
      </c>
      <c r="Y267" s="42"/>
      <c r="Z267" s="42" t="n">
        <v>900</v>
      </c>
      <c r="AA267" s="42"/>
      <c r="AB267" s="42" t="n">
        <v>0</v>
      </c>
      <c r="AC267" s="42"/>
      <c r="AD267" s="42" t="n">
        <f aca="false">SUM(X267:AB267)</f>
        <v>900</v>
      </c>
      <c r="AE267" s="71"/>
      <c r="AF267" s="39" t="s">
        <v>477</v>
      </c>
    </row>
    <row r="268" customFormat="false" ht="12.75" hidden="false" customHeight="false" outlineLevel="0" collapsed="false">
      <c r="A268" s="135" t="s">
        <v>449</v>
      </c>
      <c r="B268" s="136"/>
      <c r="C268" s="139" t="e">
        <f aca="false">+#REF!</f>
        <v>#REF!</v>
      </c>
      <c r="D268" s="139" t="e">
        <f aca="false">+#REF!</f>
        <v>#REF!</v>
      </c>
      <c r="E268" s="139"/>
      <c r="F268" s="68" t="e">
        <f aca="false">+#REF!</f>
        <v>#REF!</v>
      </c>
      <c r="G268" s="140"/>
      <c r="H268" s="42" t="e">
        <f aca="false">ROUND(#REF!/1000,0)</f>
        <v>#REF!</v>
      </c>
      <c r="I268" s="42"/>
      <c r="J268" s="42" t="e">
        <f aca="false">ROUND(#REF!/1000,0)</f>
        <v>#REF!</v>
      </c>
      <c r="K268" s="42"/>
      <c r="L268" s="42" t="e">
        <f aca="false">-ROUND((#REF!-#REF!)/1000,0)</f>
        <v>#REF!</v>
      </c>
      <c r="M268" s="42"/>
      <c r="N268" s="42" t="e">
        <f aca="false">SUM(H268:L268)</f>
        <v>#REF!</v>
      </c>
      <c r="O268" s="42"/>
      <c r="P268" s="42" t="n">
        <v>0</v>
      </c>
      <c r="Q268" s="42"/>
      <c r="R268" s="42" t="n">
        <v>0</v>
      </c>
      <c r="S268" s="42"/>
      <c r="T268" s="42" t="n">
        <v>0</v>
      </c>
      <c r="U268" s="42"/>
      <c r="V268" s="42" t="n">
        <f aca="false">SUM(P268:T268)</f>
        <v>0</v>
      </c>
      <c r="W268" s="42"/>
      <c r="X268" s="42" t="n">
        <v>0</v>
      </c>
      <c r="Y268" s="42"/>
      <c r="Z268" s="42" t="n">
        <v>0</v>
      </c>
      <c r="AA268" s="42"/>
      <c r="AB268" s="42" t="n">
        <v>0</v>
      </c>
      <c r="AC268" s="42"/>
      <c r="AD268" s="42" t="n">
        <f aca="false">SUM(X268:AB268)</f>
        <v>0</v>
      </c>
      <c r="AE268" s="71"/>
      <c r="AF268" s="39"/>
    </row>
    <row r="269" customFormat="false" ht="12.75" hidden="false" customHeight="false" outlineLevel="0" collapsed="false">
      <c r="A269" s="135"/>
      <c r="B269" s="136"/>
      <c r="C269" s="138" t="s">
        <v>505</v>
      </c>
      <c r="D269" s="183" t="s">
        <v>504</v>
      </c>
      <c r="E269" s="138"/>
      <c r="F269" s="37" t="n">
        <v>1280</v>
      </c>
      <c r="G269" s="129"/>
      <c r="H269" s="42" t="n">
        <v>0</v>
      </c>
      <c r="I269" s="42"/>
      <c r="J269" s="42" t="n">
        <v>0</v>
      </c>
      <c r="K269" s="42"/>
      <c r="L269" s="42" t="n">
        <v>0</v>
      </c>
      <c r="M269" s="42"/>
      <c r="N269" s="42" t="n">
        <f aca="false">SUM(H269:L269)</f>
        <v>0</v>
      </c>
      <c r="O269" s="42"/>
      <c r="P269" s="42" t="n">
        <v>0</v>
      </c>
      <c r="Q269" s="42"/>
      <c r="R269" s="42" t="n">
        <v>0</v>
      </c>
      <c r="S269" s="42"/>
      <c r="T269" s="42" t="n">
        <v>0</v>
      </c>
      <c r="U269" s="42"/>
      <c r="V269" s="42" t="n">
        <f aca="false">SUM(P269:T269)</f>
        <v>0</v>
      </c>
      <c r="W269" s="42"/>
      <c r="X269" s="42" t="n">
        <v>325</v>
      </c>
      <c r="Y269" s="42"/>
      <c r="Z269" s="42" t="n">
        <v>0</v>
      </c>
      <c r="AA269" s="42"/>
      <c r="AB269" s="42" t="n">
        <v>0</v>
      </c>
      <c r="AC269" s="42"/>
      <c r="AD269" s="42" t="n">
        <f aca="false">SUM(X269:AB269)</f>
        <v>325</v>
      </c>
      <c r="AE269" s="71"/>
      <c r="AF269" s="39"/>
    </row>
    <row r="270" customFormat="false" ht="12.75" hidden="false" customHeight="false" outlineLevel="0" collapsed="false">
      <c r="A270" s="135" t="s">
        <v>449</v>
      </c>
      <c r="B270" s="136"/>
      <c r="C270" s="139" t="e">
        <f aca="false">+#REF!</f>
        <v>#REF!</v>
      </c>
      <c r="D270" s="139" t="e">
        <f aca="false">+#REF!</f>
        <v>#REF!</v>
      </c>
      <c r="E270" s="139"/>
      <c r="F270" s="68" t="e">
        <f aca="false">+#REF!</f>
        <v>#REF!</v>
      </c>
      <c r="G270" s="140"/>
      <c r="H270" s="42" t="e">
        <f aca="false">ROUND(#REF!/1000,0)</f>
        <v>#REF!</v>
      </c>
      <c r="I270" s="42"/>
      <c r="J270" s="42" t="e">
        <f aca="false">ROUND(#REF!/1000,0)</f>
        <v>#REF!</v>
      </c>
      <c r="K270" s="42"/>
      <c r="L270" s="42" t="e">
        <f aca="false">-ROUND((#REF!-#REF!)/1000,0)</f>
        <v>#REF!</v>
      </c>
      <c r="M270" s="42"/>
      <c r="N270" s="42" t="e">
        <f aca="false">SUM(H270:L270)</f>
        <v>#REF!</v>
      </c>
      <c r="O270" s="42"/>
      <c r="P270" s="42" t="n">
        <v>0</v>
      </c>
      <c r="Q270" s="42"/>
      <c r="R270" s="42" t="n">
        <v>0</v>
      </c>
      <c r="S270" s="42"/>
      <c r="T270" s="42" t="n">
        <v>0</v>
      </c>
      <c r="U270" s="42"/>
      <c r="V270" s="42" t="n">
        <f aca="false">SUM(P270:T270)</f>
        <v>0</v>
      </c>
      <c r="W270" s="42"/>
      <c r="X270" s="42" t="n">
        <v>0</v>
      </c>
      <c r="Y270" s="42"/>
      <c r="Z270" s="42" t="n">
        <v>0</v>
      </c>
      <c r="AA270" s="42"/>
      <c r="AB270" s="42" t="n">
        <v>0</v>
      </c>
      <c r="AC270" s="42"/>
      <c r="AD270" s="42" t="n">
        <f aca="false">SUM(X270:AB270)</f>
        <v>0</v>
      </c>
      <c r="AE270" s="71"/>
      <c r="AF270" s="39"/>
    </row>
    <row r="271" customFormat="false" ht="12.75" hidden="false" customHeight="false" outlineLevel="0" collapsed="false">
      <c r="A271" s="135" t="n">
        <v>11</v>
      </c>
      <c r="B271" s="136"/>
      <c r="C271" s="139" t="e">
        <f aca="false">+#REF!</f>
        <v>#REF!</v>
      </c>
      <c r="D271" s="139" t="e">
        <f aca="false">+#REF!</f>
        <v>#REF!</v>
      </c>
      <c r="E271" s="139"/>
      <c r="F271" s="68" t="e">
        <f aca="false">+#REF!</f>
        <v>#REF!</v>
      </c>
      <c r="G271" s="140"/>
      <c r="H271" s="42" t="e">
        <f aca="false">ROUND(#REF!/1000,0)</f>
        <v>#REF!</v>
      </c>
      <c r="I271" s="42"/>
      <c r="J271" s="42" t="e">
        <f aca="false">ROUND(#REF!/1000,0)</f>
        <v>#REF!</v>
      </c>
      <c r="K271" s="42"/>
      <c r="L271" s="42" t="e">
        <f aca="false">-ROUND((#REF!-#REF!)/1000,0)</f>
        <v>#REF!</v>
      </c>
      <c r="M271" s="42"/>
      <c r="N271" s="42" t="e">
        <f aca="false">SUM(H271:L271)</f>
        <v>#REF!</v>
      </c>
      <c r="O271" s="42"/>
      <c r="P271" s="42" t="n">
        <v>915</v>
      </c>
      <c r="Q271" s="42"/>
      <c r="R271" s="42" t="n">
        <v>0</v>
      </c>
      <c r="S271" s="42"/>
      <c r="T271" s="42" t="n">
        <v>-623</v>
      </c>
      <c r="U271" s="42"/>
      <c r="V271" s="42" t="n">
        <f aca="false">SUM(P271:T271)</f>
        <v>292</v>
      </c>
      <c r="W271" s="42"/>
      <c r="X271" s="42" t="n">
        <v>915</v>
      </c>
      <c r="Y271" s="42"/>
      <c r="Z271" s="42" t="n">
        <v>0</v>
      </c>
      <c r="AA271" s="42"/>
      <c r="AB271" s="42" t="n">
        <v>-623</v>
      </c>
      <c r="AC271" s="42"/>
      <c r="AD271" s="42" t="n">
        <f aca="false">SUM(X271:AB271)</f>
        <v>292</v>
      </c>
      <c r="AE271" s="71"/>
      <c r="AF271" s="39"/>
    </row>
    <row r="272" customFormat="false" ht="12.75" hidden="false" customHeight="false" outlineLevel="0" collapsed="false">
      <c r="A272" s="135"/>
      <c r="B272" s="136"/>
      <c r="C272" s="138" t="s">
        <v>506</v>
      </c>
      <c r="D272" s="171"/>
      <c r="E272" s="171"/>
      <c r="F272" s="68"/>
      <c r="G272" s="140"/>
      <c r="H272" s="42"/>
      <c r="I272" s="42"/>
      <c r="J272" s="42"/>
      <c r="K272" s="42"/>
      <c r="L272" s="42"/>
      <c r="M272" s="42"/>
      <c r="N272" s="42" t="n">
        <f aca="false">SUM(H272:L272)</f>
        <v>0</v>
      </c>
      <c r="O272" s="42"/>
      <c r="P272" s="42" t="n">
        <v>0</v>
      </c>
      <c r="Q272" s="42"/>
      <c r="R272" s="42" t="n">
        <v>0</v>
      </c>
      <c r="S272" s="42"/>
      <c r="T272" s="42" t="n">
        <v>0</v>
      </c>
      <c r="U272" s="42"/>
      <c r="V272" s="42" t="n">
        <f aca="false">SUM(P272:T272)</f>
        <v>0</v>
      </c>
      <c r="W272" s="42"/>
      <c r="X272" s="42" t="n">
        <f aca="false">1088+872+22+172+1632</f>
        <v>3786</v>
      </c>
      <c r="Y272" s="42"/>
      <c r="Z272" s="42" t="n">
        <v>0</v>
      </c>
      <c r="AA272" s="42"/>
      <c r="AB272" s="42" t="n">
        <v>-2690</v>
      </c>
      <c r="AC272" s="42"/>
      <c r="AD272" s="42" t="n">
        <f aca="false">SUM(X272:AB272)</f>
        <v>1096</v>
      </c>
      <c r="AE272" s="71"/>
      <c r="AF272" s="39"/>
    </row>
    <row r="273" customFormat="false" ht="12.75" hidden="false" customHeight="false" outlineLevel="0" collapsed="false">
      <c r="A273" s="135"/>
      <c r="B273" s="136"/>
      <c r="C273" s="139" t="e">
        <f aca="false">+#REF!</f>
        <v>#REF!</v>
      </c>
      <c r="D273" s="139" t="e">
        <f aca="false">+#REF!</f>
        <v>#REF!</v>
      </c>
      <c r="E273" s="68"/>
      <c r="F273" s="68" t="e">
        <f aca="false">+#REF!</f>
        <v>#REF!</v>
      </c>
      <c r="G273" s="140"/>
      <c r="H273" s="42" t="e">
        <f aca="false">ROUND(#REF!/1000,0)</f>
        <v>#REF!</v>
      </c>
      <c r="I273" s="42"/>
      <c r="J273" s="42" t="e">
        <f aca="false">ROUND(#REF!/1000,0)</f>
        <v>#REF!</v>
      </c>
      <c r="K273" s="42"/>
      <c r="L273" s="42" t="e">
        <f aca="false">-ROUND((#REF!-#REF!)/1000,0)</f>
        <v>#REF!</v>
      </c>
      <c r="M273" s="42"/>
      <c r="N273" s="42" t="e">
        <f aca="false">SUM(H273:L273)</f>
        <v>#REF!</v>
      </c>
      <c r="O273" s="42"/>
      <c r="P273" s="42" t="n">
        <v>0</v>
      </c>
      <c r="Q273" s="42"/>
      <c r="R273" s="42" t="n">
        <v>0</v>
      </c>
      <c r="S273" s="42"/>
      <c r="T273" s="42" t="n">
        <v>0</v>
      </c>
      <c r="U273" s="42"/>
      <c r="V273" s="42" t="n">
        <f aca="false">SUM(P273:T273)</f>
        <v>0</v>
      </c>
      <c r="W273" s="42"/>
      <c r="X273" s="42" t="n">
        <v>0</v>
      </c>
      <c r="Y273" s="42"/>
      <c r="Z273" s="42" t="n">
        <v>0</v>
      </c>
      <c r="AA273" s="42"/>
      <c r="AB273" s="42" t="n">
        <v>0</v>
      </c>
      <c r="AC273" s="42"/>
      <c r="AD273" s="42" t="n">
        <f aca="false">SUM(X273:AB273)</f>
        <v>0</v>
      </c>
      <c r="AE273" s="71"/>
      <c r="AF273" s="39"/>
    </row>
    <row r="274" customFormat="false" ht="12.75" hidden="false" customHeight="false" outlineLevel="0" collapsed="false">
      <c r="A274" s="135"/>
      <c r="B274" s="136"/>
      <c r="C274" s="139" t="e">
        <f aca="false">+#REF!</f>
        <v>#REF!</v>
      </c>
      <c r="D274" s="139" t="e">
        <f aca="false">+#REF!</f>
        <v>#REF!</v>
      </c>
      <c r="E274" s="68"/>
      <c r="F274" s="68" t="e">
        <f aca="false">+#REF!</f>
        <v>#REF!</v>
      </c>
      <c r="G274" s="140"/>
      <c r="H274" s="42" t="e">
        <f aca="false">ROUND(#REF!/1000,0)</f>
        <v>#REF!</v>
      </c>
      <c r="I274" s="42"/>
      <c r="J274" s="42" t="e">
        <f aca="false">ROUND(#REF!/1000,0)</f>
        <v>#REF!</v>
      </c>
      <c r="K274" s="42"/>
      <c r="L274" s="42" t="e">
        <f aca="false">-ROUND((#REF!-#REF!)/1000,0)</f>
        <v>#REF!</v>
      </c>
      <c r="M274" s="42"/>
      <c r="N274" s="42" t="e">
        <f aca="false">SUM(H274:L274)</f>
        <v>#REF!</v>
      </c>
      <c r="O274" s="42"/>
      <c r="P274" s="42" t="n">
        <v>0</v>
      </c>
      <c r="Q274" s="42"/>
      <c r="R274" s="42" t="n">
        <v>0</v>
      </c>
      <c r="S274" s="42"/>
      <c r="T274" s="42" t="n">
        <v>0</v>
      </c>
      <c r="U274" s="42"/>
      <c r="V274" s="42" t="n">
        <f aca="false">SUM(P274:T274)</f>
        <v>0</v>
      </c>
      <c r="W274" s="42"/>
      <c r="X274" s="42" t="n">
        <v>0</v>
      </c>
      <c r="Y274" s="42"/>
      <c r="Z274" s="42" t="n">
        <v>0</v>
      </c>
      <c r="AA274" s="42"/>
      <c r="AB274" s="42" t="n">
        <v>0</v>
      </c>
      <c r="AC274" s="42"/>
      <c r="AD274" s="42" t="n">
        <f aca="false">SUM(X274:AB274)</f>
        <v>0</v>
      </c>
      <c r="AE274" s="71"/>
      <c r="AF274" s="39"/>
    </row>
    <row r="275" customFormat="false" ht="12.75" hidden="false" customHeight="false" outlineLevel="0" collapsed="false">
      <c r="A275" s="135" t="n">
        <v>1</v>
      </c>
      <c r="B275" s="136"/>
      <c r="C275" s="139" t="e">
        <f aca="false">+#REF!</f>
        <v>#REF!</v>
      </c>
      <c r="D275" s="139" t="e">
        <f aca="false">+#REF!</f>
        <v>#REF!</v>
      </c>
      <c r="E275" s="139"/>
      <c r="F275" s="68" t="e">
        <f aca="false">+#REF!</f>
        <v>#REF!</v>
      </c>
      <c r="G275" s="140"/>
      <c r="H275" s="42" t="e">
        <f aca="false">ROUND(#REF!/1000,0)</f>
        <v>#REF!</v>
      </c>
      <c r="I275" s="42"/>
      <c r="J275" s="42" t="e">
        <f aca="false">ROUND(#REF!/1000,0)</f>
        <v>#REF!</v>
      </c>
      <c r="K275" s="42"/>
      <c r="L275" s="42" t="e">
        <f aca="false">-ROUND((#REF!-#REF!)/1000,0)</f>
        <v>#REF!</v>
      </c>
      <c r="M275" s="42"/>
      <c r="N275" s="42" t="e">
        <f aca="false">SUM(H275:L275)</f>
        <v>#REF!</v>
      </c>
      <c r="O275" s="42"/>
      <c r="P275" s="42" t="n">
        <v>0</v>
      </c>
      <c r="Q275" s="42"/>
      <c r="R275" s="42" t="n">
        <v>0</v>
      </c>
      <c r="S275" s="42"/>
      <c r="T275" s="42" t="n">
        <v>0</v>
      </c>
      <c r="U275" s="42"/>
      <c r="V275" s="42" t="n">
        <f aca="false">SUM(P275:T275)</f>
        <v>0</v>
      </c>
      <c r="W275" s="42"/>
      <c r="X275" s="42" t="n">
        <v>0</v>
      </c>
      <c r="Y275" s="42"/>
      <c r="Z275" s="42" t="n">
        <v>0</v>
      </c>
      <c r="AA275" s="42"/>
      <c r="AB275" s="42" t="n">
        <v>0</v>
      </c>
      <c r="AC275" s="42"/>
      <c r="AD275" s="42" t="n">
        <f aca="false">SUM(X275:AB275)</f>
        <v>0</v>
      </c>
      <c r="AE275" s="71"/>
      <c r="AF275" s="39"/>
    </row>
    <row r="276" customFormat="false" ht="12.75" hidden="false" customHeight="false" outlineLevel="0" collapsed="false">
      <c r="A276" s="135" t="s">
        <v>449</v>
      </c>
      <c r="B276" s="136"/>
      <c r="C276" s="139" t="e">
        <f aca="false">+#REF!</f>
        <v>#REF!</v>
      </c>
      <c r="D276" s="139" t="e">
        <f aca="false">+#REF!</f>
        <v>#REF!</v>
      </c>
      <c r="E276" s="139"/>
      <c r="F276" s="68" t="e">
        <f aca="false">+#REF!</f>
        <v>#REF!</v>
      </c>
      <c r="G276" s="140"/>
      <c r="H276" s="42" t="e">
        <f aca="false">ROUND(#REF!/1000,0)</f>
        <v>#REF!</v>
      </c>
      <c r="I276" s="42"/>
      <c r="J276" s="42" t="e">
        <f aca="false">ROUND(#REF!/1000,0)</f>
        <v>#REF!</v>
      </c>
      <c r="K276" s="42"/>
      <c r="L276" s="42" t="e">
        <f aca="false">-ROUND((#REF!-#REF!)/1000,0)</f>
        <v>#REF!</v>
      </c>
      <c r="M276" s="42"/>
      <c r="N276" s="42" t="e">
        <f aca="false">SUM(H276:L276)</f>
        <v>#REF!</v>
      </c>
      <c r="O276" s="42"/>
      <c r="P276" s="42" t="n">
        <v>0</v>
      </c>
      <c r="Q276" s="42"/>
      <c r="R276" s="42" t="n">
        <v>0</v>
      </c>
      <c r="S276" s="42"/>
      <c r="T276" s="42" t="n">
        <v>0</v>
      </c>
      <c r="U276" s="42"/>
      <c r="V276" s="42" t="n">
        <f aca="false">SUM(P276:T276)</f>
        <v>0</v>
      </c>
      <c r="W276" s="42"/>
      <c r="X276" s="42" t="n">
        <v>0</v>
      </c>
      <c r="Y276" s="42"/>
      <c r="Z276" s="42" t="n">
        <v>0</v>
      </c>
      <c r="AA276" s="42"/>
      <c r="AB276" s="42" t="n">
        <v>0</v>
      </c>
      <c r="AC276" s="42"/>
      <c r="AD276" s="42" t="n">
        <f aca="false">SUM(X276:AB276)</f>
        <v>0</v>
      </c>
      <c r="AE276" s="71"/>
      <c r="AF276" s="39"/>
    </row>
    <row r="277" customFormat="false" ht="12.75" hidden="false" customHeight="false" outlineLevel="0" collapsed="false">
      <c r="A277" s="135" t="n">
        <v>11</v>
      </c>
      <c r="B277" s="136"/>
      <c r="C277" s="137" t="e">
        <f aca="false">+#REF!</f>
        <v>#REF!</v>
      </c>
      <c r="D277" s="137" t="e">
        <f aca="false">+#REF!</f>
        <v>#REF!</v>
      </c>
      <c r="E277" s="137"/>
      <c r="F277" s="37" t="e">
        <f aca="false">+#REF!</f>
        <v>#REF!</v>
      </c>
      <c r="G277" s="129"/>
      <c r="H277" s="42" t="e">
        <f aca="false">ROUND(#REF!/1000,0)</f>
        <v>#REF!</v>
      </c>
      <c r="I277" s="42"/>
      <c r="J277" s="42" t="e">
        <f aca="false">ROUND(#REF!/1000,0)</f>
        <v>#REF!</v>
      </c>
      <c r="K277" s="42"/>
      <c r="L277" s="42" t="e">
        <f aca="false">-ROUND((#REF!-#REF!)/1000,0)</f>
        <v>#REF!</v>
      </c>
      <c r="M277" s="42"/>
      <c r="N277" s="42" t="e">
        <f aca="false">SUM(H277:L277)</f>
        <v>#REF!</v>
      </c>
      <c r="O277" s="42"/>
      <c r="P277" s="42" t="n">
        <v>2940</v>
      </c>
      <c r="Q277" s="42"/>
      <c r="R277" s="42" t="n">
        <v>-926</v>
      </c>
      <c r="S277" s="42"/>
      <c r="T277" s="42" t="n">
        <v>-247</v>
      </c>
      <c r="U277" s="42"/>
      <c r="V277" s="42" t="n">
        <f aca="false">SUM(P277:T277)</f>
        <v>1767</v>
      </c>
      <c r="W277" s="42"/>
      <c r="X277" s="42" t="n">
        <v>2940</v>
      </c>
      <c r="Y277" s="42"/>
      <c r="Z277" s="42" t="n">
        <v>-1076</v>
      </c>
      <c r="AA277" s="42"/>
      <c r="AB277" s="42" t="n">
        <v>-247</v>
      </c>
      <c r="AC277" s="42"/>
      <c r="AD277" s="42" t="n">
        <f aca="false">SUM(X277:AB277)</f>
        <v>1617</v>
      </c>
      <c r="AE277" s="71"/>
      <c r="AF277" s="39" t="s">
        <v>452</v>
      </c>
    </row>
    <row r="278" customFormat="false" ht="12.75" hidden="false" customHeight="false" outlineLevel="0" collapsed="false">
      <c r="A278" s="135"/>
      <c r="B278" s="136"/>
      <c r="C278" s="138" t="s">
        <v>49</v>
      </c>
      <c r="D278" s="171"/>
      <c r="E278" s="171"/>
      <c r="F278" s="68"/>
      <c r="G278" s="140"/>
      <c r="H278" s="42" t="n">
        <v>0</v>
      </c>
      <c r="I278" s="42"/>
      <c r="J278" s="42" t="n">
        <v>0</v>
      </c>
      <c r="K278" s="42"/>
      <c r="L278" s="42" t="n">
        <v>0</v>
      </c>
      <c r="M278" s="42"/>
      <c r="N278" s="42" t="n">
        <f aca="false">SUM(H278:L278)</f>
        <v>0</v>
      </c>
      <c r="O278" s="42"/>
      <c r="P278" s="42" t="n">
        <v>0</v>
      </c>
      <c r="Q278" s="42"/>
      <c r="R278" s="42" t="n">
        <v>1010</v>
      </c>
      <c r="S278" s="42"/>
      <c r="T278" s="42" t="n">
        <v>0</v>
      </c>
      <c r="U278" s="42"/>
      <c r="V278" s="42" t="n">
        <f aca="false">SUM(P278:T278)</f>
        <v>1010</v>
      </c>
      <c r="W278" s="42"/>
      <c r="X278" s="42" t="n">
        <v>741</v>
      </c>
      <c r="Y278" s="42"/>
      <c r="Z278" s="42" t="n">
        <v>0</v>
      </c>
      <c r="AA278" s="42"/>
      <c r="AB278" s="42" t="n">
        <v>0</v>
      </c>
      <c r="AC278" s="42"/>
      <c r="AD278" s="42" t="n">
        <f aca="false">SUM(X278:AB278)</f>
        <v>741</v>
      </c>
      <c r="AE278" s="71"/>
      <c r="AF278" s="39"/>
    </row>
    <row r="279" customFormat="false" ht="12.75" hidden="false" customHeight="false" outlineLevel="0" collapsed="false">
      <c r="A279" s="135"/>
      <c r="B279" s="136"/>
      <c r="C279" s="138" t="s">
        <v>507</v>
      </c>
      <c r="D279" s="171"/>
      <c r="E279" s="171"/>
      <c r="F279" s="68"/>
      <c r="G279" s="140"/>
      <c r="H279" s="42" t="n">
        <v>0</v>
      </c>
      <c r="I279" s="42"/>
      <c r="J279" s="42" t="n">
        <v>0</v>
      </c>
      <c r="K279" s="42"/>
      <c r="L279" s="42" t="e">
        <f aca="false">-ROUND((#REF!-#REF!)/1000,0)</f>
        <v>#REF!</v>
      </c>
      <c r="M279" s="42"/>
      <c r="N279" s="42" t="e">
        <f aca="false">SUM(H279:L279)</f>
        <v>#REF!</v>
      </c>
      <c r="O279" s="42"/>
      <c r="P279" s="42" t="n">
        <v>0</v>
      </c>
      <c r="Q279" s="42"/>
      <c r="R279" s="42" t="n">
        <v>0</v>
      </c>
      <c r="S279" s="42"/>
      <c r="T279" s="42" t="n">
        <v>2884</v>
      </c>
      <c r="U279" s="42"/>
      <c r="V279" s="42" t="n">
        <f aca="false">SUM(P279:T279)</f>
        <v>2884</v>
      </c>
      <c r="W279" s="42"/>
      <c r="X279" s="42" t="n">
        <v>0</v>
      </c>
      <c r="Y279" s="42"/>
      <c r="Z279" s="42" t="n">
        <v>0</v>
      </c>
      <c r="AA279" s="42"/>
      <c r="AB279" s="42" t="n">
        <v>2884</v>
      </c>
      <c r="AC279" s="42"/>
      <c r="AD279" s="42" t="n">
        <f aca="false">SUM(X279:AB279)</f>
        <v>2884</v>
      </c>
      <c r="AE279" s="71"/>
      <c r="AF279" s="39"/>
    </row>
    <row r="280" customFormat="false" ht="12.75" hidden="false" customHeight="false" outlineLevel="0" collapsed="false">
      <c r="A280" s="135"/>
      <c r="B280" s="136"/>
      <c r="C280" s="138" t="s">
        <v>508</v>
      </c>
      <c r="D280" s="171"/>
      <c r="E280" s="171"/>
      <c r="F280" s="68"/>
      <c r="G280" s="140"/>
      <c r="H280" s="42" t="n">
        <v>0</v>
      </c>
      <c r="I280" s="42"/>
      <c r="J280" s="42" t="n">
        <v>0</v>
      </c>
      <c r="K280" s="42"/>
      <c r="L280" s="42" t="n">
        <v>0</v>
      </c>
      <c r="M280" s="42"/>
      <c r="N280" s="42" t="n">
        <f aca="false">SUM(H280:L280)</f>
        <v>0</v>
      </c>
      <c r="O280" s="42"/>
      <c r="P280" s="42" t="n">
        <v>0</v>
      </c>
      <c r="Q280" s="42"/>
      <c r="R280" s="42" t="n">
        <v>3500</v>
      </c>
      <c r="S280" s="42"/>
      <c r="T280" s="42" t="n">
        <v>0</v>
      </c>
      <c r="U280" s="42"/>
      <c r="V280" s="42" t="n">
        <f aca="false">SUM(P280:T280)</f>
        <v>3500</v>
      </c>
      <c r="W280" s="42"/>
      <c r="X280" s="42" t="n">
        <v>0</v>
      </c>
      <c r="Y280" s="42"/>
      <c r="Z280" s="42" t="n">
        <v>3500</v>
      </c>
      <c r="AA280" s="42"/>
      <c r="AB280" s="42" t="n">
        <v>0</v>
      </c>
      <c r="AC280" s="42"/>
      <c r="AD280" s="42" t="n">
        <f aca="false">SUM(X280:AB280)</f>
        <v>3500</v>
      </c>
      <c r="AE280" s="71"/>
      <c r="AF280" s="39"/>
    </row>
    <row r="281" customFormat="false" ht="12.75" hidden="false" customHeight="false" outlineLevel="0" collapsed="false">
      <c r="A281" s="135" t="n">
        <v>11</v>
      </c>
      <c r="B281" s="136"/>
      <c r="C281" s="137" t="e">
        <f aca="false">+#REF!</f>
        <v>#REF!</v>
      </c>
      <c r="D281" s="137" t="e">
        <f aca="false">+#REF!</f>
        <v>#REF!</v>
      </c>
      <c r="E281" s="137"/>
      <c r="F281" s="37" t="e">
        <f aca="false">+#REF!</f>
        <v>#REF!</v>
      </c>
      <c r="G281" s="129"/>
      <c r="H281" s="42" t="e">
        <f aca="false">ROUND(#REF!/1000,0)</f>
        <v>#REF!</v>
      </c>
      <c r="I281" s="42"/>
      <c r="J281" s="42" t="e">
        <f aca="false">ROUND(#REF!/1000,0)</f>
        <v>#REF!</v>
      </c>
      <c r="K281" s="42"/>
      <c r="L281" s="42" t="e">
        <f aca="false">-ROUND((#REF!-#REF!)/1000,0)</f>
        <v>#REF!</v>
      </c>
      <c r="M281" s="42"/>
      <c r="N281" s="42" t="e">
        <f aca="false">SUM(H281:L281)</f>
        <v>#REF!</v>
      </c>
      <c r="O281" s="42"/>
      <c r="P281" s="42" t="n">
        <v>0</v>
      </c>
      <c r="Q281" s="42"/>
      <c r="R281" s="42" t="n">
        <v>0</v>
      </c>
      <c r="S281" s="42"/>
      <c r="T281" s="42" t="n">
        <v>0</v>
      </c>
      <c r="U281" s="42"/>
      <c r="V281" s="42" t="n">
        <f aca="false">SUM(P281:T281)</f>
        <v>0</v>
      </c>
      <c r="W281" s="42"/>
      <c r="X281" s="42" t="n">
        <v>0</v>
      </c>
      <c r="Y281" s="42"/>
      <c r="Z281" s="42" t="n">
        <v>0</v>
      </c>
      <c r="AA281" s="42"/>
      <c r="AB281" s="42" t="n">
        <v>0</v>
      </c>
      <c r="AC281" s="42"/>
      <c r="AD281" s="42" t="n">
        <f aca="false">SUM(X281:AB281)</f>
        <v>0</v>
      </c>
      <c r="AE281" s="71"/>
      <c r="AF281" s="39"/>
    </row>
    <row r="282" customFormat="false" ht="12.75" hidden="false" customHeight="false" outlineLevel="0" collapsed="false">
      <c r="A282" s="135" t="n">
        <v>11</v>
      </c>
      <c r="B282" s="136"/>
      <c r="C282" s="139" t="e">
        <f aca="false">+#REF!</f>
        <v>#REF!</v>
      </c>
      <c r="D282" s="139" t="e">
        <f aca="false">+#REF!</f>
        <v>#REF!</v>
      </c>
      <c r="E282" s="139"/>
      <c r="F282" s="68" t="e">
        <f aca="false">+#REF!</f>
        <v>#REF!</v>
      </c>
      <c r="G282" s="140"/>
      <c r="H282" s="42" t="e">
        <f aca="false">ROUND(#REF!/1000,0)</f>
        <v>#REF!</v>
      </c>
      <c r="I282" s="42"/>
      <c r="J282" s="42" t="e">
        <f aca="false">ROUND(#REF!/1000,0)</f>
        <v>#REF!</v>
      </c>
      <c r="K282" s="42"/>
      <c r="L282" s="42" t="e">
        <f aca="false">-ROUND((#REF!-#REF!)/1000,0)</f>
        <v>#REF!</v>
      </c>
      <c r="M282" s="42"/>
      <c r="N282" s="42" t="e">
        <f aca="false">SUM(H282:L282)</f>
        <v>#REF!</v>
      </c>
      <c r="O282" s="42"/>
      <c r="P282" s="42" t="n">
        <v>0</v>
      </c>
      <c r="Q282" s="42"/>
      <c r="R282" s="42" t="n">
        <v>0</v>
      </c>
      <c r="S282" s="42"/>
      <c r="T282" s="42" t="n">
        <v>0</v>
      </c>
      <c r="U282" s="42"/>
      <c r="V282" s="42" t="n">
        <f aca="false">SUM(P282:T282)</f>
        <v>0</v>
      </c>
      <c r="W282" s="42"/>
      <c r="X282" s="42" t="n">
        <v>0</v>
      </c>
      <c r="Y282" s="42"/>
      <c r="Z282" s="42" t="n">
        <v>0</v>
      </c>
      <c r="AA282" s="42"/>
      <c r="AB282" s="42" t="n">
        <v>0</v>
      </c>
      <c r="AC282" s="42"/>
      <c r="AD282" s="42" t="n">
        <f aca="false">SUM(X282:AB282)</f>
        <v>0</v>
      </c>
      <c r="AE282" s="71"/>
      <c r="AF282" s="39"/>
    </row>
    <row r="283" customFormat="false" ht="12.75" hidden="false" customHeight="false" outlineLevel="0" collapsed="false">
      <c r="A283" s="135" t="n">
        <v>11</v>
      </c>
      <c r="B283" s="136"/>
      <c r="C283" s="139" t="e">
        <f aca="false">+#REF!</f>
        <v>#REF!</v>
      </c>
      <c r="D283" s="139" t="e">
        <f aca="false">+#REF!</f>
        <v>#REF!</v>
      </c>
      <c r="E283" s="139"/>
      <c r="F283" s="68" t="e">
        <f aca="false">+#REF!</f>
        <v>#REF!</v>
      </c>
      <c r="G283" s="140"/>
      <c r="H283" s="42" t="e">
        <f aca="false">ROUND(#REF!/1000,0)</f>
        <v>#REF!</v>
      </c>
      <c r="I283" s="42"/>
      <c r="J283" s="42" t="e">
        <f aca="false">ROUND(#REF!/1000,0)</f>
        <v>#REF!</v>
      </c>
      <c r="K283" s="42"/>
      <c r="L283" s="42" t="e">
        <f aca="false">-ROUND((#REF!-#REF!)/1000,0)</f>
        <v>#REF!</v>
      </c>
      <c r="M283" s="42"/>
      <c r="N283" s="42" t="e">
        <f aca="false">SUM(H283:L283)</f>
        <v>#REF!</v>
      </c>
      <c r="O283" s="42"/>
      <c r="P283" s="42" t="n">
        <v>0</v>
      </c>
      <c r="Q283" s="42"/>
      <c r="R283" s="42" t="n">
        <v>0</v>
      </c>
      <c r="S283" s="42"/>
      <c r="T283" s="42" t="n">
        <v>0</v>
      </c>
      <c r="U283" s="42"/>
      <c r="V283" s="42" t="n">
        <f aca="false">SUM(P283:T283)</f>
        <v>0</v>
      </c>
      <c r="W283" s="42"/>
      <c r="X283" s="42" t="n">
        <v>0</v>
      </c>
      <c r="Y283" s="42"/>
      <c r="Z283" s="42" t="n">
        <v>0</v>
      </c>
      <c r="AA283" s="42"/>
      <c r="AB283" s="42" t="n">
        <v>0</v>
      </c>
      <c r="AC283" s="42"/>
      <c r="AD283" s="42" t="n">
        <f aca="false">SUM(X283:AB283)</f>
        <v>0</v>
      </c>
      <c r="AE283" s="71"/>
      <c r="AF283" s="39"/>
    </row>
    <row r="284" customFormat="false" ht="12.75" hidden="false" customHeight="false" outlineLevel="0" collapsed="false">
      <c r="A284" s="135" t="n">
        <v>11</v>
      </c>
      <c r="B284" s="136"/>
      <c r="C284" s="139" t="e">
        <f aca="false">+#REF!</f>
        <v>#REF!</v>
      </c>
      <c r="D284" s="139" t="e">
        <f aca="false">+#REF!</f>
        <v>#REF!</v>
      </c>
      <c r="E284" s="139"/>
      <c r="F284" s="68" t="e">
        <f aca="false">+#REF!</f>
        <v>#REF!</v>
      </c>
      <c r="G284" s="140"/>
      <c r="H284" s="42" t="e">
        <f aca="false">ROUND(#REF!/1000,0)</f>
        <v>#REF!</v>
      </c>
      <c r="I284" s="42"/>
      <c r="J284" s="42" t="e">
        <f aca="false">ROUND(#REF!/1000,0)</f>
        <v>#REF!</v>
      </c>
      <c r="K284" s="42"/>
      <c r="L284" s="42" t="e">
        <f aca="false">-ROUND((#REF!-#REF!)/1000,0)</f>
        <v>#REF!</v>
      </c>
      <c r="M284" s="42"/>
      <c r="N284" s="42" t="e">
        <f aca="false">SUM(H284:L284)</f>
        <v>#REF!</v>
      </c>
      <c r="O284" s="42"/>
      <c r="P284" s="42" t="n">
        <v>0</v>
      </c>
      <c r="Q284" s="42"/>
      <c r="R284" s="42" t="n">
        <v>0</v>
      </c>
      <c r="S284" s="42"/>
      <c r="T284" s="42" t="n">
        <v>0</v>
      </c>
      <c r="U284" s="42"/>
      <c r="V284" s="42" t="n">
        <f aca="false">SUM(P284:T284)</f>
        <v>0</v>
      </c>
      <c r="W284" s="42"/>
      <c r="X284" s="42" t="n">
        <v>0</v>
      </c>
      <c r="Y284" s="42"/>
      <c r="Z284" s="42" t="n">
        <v>0</v>
      </c>
      <c r="AA284" s="42"/>
      <c r="AB284" s="42" t="n">
        <v>0</v>
      </c>
      <c r="AC284" s="42"/>
      <c r="AD284" s="42" t="n">
        <f aca="false">SUM(X284:AB284)</f>
        <v>0</v>
      </c>
      <c r="AE284" s="71"/>
      <c r="AF284" s="39"/>
    </row>
    <row r="285" customFormat="false" ht="12.75" hidden="false" customHeight="false" outlineLevel="0" collapsed="false">
      <c r="A285" s="135" t="n">
        <v>11</v>
      </c>
      <c r="B285" s="136"/>
      <c r="C285" s="139" t="e">
        <f aca="false">+#REF!</f>
        <v>#REF!</v>
      </c>
      <c r="D285" s="139" t="e">
        <f aca="false">+#REF!</f>
        <v>#REF!</v>
      </c>
      <c r="E285" s="139"/>
      <c r="F285" s="68" t="e">
        <f aca="false">+#REF!</f>
        <v>#REF!</v>
      </c>
      <c r="G285" s="140"/>
      <c r="H285" s="42" t="e">
        <f aca="false">ROUND(#REF!/1000,0)</f>
        <v>#REF!</v>
      </c>
      <c r="I285" s="42"/>
      <c r="J285" s="42" t="e">
        <f aca="false">ROUND(#REF!/1000,0)</f>
        <v>#REF!</v>
      </c>
      <c r="K285" s="42"/>
      <c r="L285" s="42" t="e">
        <f aca="false">-ROUND((#REF!-#REF!)/1000,0)</f>
        <v>#REF!</v>
      </c>
      <c r="M285" s="42"/>
      <c r="N285" s="42" t="e">
        <f aca="false">SUM(H285:L285)</f>
        <v>#REF!</v>
      </c>
      <c r="O285" s="42"/>
      <c r="P285" s="42" t="n">
        <v>0</v>
      </c>
      <c r="Q285" s="42"/>
      <c r="R285" s="42" t="n">
        <v>0</v>
      </c>
      <c r="S285" s="42"/>
      <c r="T285" s="42" t="n">
        <v>0</v>
      </c>
      <c r="U285" s="42"/>
      <c r="V285" s="42" t="n">
        <f aca="false">SUM(P285:T285)</f>
        <v>0</v>
      </c>
      <c r="W285" s="42"/>
      <c r="X285" s="42" t="n">
        <v>0</v>
      </c>
      <c r="Y285" s="42"/>
      <c r="Z285" s="42" t="n">
        <v>0</v>
      </c>
      <c r="AA285" s="42"/>
      <c r="AB285" s="42" t="n">
        <v>0</v>
      </c>
      <c r="AC285" s="42"/>
      <c r="AD285" s="42" t="n">
        <f aca="false">SUM(X285:AB285)</f>
        <v>0</v>
      </c>
      <c r="AE285" s="71"/>
      <c r="AF285" s="39"/>
    </row>
    <row r="286" customFormat="false" ht="12.75" hidden="false" customHeight="false" outlineLevel="0" collapsed="false">
      <c r="A286" s="135"/>
      <c r="B286" s="136"/>
      <c r="C286" s="38"/>
      <c r="D286" s="4"/>
      <c r="E286" s="4"/>
      <c r="F286" s="68"/>
      <c r="G286" s="140"/>
      <c r="H286" s="42" t="n">
        <v>0</v>
      </c>
      <c r="I286" s="42"/>
      <c r="J286" s="42" t="n">
        <v>0</v>
      </c>
      <c r="K286" s="42"/>
      <c r="L286" s="42" t="n">
        <v>0</v>
      </c>
      <c r="M286" s="42"/>
      <c r="N286" s="42" t="n">
        <f aca="false">SUM(H286:L286)</f>
        <v>0</v>
      </c>
      <c r="O286" s="42"/>
      <c r="P286" s="42" t="n">
        <v>0</v>
      </c>
      <c r="Q286" s="42"/>
      <c r="R286" s="42" t="n">
        <v>0</v>
      </c>
      <c r="S286" s="42"/>
      <c r="T286" s="42" t="n">
        <v>0</v>
      </c>
      <c r="U286" s="42"/>
      <c r="V286" s="42" t="n">
        <f aca="false">SUM(P286:T286)</f>
        <v>0</v>
      </c>
      <c r="W286" s="42"/>
      <c r="X286" s="42" t="n">
        <v>0</v>
      </c>
      <c r="Y286" s="42"/>
      <c r="Z286" s="42" t="n">
        <v>0</v>
      </c>
      <c r="AA286" s="42"/>
      <c r="AB286" s="42" t="n">
        <v>0</v>
      </c>
      <c r="AC286" s="42"/>
      <c r="AD286" s="42" t="n">
        <f aca="false">SUM(X286:AB286)</f>
        <v>0</v>
      </c>
      <c r="AE286" s="71"/>
      <c r="AF286" s="39"/>
    </row>
    <row r="287" customFormat="false" ht="12.75" hidden="false" customHeight="false" outlineLevel="0" collapsed="false">
      <c r="A287" s="135"/>
      <c r="B287" s="136"/>
      <c r="C287" s="129"/>
      <c r="D287" s="4"/>
      <c r="E287" s="4"/>
      <c r="F287" s="68"/>
      <c r="G287" s="140"/>
      <c r="H287" s="184"/>
      <c r="I287" s="185"/>
      <c r="J287" s="184"/>
      <c r="K287" s="185"/>
      <c r="L287" s="184"/>
      <c r="M287" s="185"/>
      <c r="N287" s="184"/>
      <c r="O287" s="185"/>
      <c r="P287" s="184"/>
      <c r="Q287" s="185"/>
      <c r="R287" s="184"/>
      <c r="S287" s="185"/>
      <c r="T287" s="184"/>
      <c r="U287" s="185"/>
      <c r="V287" s="184"/>
      <c r="W287" s="185"/>
      <c r="X287" s="184"/>
      <c r="Y287" s="185"/>
      <c r="Z287" s="184"/>
      <c r="AA287" s="185"/>
      <c r="AB287" s="184"/>
      <c r="AC287" s="185"/>
      <c r="AD287" s="184"/>
      <c r="AE287" s="71"/>
      <c r="AF287" s="39"/>
    </row>
    <row r="288" customFormat="false" ht="12.75" hidden="false" customHeight="false" outlineLevel="0" collapsed="false">
      <c r="A288" s="142"/>
      <c r="B288" s="143"/>
      <c r="C288" s="186" t="s">
        <v>509</v>
      </c>
      <c r="D288" s="151"/>
      <c r="E288" s="151"/>
      <c r="F288" s="152"/>
      <c r="G288" s="153"/>
      <c r="H288" s="55" t="e">
        <f aca="false">SUM(H264:H286)</f>
        <v>#REF!</v>
      </c>
      <c r="I288" s="55"/>
      <c r="J288" s="55" t="e">
        <f aca="false">SUM(J264:J286)</f>
        <v>#REF!</v>
      </c>
      <c r="K288" s="55"/>
      <c r="L288" s="55" t="e">
        <f aca="false">SUM(L264:L286)</f>
        <v>#REF!</v>
      </c>
      <c r="M288" s="55"/>
      <c r="N288" s="55" t="e">
        <f aca="false">SUM(N264:N286)</f>
        <v>#REF!</v>
      </c>
      <c r="O288" s="55"/>
      <c r="P288" s="55" t="n">
        <f aca="false">SUM(P264:P286)</f>
        <v>3855</v>
      </c>
      <c r="Q288" s="55"/>
      <c r="R288" s="55" t="n">
        <f aca="false">SUM(R264:R286)</f>
        <v>4484</v>
      </c>
      <c r="S288" s="55"/>
      <c r="T288" s="55" t="n">
        <f aca="false">SUM(T264:T286)</f>
        <v>1787</v>
      </c>
      <c r="U288" s="55"/>
      <c r="V288" s="55" t="n">
        <f aca="false">SUM(V264:V286)</f>
        <v>10126</v>
      </c>
      <c r="W288" s="55"/>
      <c r="X288" s="55" t="n">
        <f aca="false">SUM(X264:X286)</f>
        <v>9040</v>
      </c>
      <c r="Y288" s="55"/>
      <c r="Z288" s="55" t="n">
        <f aca="false">SUM(Z264:Z286)</f>
        <v>3324</v>
      </c>
      <c r="AA288" s="55"/>
      <c r="AB288" s="55" t="n">
        <f aca="false">SUM(AB264:AB286)</f>
        <v>-903</v>
      </c>
      <c r="AC288" s="55"/>
      <c r="AD288" s="55" t="n">
        <f aca="false">SUM(AD264:AD286)</f>
        <v>11461</v>
      </c>
      <c r="AE288" s="148"/>
      <c r="AF288" s="144"/>
    </row>
    <row r="289" customFormat="false" ht="12.75" hidden="false" customHeight="false" outlineLevel="0" collapsed="false">
      <c r="A289" s="131"/>
      <c r="B289" s="187"/>
      <c r="C289" s="61"/>
      <c r="D289" s="61"/>
      <c r="E289" s="61"/>
      <c r="F289" s="31"/>
      <c r="G289" s="134"/>
      <c r="H289" s="184"/>
      <c r="I289" s="185"/>
      <c r="J289" s="184"/>
      <c r="K289" s="185"/>
      <c r="L289" s="184"/>
      <c r="M289" s="185"/>
      <c r="N289" s="184"/>
      <c r="O289" s="185"/>
      <c r="P289" s="184"/>
      <c r="Q289" s="185"/>
      <c r="R289" s="184"/>
      <c r="S289" s="185"/>
      <c r="T289" s="184"/>
      <c r="U289" s="185"/>
      <c r="V289" s="184"/>
      <c r="W289" s="185"/>
      <c r="X289" s="184"/>
      <c r="Y289" s="185"/>
      <c r="Z289" s="184"/>
      <c r="AA289" s="185"/>
      <c r="AB289" s="184"/>
      <c r="AC289" s="185"/>
      <c r="AD289" s="184"/>
      <c r="AE289" s="118"/>
      <c r="AF289" s="39"/>
    </row>
    <row r="290" customFormat="false" ht="13.5" hidden="false" customHeight="false" outlineLevel="0" collapsed="false">
      <c r="A290" s="188"/>
      <c r="B290" s="189"/>
      <c r="C290" s="190" t="s">
        <v>510</v>
      </c>
      <c r="D290" s="190"/>
      <c r="E290" s="190"/>
      <c r="F290" s="191"/>
      <c r="G290" s="192"/>
      <c r="H290" s="193" t="e">
        <f aca="false">+H30+H56+H60+H90+H58+H71+H102+H261+H288</f>
        <v>#REF!</v>
      </c>
      <c r="I290" s="194"/>
      <c r="J290" s="193" t="e">
        <f aca="false">+J30+J56+J60+J90+J58+J71+J102+J261+J288</f>
        <v>#REF!</v>
      </c>
      <c r="K290" s="194"/>
      <c r="L290" s="193" t="e">
        <f aca="false">+L30+L56+L60+L90+L58+L71+L102+L261+L288</f>
        <v>#REF!</v>
      </c>
      <c r="M290" s="194"/>
      <c r="N290" s="193" t="e">
        <f aca="false">+N30+N56+N60+N90+N58+N71+N102+N261+N288</f>
        <v>#REF!</v>
      </c>
      <c r="O290" s="194"/>
      <c r="P290" s="193" t="n">
        <f aca="false">+P30+P56+P60+P90+P58+P71+P102+P261+P288</f>
        <v>428033</v>
      </c>
      <c r="Q290" s="194"/>
      <c r="R290" s="193" t="n">
        <f aca="false">+R30+R56+R60+R90+R58+R71+R102+R261+R288</f>
        <v>-330590</v>
      </c>
      <c r="S290" s="194"/>
      <c r="T290" s="193" t="n">
        <f aca="false">+T30+T56+T60+T90+T58+T71+T102+T261+T288</f>
        <v>-27733</v>
      </c>
      <c r="U290" s="194"/>
      <c r="V290" s="193" t="n">
        <f aca="false">+V30+V56+V60+V90+V58+V71+V102+V261+V288</f>
        <v>69710</v>
      </c>
      <c r="W290" s="194"/>
      <c r="X290" s="193" t="n">
        <f aca="false">+X30+X56+X60+X90+X58+X71+X102+X261+X288</f>
        <v>400782</v>
      </c>
      <c r="Y290" s="194"/>
      <c r="Z290" s="193" t="n">
        <f aca="false">+Z30+Z56+Z60+Z90+Z58+Z71+Z102+Z261+Z288</f>
        <v>-331618</v>
      </c>
      <c r="AA290" s="194"/>
      <c r="AB290" s="193" t="n">
        <f aca="false">+AB30+AB56+AB60+AB90+AB58+AB71+AB102+AB261+AB288</f>
        <v>-30718</v>
      </c>
      <c r="AC290" s="194"/>
      <c r="AD290" s="193" t="n">
        <f aca="false">+AD30+AD56+AD60+AD90+AD58+AD71+AD102+AD261+AD288</f>
        <v>38446</v>
      </c>
      <c r="AE290" s="195"/>
      <c r="AF290" s="144"/>
    </row>
    <row r="291" customFormat="false" ht="13.5" hidden="false" customHeight="false" outlineLevel="0" collapsed="false">
      <c r="A291" s="196"/>
      <c r="B291" s="197"/>
      <c r="C291" s="61"/>
      <c r="D291" s="61"/>
      <c r="E291" s="61"/>
      <c r="F291" s="31"/>
      <c r="G291" s="134"/>
      <c r="H291" s="118"/>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39"/>
    </row>
    <row r="292" customFormat="false" ht="13.5" hidden="false" customHeight="false" outlineLevel="0" collapsed="false">
      <c r="A292" s="198" t="str">
        <f aca="true">CELL("filename")</f>
        <v>'file:///mnt/12tb/@roms/datasets/enron/EDRM Enron Email Data Set v2 XML/filtered-attachments/xls/CORP_2001_ALLOC_5.xls'#$Corp Group Sum</v>
      </c>
      <c r="AD292" s="4"/>
    </row>
    <row r="293" customFormat="false" ht="13.5" hidden="false" customHeight="false" outlineLevel="0" collapsed="false">
      <c r="H293" s="199" t="s">
        <v>511</v>
      </c>
      <c r="I293" s="200"/>
      <c r="J293" s="200"/>
      <c r="K293" s="200"/>
      <c r="L293" s="200"/>
      <c r="M293" s="200"/>
      <c r="N293" s="201" t="e">
        <f aca="false">+N290-65552</f>
        <v>#REF!</v>
      </c>
    </row>
    <row r="295" customFormat="false" ht="12.75" hidden="false" customHeight="false" outlineLevel="0" collapsed="false">
      <c r="C295" s="202" t="s">
        <v>512</v>
      </c>
    </row>
    <row r="296" customFormat="false" ht="12.75" hidden="false" customHeight="false" outlineLevel="0" collapsed="false">
      <c r="C296" s="83" t="s">
        <v>513</v>
      </c>
    </row>
    <row r="297" customFormat="false" ht="12.75" hidden="false" customHeight="false" outlineLevel="0" collapsed="false">
      <c r="C297" s="9" t="s">
        <v>514</v>
      </c>
    </row>
    <row r="298" customFormat="false" ht="12.75" hidden="false" customHeight="false" outlineLevel="0" collapsed="false">
      <c r="C298" s="9"/>
    </row>
    <row r="299" customFormat="false" ht="12.75" hidden="false" customHeight="false" outlineLevel="0" collapsed="false">
      <c r="A299" s="203" t="s">
        <v>515</v>
      </c>
    </row>
    <row r="300" customFormat="false" ht="12.75" hidden="false" customHeight="false" outlineLevel="0" collapsed="false">
      <c r="C300" s="204" t="s">
        <v>516</v>
      </c>
      <c r="D300" s="205"/>
      <c r="E300" s="205"/>
      <c r="F300" s="206"/>
      <c r="G300" s="207"/>
      <c r="H300" s="208" t="e">
        <f aca="false">+H290-H256-H241-H169-H140-H259-H158</f>
        <v>#REF!</v>
      </c>
      <c r="I300" s="208"/>
      <c r="J300" s="208" t="e">
        <f aca="false">+J290-J256-J241-J169-J140-J259-J158</f>
        <v>#REF!</v>
      </c>
      <c r="K300" s="208"/>
      <c r="L300" s="208" t="e">
        <f aca="false">+L290-L256-L241-L169-L140-L259-L158</f>
        <v>#REF!</v>
      </c>
      <c r="M300" s="208"/>
      <c r="N300" s="209" t="e">
        <f aca="false">+N290-N256-N241-N169-N140-N259-N158</f>
        <v>#REF!</v>
      </c>
    </row>
    <row r="301" customFormat="false" ht="12.75" hidden="false" customHeight="false" outlineLevel="0" collapsed="false">
      <c r="C301" s="210" t="s">
        <v>517</v>
      </c>
      <c r="D301" s="211"/>
      <c r="E301" s="211"/>
      <c r="F301" s="212"/>
      <c r="G301" s="213"/>
      <c r="H301" s="214" t="e">
        <f aca="false">+H300-ROUND(#REF!/1000,0)</f>
        <v>#REF!</v>
      </c>
      <c r="I301" s="214"/>
      <c r="J301" s="214" t="e">
        <f aca="false">+J300-ROUND(#REF!/1000,0)</f>
        <v>#REF!</v>
      </c>
      <c r="K301" s="214"/>
      <c r="L301" s="214" t="e">
        <f aca="false">+L300+ROUND((#REF!+#REF!+#REF!+#REF!+#REF!+#REF!)/1000,0)</f>
        <v>#REF!</v>
      </c>
      <c r="M301" s="214"/>
      <c r="N301" s="215" t="e">
        <f aca="false">+N300+ROUND(#REF!/1000,0)-ROUND(#REF!/1000,0)-ROUND(#REF!/1000,0)</f>
        <v>#REF!</v>
      </c>
    </row>
    <row r="302" customFormat="false" ht="12.75" hidden="false" customHeight="false" outlineLevel="0" collapsed="false">
      <c r="C302" s="216"/>
      <c r="D302" s="216"/>
      <c r="E302" s="216"/>
      <c r="F302" s="217"/>
      <c r="G302" s="218"/>
      <c r="H302" s="144"/>
      <c r="I302" s="144"/>
      <c r="J302" s="144"/>
      <c r="K302" s="144"/>
      <c r="L302" s="144"/>
      <c r="M302" s="144"/>
      <c r="N302" s="144"/>
    </row>
    <row r="303" customFormat="false" ht="12.75" hidden="false" customHeight="false" outlineLevel="0" collapsed="false">
      <c r="A303" s="203" t="s">
        <v>518</v>
      </c>
    </row>
    <row r="304" customFormat="false" ht="12.75" hidden="false" customHeight="false" outlineLevel="0" collapsed="false">
      <c r="C304" s="2" t="s">
        <v>519</v>
      </c>
      <c r="N304" s="4" t="e">
        <f aca="false">-ROUND(#REF!/1000,0)</f>
        <v>#REF!</v>
      </c>
    </row>
    <row r="305" customFormat="false" ht="12.75" hidden="false" customHeight="false" outlineLevel="0" collapsed="false">
      <c r="C305" s="2" t="s">
        <v>520</v>
      </c>
      <c r="L305" s="4" t="e">
        <f aca="false">+ROUND(#REF!/1000,0)</f>
        <v>#REF!</v>
      </c>
    </row>
    <row r="306" customFormat="false" ht="12.75" hidden="false" customHeight="false" outlineLevel="0" collapsed="false">
      <c r="C306" s="2" t="s">
        <v>521</v>
      </c>
      <c r="L306" s="4" t="e">
        <f aca="false">-ROUND((+#REF!+#REF!+#REF!+#REF!+#REF!+#REF!)/1000,0)</f>
        <v>#REF!</v>
      </c>
    </row>
    <row r="307" customFormat="false" ht="12.75" hidden="false" customHeight="false" outlineLevel="0" collapsed="false">
      <c r="C307" s="2" t="s">
        <v>522</v>
      </c>
      <c r="N307" s="4" t="e">
        <f aca="false">SUM(L305:L306)</f>
        <v>#REF!</v>
      </c>
    </row>
    <row r="308" customFormat="false" ht="12.75" hidden="false" customHeight="false" outlineLevel="0" collapsed="false">
      <c r="C308" s="2" t="s">
        <v>523</v>
      </c>
      <c r="N308" s="4" t="e">
        <f aca="false">+N140+N158+N169+N241+N256+N259</f>
        <v>#REF!</v>
      </c>
    </row>
    <row r="310" customFormat="false" ht="13.5" hidden="false" customHeight="false" outlineLevel="0" collapsed="false">
      <c r="C310" s="2" t="s">
        <v>524</v>
      </c>
      <c r="N310" s="219" t="e">
        <f aca="false">SUM(N304:N309)</f>
        <v>#REF!</v>
      </c>
    </row>
    <row r="311" customFormat="false" ht="13.5" hidden="false" customHeight="false" outlineLevel="0" collapsed="false"/>
  </sheetData>
  <mergeCells count="3">
    <mergeCell ref="H6:N6"/>
    <mergeCell ref="P6:W6"/>
    <mergeCell ref="X6:AE6"/>
  </mergeCells>
  <printOptions headings="false" gridLines="false" gridLinesSet="true" horizontalCentered="false" verticalCentered="false"/>
  <pageMargins left="0.25" right="0.25" top="0.5" bottom="0.5" header="0.25" footer="0.511811023622047"/>
  <pageSetup paperSize="1" scale="100" fitToWidth="1" fitToHeight="0" pageOrder="downThenOver" orientation="portrait" blackAndWhite="false" draft="false" cellComments="none" horizontalDpi="300" verticalDpi="300" copies="1"/>
  <headerFooter differentFirst="false" differentOddEven="false">
    <oddHeader>&amp;R&amp;8&amp;D  &amp;T</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2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G10" activeCellId="0" sqref="G10"/>
    </sheetView>
  </sheetViews>
  <sheetFormatPr defaultColWidth="9.0546875" defaultRowHeight="12.75" customHeight="true" zeroHeight="false" outlineLevelRow="0" outlineLevelCol="0"/>
  <cols>
    <col collapsed="false" customWidth="true" hidden="false" outlineLevel="0" max="1" min="1" style="220" width="32.14"/>
    <col collapsed="false" customWidth="true" hidden="false" outlineLevel="0" max="2" min="2" style="220" width="3.28"/>
    <col collapsed="false" customWidth="true" hidden="false" outlineLevel="0" max="3" min="3" style="221" width="9.7"/>
    <col collapsed="false" customWidth="true" hidden="false" outlineLevel="0" max="4" min="4" style="220" width="2.42"/>
    <col collapsed="false" customWidth="true" hidden="false" outlineLevel="0" max="5" min="5" style="222" width="10.71"/>
    <col collapsed="false" customWidth="true" hidden="false" outlineLevel="0" max="6" min="6" style="220" width="2.42"/>
    <col collapsed="false" customWidth="true" hidden="false" outlineLevel="0" max="7" min="7" style="220" width="10.71"/>
    <col collapsed="false" customWidth="true" hidden="false" outlineLevel="0" max="8" min="8" style="220" width="2.42"/>
    <col collapsed="false" customWidth="true" hidden="false" outlineLevel="0" max="9" min="9" style="220" width="10.71"/>
    <col collapsed="false" customWidth="true" hidden="false" outlineLevel="0" max="10" min="10" style="220" width="2.42"/>
    <col collapsed="false" customWidth="true" hidden="false" outlineLevel="0" max="11" min="11" style="220" width="10.71"/>
    <col collapsed="false" customWidth="true" hidden="false" outlineLevel="0" max="12" min="12" style="220" width="2.42"/>
    <col collapsed="false" customWidth="true" hidden="false" outlineLevel="0" max="13" min="13" style="220" width="9.28"/>
    <col collapsed="false" customWidth="true" hidden="false" outlineLevel="0" max="14" min="14" style="220" width="2.42"/>
    <col collapsed="false" customWidth="true" hidden="false" outlineLevel="0" max="15" min="15" style="220" width="11.28"/>
    <col collapsed="false" customWidth="true" hidden="false" outlineLevel="0" max="16" min="16" style="220" width="2.42"/>
    <col collapsed="false" customWidth="true" hidden="false" outlineLevel="0" max="17" min="17" style="220" width="9.7"/>
    <col collapsed="false" customWidth="true" hidden="false" outlineLevel="0" max="18" min="18" style="220" width="2.42"/>
    <col collapsed="false" customWidth="true" hidden="false" outlineLevel="0" max="19" min="19" style="220" width="9.28"/>
    <col collapsed="false" customWidth="true" hidden="false" outlineLevel="0" max="20" min="20" style="220" width="2.42"/>
    <col collapsed="false" customWidth="true" hidden="false" outlineLevel="0" max="21" min="21" style="220" width="9.85"/>
    <col collapsed="false" customWidth="true" hidden="false" outlineLevel="0" max="22" min="22" style="220" width="2.42"/>
    <col collapsed="false" customWidth="true" hidden="false" outlineLevel="0" max="23" min="23" style="220" width="10.85"/>
    <col collapsed="false" customWidth="true" hidden="false" outlineLevel="0" max="24" min="24" style="220" width="2.42"/>
    <col collapsed="false" customWidth="true" hidden="false" outlineLevel="0" max="25" min="25" style="220" width="10.85"/>
    <col collapsed="false" customWidth="true" hidden="false" outlineLevel="0" max="26" min="26" style="220" width="2.42"/>
    <col collapsed="false" customWidth="true" hidden="false" outlineLevel="0" max="27" min="27" style="220" width="10.13"/>
  </cols>
  <sheetData>
    <row r="1" customFormat="false" ht="25.5" hidden="false" customHeight="false" outlineLevel="0" collapsed="false">
      <c r="A1" s="223" t="s">
        <v>525</v>
      </c>
      <c r="D1" s="224"/>
      <c r="E1" s="225"/>
      <c r="F1" s="223"/>
    </row>
    <row r="2" customFormat="false" ht="25.5" hidden="false" customHeight="false" outlineLevel="0" collapsed="false">
      <c r="A2" s="226" t="s">
        <v>526</v>
      </c>
      <c r="D2" s="224"/>
      <c r="J2" s="227"/>
      <c r="K2" s="228"/>
    </row>
    <row r="3" customFormat="false" ht="12.75" hidden="false" customHeight="false" outlineLevel="0" collapsed="false">
      <c r="A3" s="229" t="s">
        <v>527</v>
      </c>
      <c r="D3" s="224"/>
      <c r="T3" s="230"/>
      <c r="U3" s="231"/>
      <c r="V3" s="230"/>
      <c r="W3" s="230"/>
    </row>
    <row r="4" customFormat="false" ht="12.75" hidden="false" customHeight="false" outlineLevel="0" collapsed="false">
      <c r="A4" s="229" t="s">
        <v>528</v>
      </c>
      <c r="D4" s="224"/>
      <c r="T4" s="230"/>
      <c r="U4" s="232"/>
      <c r="V4" s="230"/>
      <c r="W4" s="230"/>
    </row>
    <row r="5" customFormat="false" ht="12.75" hidden="false" customHeight="false" outlineLevel="0" collapsed="false">
      <c r="D5" s="224"/>
      <c r="E5" s="233" t="n">
        <v>1999</v>
      </c>
      <c r="G5" s="234" t="s">
        <v>529</v>
      </c>
      <c r="I5" s="234" t="s">
        <v>530</v>
      </c>
    </row>
    <row r="6" customFormat="false" ht="12.75" hidden="false" customHeight="false" outlineLevel="0" collapsed="false">
      <c r="C6" s="235" t="s">
        <v>531</v>
      </c>
      <c r="D6" s="224"/>
      <c r="E6" s="236" t="s">
        <v>532</v>
      </c>
      <c r="G6" s="234" t="s">
        <v>533</v>
      </c>
      <c r="I6" s="234" t="s">
        <v>446</v>
      </c>
      <c r="K6" s="234" t="s">
        <v>534</v>
      </c>
      <c r="M6" s="234" t="s">
        <v>535</v>
      </c>
      <c r="Q6" s="234" t="s">
        <v>536</v>
      </c>
      <c r="S6" s="234" t="s">
        <v>535</v>
      </c>
      <c r="U6" s="234" t="s">
        <v>537</v>
      </c>
      <c r="W6" s="234" t="s">
        <v>538</v>
      </c>
      <c r="AA6" s="234" t="s">
        <v>88</v>
      </c>
    </row>
    <row r="7" customFormat="false" ht="14.25" hidden="false" customHeight="false" outlineLevel="0" collapsed="false">
      <c r="A7" s="237" t="s">
        <v>539</v>
      </c>
      <c r="C7" s="238" t="s">
        <v>540</v>
      </c>
      <c r="D7" s="224"/>
      <c r="E7" s="239" t="s">
        <v>541</v>
      </c>
      <c r="G7" s="237" t="s">
        <v>542</v>
      </c>
      <c r="I7" s="237" t="s">
        <v>543</v>
      </c>
      <c r="K7" s="237" t="s">
        <v>541</v>
      </c>
      <c r="M7" s="237" t="s">
        <v>544</v>
      </c>
      <c r="O7" s="237" t="s">
        <v>545</v>
      </c>
      <c r="Q7" s="237" t="s">
        <v>546</v>
      </c>
      <c r="S7" s="237" t="s">
        <v>547</v>
      </c>
      <c r="U7" s="237" t="s">
        <v>548</v>
      </c>
      <c r="W7" s="237" t="s">
        <v>549</v>
      </c>
      <c r="Y7" s="237" t="s">
        <v>550</v>
      </c>
      <c r="AA7" s="237" t="s">
        <v>551</v>
      </c>
    </row>
    <row r="8" customFormat="false" ht="12.75" hidden="false" customHeight="false" outlineLevel="0" collapsed="false">
      <c r="D8" s="224"/>
      <c r="E8" s="240"/>
    </row>
    <row r="9" customFormat="false" ht="12.75" hidden="false" customHeight="false" outlineLevel="0" collapsed="false">
      <c r="D9" s="224"/>
      <c r="E9" s="240"/>
      <c r="W9" s="220" t="s">
        <v>552</v>
      </c>
    </row>
    <row r="10" customFormat="false" ht="12.75" hidden="false" customHeight="false" outlineLevel="0" collapsed="false">
      <c r="A10" s="220" t="s">
        <v>553</v>
      </c>
      <c r="C10" s="222"/>
      <c r="D10" s="224"/>
      <c r="E10" s="240"/>
      <c r="M10" s="241" t="n">
        <v>0.102</v>
      </c>
      <c r="N10" s="241"/>
      <c r="O10" s="241" t="n">
        <v>0.03</v>
      </c>
      <c r="P10" s="241"/>
      <c r="Q10" s="241" t="n">
        <v>0.032</v>
      </c>
      <c r="R10" s="241"/>
      <c r="S10" s="242" t="n">
        <v>0</v>
      </c>
      <c r="T10" s="243"/>
      <c r="U10" s="241" t="n">
        <v>0.173</v>
      </c>
      <c r="V10" s="243"/>
      <c r="W10" s="241" t="n">
        <v>0.162</v>
      </c>
      <c r="X10" s="241"/>
      <c r="Y10" s="241" t="n">
        <f aca="false">1-SUM(M10:W10)</f>
        <v>0.501</v>
      </c>
      <c r="Z10" s="241"/>
      <c r="AA10" s="241" t="n">
        <f aca="false">SUM(M10:Y10)</f>
        <v>1</v>
      </c>
    </row>
    <row r="11" customFormat="false" ht="12.75" hidden="false" customHeight="false" outlineLevel="0" collapsed="false">
      <c r="C11" s="222"/>
      <c r="D11" s="224"/>
      <c r="E11" s="240"/>
      <c r="M11" s="244"/>
      <c r="N11" s="244"/>
      <c r="O11" s="244"/>
      <c r="P11" s="244"/>
      <c r="Q11" s="244"/>
      <c r="R11" s="244"/>
      <c r="S11" s="244"/>
      <c r="U11" s="244"/>
      <c r="W11" s="244"/>
      <c r="X11" s="244"/>
      <c r="Y11" s="244"/>
      <c r="Z11" s="244"/>
      <c r="AA11" s="244"/>
    </row>
    <row r="12" customFormat="false" ht="12.75" hidden="false" customHeight="false" outlineLevel="0" collapsed="false">
      <c r="A12" s="240" t="e">
        <f aca="false">+#REF!</f>
        <v>#REF!</v>
      </c>
      <c r="C12" s="236" t="n">
        <v>1125</v>
      </c>
      <c r="D12" s="224"/>
      <c r="E12" s="245" t="e">
        <f aca="false">ROUND(#REF!*1000,0)</f>
        <v>#REF!</v>
      </c>
      <c r="F12" s="245"/>
      <c r="G12" s="245" t="e">
        <f aca="false">-ROUND(#REF!*1000,0)</f>
        <v>#REF!</v>
      </c>
      <c r="H12" s="245"/>
      <c r="I12" s="245" t="n">
        <v>0</v>
      </c>
      <c r="J12" s="245"/>
      <c r="K12" s="245" t="e">
        <f aca="false">+E12+G12+I12</f>
        <v>#REF!</v>
      </c>
      <c r="L12" s="245"/>
      <c r="M12" s="245" t="e">
        <f aca="false">ROUND(K12*$M$10,0)</f>
        <v>#REF!</v>
      </c>
      <c r="N12" s="245"/>
      <c r="O12" s="245" t="e">
        <f aca="false">ROUND(K12*$O$10,)</f>
        <v>#REF!</v>
      </c>
      <c r="P12" s="245"/>
      <c r="Q12" s="245" t="e">
        <f aca="false">ROUND(K12*$Q$10,0)</f>
        <v>#REF!</v>
      </c>
      <c r="R12" s="245"/>
      <c r="S12" s="246" t="n">
        <v>0</v>
      </c>
      <c r="T12" s="245"/>
      <c r="U12" s="245" t="e">
        <f aca="false">ROUND(K12*$U$10,0)</f>
        <v>#REF!</v>
      </c>
      <c r="V12" s="245"/>
      <c r="W12" s="246" t="n">
        <v>0</v>
      </c>
      <c r="X12" s="245"/>
      <c r="Y12" s="245" t="e">
        <f aca="false">K12-SUM(M12:W12)</f>
        <v>#REF!</v>
      </c>
      <c r="Z12" s="245"/>
      <c r="AA12" s="245" t="e">
        <f aca="false">SUM(M12:Y12)</f>
        <v>#REF!</v>
      </c>
    </row>
    <row r="15" customFormat="false" ht="12.75" hidden="false" customHeight="false" outlineLevel="0" collapsed="false">
      <c r="A15" s="247" t="s">
        <v>554</v>
      </c>
      <c r="K15" s="220" t="n">
        <v>1133000</v>
      </c>
      <c r="M15" s="220" t="n">
        <v>139359</v>
      </c>
      <c r="O15" s="220" t="n">
        <v>40788</v>
      </c>
      <c r="Q15" s="220" t="n">
        <v>41921</v>
      </c>
      <c r="S15" s="220" t="n">
        <v>0</v>
      </c>
      <c r="U15" s="220" t="n">
        <v>224334</v>
      </c>
      <c r="W15" s="220" t="n">
        <v>0</v>
      </c>
      <c r="Y15" s="220" t="n">
        <v>686598</v>
      </c>
      <c r="AA15" s="220" t="n">
        <v>1133000</v>
      </c>
    </row>
    <row r="16" customFormat="false" ht="13.5" hidden="false" customHeight="false" outlineLevel="0" collapsed="false">
      <c r="A16" s="247" t="s">
        <v>555</v>
      </c>
      <c r="K16" s="248" t="e">
        <f aca="false">+K12-K15</f>
        <v>#REF!</v>
      </c>
      <c r="M16" s="248" t="e">
        <f aca="false">+M12-M15</f>
        <v>#REF!</v>
      </c>
      <c r="O16" s="248" t="e">
        <f aca="false">+O12-O15</f>
        <v>#REF!</v>
      </c>
      <c r="Q16" s="248" t="e">
        <f aca="false">+Q12-Q15</f>
        <v>#REF!</v>
      </c>
      <c r="S16" s="248" t="n">
        <f aca="false">+S12-S15</f>
        <v>0</v>
      </c>
      <c r="U16" s="248" t="e">
        <f aca="false">+U12-U15</f>
        <v>#REF!</v>
      </c>
      <c r="W16" s="248" t="n">
        <f aca="false">+W12-W15</f>
        <v>0</v>
      </c>
      <c r="Y16" s="248" t="e">
        <f aca="false">+Y12-Y15</f>
        <v>#REF!</v>
      </c>
      <c r="AA16" s="248" t="e">
        <f aca="false">+AA12-AA15</f>
        <v>#REF!</v>
      </c>
    </row>
    <row r="17" customFormat="false" ht="13.5" hidden="false" customHeight="false" outlineLevel="0" collapsed="false"/>
    <row r="18" customFormat="false" ht="12.75" hidden="false" customHeight="false" outlineLevel="0" collapsed="false">
      <c r="A18" s="230" t="str">
        <f aca="true">CELL("filename",Y18)</f>
        <v>'file:///mnt/12tb/@roms/datasets/enron/EDRM Enron Email Data Set v2 XML/filtered-attachments/xls/CORP_2001_ALLOC_5.xls'#$ECM MMF CALC</v>
      </c>
    </row>
    <row r="20" customFormat="false" ht="12.75" hidden="false" customHeight="false" outlineLevel="0" collapsed="false">
      <c r="A20" s="249" t="s">
        <v>556</v>
      </c>
    </row>
    <row r="21" customFormat="false" ht="12.75" hidden="false" customHeight="false" outlineLevel="0" collapsed="false">
      <c r="A21" s="249" t="s">
        <v>557</v>
      </c>
    </row>
  </sheetData>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 zoomScaleNormal="10" zoomScalePageLayoutView="1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1997-07-13T01:00:21Z</dcterms:created>
  <dc:creator>Suzanne Lim Brown</dc:creator>
  <dc:description/>
  <dc:language>en-US</dc:language>
  <cp:lastModifiedBy>sschwar</cp:lastModifiedBy>
  <cp:lastPrinted>2000-11-06T21:49:38Z</cp:lastPrinted>
  <cp:revision>0</cp:revision>
  <dc:subject/>
  <dc:title/>
</cp:coreProperties>
</file>